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tables/table5.xml" ContentType="application/vnd.openxmlformats-officedocument.spreadsheetml.table+xml"/>
  <Override PartName="/xl/pivotTables/pivotTable2.xml" ContentType="application/vnd.openxmlformats-officedocument.spreadsheetml.pivot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an\Documents\ArcGIS\Projects\demographic data\"/>
    </mc:Choice>
  </mc:AlternateContent>
  <xr:revisionPtr revIDLastSave="0" documentId="13_ncr:1_{94A96E07-269A-49EA-B2FC-4827AD08E38D}" xr6:coauthVersionLast="47" xr6:coauthVersionMax="47" xr10:uidLastSave="{00000000-0000-0000-0000-000000000000}"/>
  <bookViews>
    <workbookView xWindow="936" yWindow="0" windowWidth="11052" windowHeight="14400" firstSheet="17" activeTab="19" xr2:uid="{675AB963-C063-4257-B7C0-71BEEAFF02B7}"/>
  </bookViews>
  <sheets>
    <sheet name="lb dist. pop and demo" sheetId="1" r:id="rId1"/>
    <sheet name="lb working" sheetId="4" r:id="rId2"/>
    <sheet name="lb detailed" sheetId="5" r:id="rId3"/>
    <sheet name="lb merged" sheetId="6" r:id="rId4"/>
    <sheet name="LB final 1" sheetId="7" r:id="rId5"/>
    <sheet name="LB final 2" sheetId="8" r:id="rId6"/>
    <sheet name="LB final 3" sheetId="10" r:id="rId7"/>
    <sheet name="district pops" sheetId="11" r:id="rId8"/>
    <sheet name="Links" sheetId="20" r:id="rId9"/>
    <sheet name="electoral" sheetId="12" r:id="rId10"/>
    <sheet name="elect2" sheetId="21" r:id="rId11"/>
    <sheet name="elect3" sheetId="23" r:id="rId12"/>
    <sheet name="elect4" sheetId="22" r:id="rId13"/>
    <sheet name="elect5" sheetId="25" r:id="rId14"/>
    <sheet name="new LB work" sheetId="13" r:id="rId15"/>
    <sheet name="updated %" sheetId="16" r:id="rId16"/>
    <sheet name="smaller dist1" sheetId="18" r:id="rId17"/>
    <sheet name="smaller dist2" sheetId="17" r:id="rId18"/>
    <sheet name="LB final1" sheetId="19" r:id="rId19"/>
    <sheet name="LB2" sheetId="26" r:id="rId20"/>
  </sheets>
  <calcPr calcId="191029"/>
  <pivotCaches>
    <pivotCache cacheId="24" r:id="rId21"/>
    <pivotCache cacheId="25" r:id="rId2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26" l="1"/>
  <c r="G2" i="26"/>
  <c r="F3" i="26"/>
  <c r="G3" i="26"/>
  <c r="F4" i="26"/>
  <c r="G4" i="26"/>
  <c r="F5" i="26"/>
  <c r="G5" i="26"/>
  <c r="F6" i="26"/>
  <c r="G6" i="26"/>
  <c r="F7" i="26"/>
  <c r="G7" i="26"/>
  <c r="F8" i="26"/>
  <c r="G8" i="26"/>
  <c r="F9" i="26"/>
  <c r="G9" i="26"/>
  <c r="F10" i="26"/>
  <c r="G10" i="26"/>
  <c r="F11" i="26"/>
  <c r="G11" i="26"/>
  <c r="F12" i="26"/>
  <c r="G12" i="26"/>
  <c r="F13" i="26"/>
  <c r="G13" i="26"/>
  <c r="F14" i="26"/>
  <c r="G14" i="26"/>
  <c r="F15" i="26"/>
  <c r="G15" i="26"/>
  <c r="F16" i="26"/>
  <c r="G16" i="26"/>
  <c r="F17" i="26"/>
  <c r="G17" i="26"/>
  <c r="F18" i="26"/>
  <c r="G18" i="26"/>
  <c r="F19" i="26"/>
  <c r="G19" i="26"/>
  <c r="F20" i="26"/>
  <c r="G20" i="26"/>
  <c r="F21" i="26"/>
  <c r="G21" i="26"/>
  <c r="F22" i="26"/>
  <c r="G22" i="26"/>
  <c r="F23" i="26"/>
  <c r="G23" i="26"/>
  <c r="F24" i="26"/>
  <c r="G24" i="26"/>
  <c r="F25" i="26"/>
  <c r="G25" i="26"/>
  <c r="F26" i="26"/>
  <c r="G26" i="26"/>
  <c r="F27" i="26"/>
  <c r="G27" i="26"/>
  <c r="F28" i="26"/>
  <c r="G28" i="26"/>
  <c r="F29" i="26"/>
  <c r="G29" i="26"/>
  <c r="F30" i="26"/>
  <c r="G30" i="26"/>
  <c r="AG34" i="16" a="1"/>
  <c r="AG34" i="16" s="1"/>
  <c r="AH32" i="16"/>
  <c r="AI32" i="16"/>
  <c r="AJ32" i="16"/>
  <c r="AK32" i="16"/>
  <c r="AL32" i="16"/>
  <c r="AM32" i="16"/>
  <c r="AN32" i="16"/>
  <c r="AO32" i="16"/>
  <c r="AP32" i="16"/>
  <c r="AQ32" i="16"/>
  <c r="AG32" i="16"/>
  <c r="AU3" i="25" a="1"/>
  <c r="AU3" i="25" s="1"/>
  <c r="AU4" i="25" a="1"/>
  <c r="AU4" i="25" s="1"/>
  <c r="AU5" i="25" a="1"/>
  <c r="AU5" i="25" s="1"/>
  <c r="AU6" i="25" a="1"/>
  <c r="AU6" i="25" s="1"/>
  <c r="AU7" i="25" a="1"/>
  <c r="AU7" i="25" s="1"/>
  <c r="AU8" i="25" a="1"/>
  <c r="AU8" i="25" s="1"/>
  <c r="AU9" i="25" a="1"/>
  <c r="AU9" i="25" s="1"/>
  <c r="AU10" i="25" a="1"/>
  <c r="AU10" i="25" s="1"/>
  <c r="AU11" i="25" a="1"/>
  <c r="AU11" i="25" s="1"/>
  <c r="AU12" i="25" a="1"/>
  <c r="AU12" i="25" s="1"/>
  <c r="AU13" i="25" a="1"/>
  <c r="AU13" i="25" s="1"/>
  <c r="AU14" i="25" a="1"/>
  <c r="AU14" i="25" s="1"/>
  <c r="AU15" i="25" a="1"/>
  <c r="AU15" i="25" s="1"/>
  <c r="AU16" i="25" a="1"/>
  <c r="AU16" i="25" s="1"/>
  <c r="AU17" i="25" a="1"/>
  <c r="AU17" i="25" s="1"/>
  <c r="AU18" i="25" a="1"/>
  <c r="AU18" i="25" s="1"/>
  <c r="AU19" i="25" a="1"/>
  <c r="AU19" i="25" s="1"/>
  <c r="AU20" i="25" a="1"/>
  <c r="AU20" i="25" s="1"/>
  <c r="AU21" i="25" a="1"/>
  <c r="AU21" i="25" s="1"/>
  <c r="AU22" i="25" a="1"/>
  <c r="AU22" i="25" s="1"/>
  <c r="AU23" i="25" a="1"/>
  <c r="AU23" i="25" s="1"/>
  <c r="AU24" i="25" a="1"/>
  <c r="AU24" i="25" s="1"/>
  <c r="AU25" i="25" a="1"/>
  <c r="AU25" i="25" s="1"/>
  <c r="AU26" i="25" a="1"/>
  <c r="AU26" i="25" s="1"/>
  <c r="AU27" i="25" a="1"/>
  <c r="AU27" i="25" s="1"/>
  <c r="AU28" i="25" a="1"/>
  <c r="AU28" i="25" s="1"/>
  <c r="AU29" i="25" a="1"/>
  <c r="AU29" i="25" s="1"/>
  <c r="AU2" i="25" a="1"/>
  <c r="AU2" i="25" s="1"/>
  <c r="AU32" i="25" s="1"/>
  <c r="U32" i="25"/>
  <c r="U33" i="25"/>
  <c r="V33" i="25"/>
  <c r="W33" i="25"/>
  <c r="X33" i="25"/>
  <c r="Y33" i="25"/>
  <c r="Z33" i="25"/>
  <c r="AA33" i="25"/>
  <c r="AB33" i="25"/>
  <c r="AC33" i="25"/>
  <c r="AD33" i="25"/>
  <c r="AE33" i="25"/>
  <c r="U34" i="25"/>
  <c r="U61" i="25" s="1"/>
  <c r="V34" i="25"/>
  <c r="W34" i="25"/>
  <c r="W61" i="25" s="1"/>
  <c r="X34" i="25"/>
  <c r="Y34" i="25"/>
  <c r="Z34" i="25"/>
  <c r="AA34" i="25"/>
  <c r="AB34" i="25"/>
  <c r="AC34" i="25"/>
  <c r="AC61" i="25" s="1"/>
  <c r="AD34" i="25"/>
  <c r="AE34" i="25"/>
  <c r="U35" i="25"/>
  <c r="V35" i="25"/>
  <c r="W35" i="25"/>
  <c r="X35" i="25"/>
  <c r="Y35" i="25"/>
  <c r="Z35" i="25"/>
  <c r="AA35" i="25"/>
  <c r="AB35" i="25"/>
  <c r="AC35" i="25"/>
  <c r="AD35" i="25"/>
  <c r="AE35" i="25"/>
  <c r="U36" i="25"/>
  <c r="V36" i="25"/>
  <c r="W36" i="25"/>
  <c r="X36" i="25"/>
  <c r="Y36" i="25"/>
  <c r="Z36" i="25"/>
  <c r="AA36" i="25"/>
  <c r="AB36" i="25"/>
  <c r="AC36" i="25"/>
  <c r="AD36" i="25"/>
  <c r="AE36" i="25"/>
  <c r="U37" i="25"/>
  <c r="V37" i="25"/>
  <c r="W37" i="25"/>
  <c r="X37" i="25"/>
  <c r="Y37" i="25"/>
  <c r="Z37" i="25"/>
  <c r="AA37" i="25"/>
  <c r="AB37" i="25"/>
  <c r="AC37" i="25"/>
  <c r="AD37" i="25"/>
  <c r="AE37" i="25"/>
  <c r="U38" i="25"/>
  <c r="V38" i="25"/>
  <c r="W38" i="25"/>
  <c r="X38" i="25"/>
  <c r="Y38" i="25"/>
  <c r="Y61" i="25" s="1"/>
  <c r="Z38" i="25"/>
  <c r="AA38" i="25"/>
  <c r="AB38" i="25"/>
  <c r="AC38" i="25"/>
  <c r="AD38" i="25"/>
  <c r="AE38" i="25"/>
  <c r="U39" i="25"/>
  <c r="V39" i="25"/>
  <c r="W39" i="25"/>
  <c r="X39" i="25"/>
  <c r="Y39" i="25"/>
  <c r="Z39" i="25"/>
  <c r="AA39" i="25"/>
  <c r="AB39" i="25"/>
  <c r="AC39" i="25"/>
  <c r="AD39" i="25"/>
  <c r="AE39" i="25"/>
  <c r="U40" i="25"/>
  <c r="V40" i="25"/>
  <c r="W40" i="25"/>
  <c r="X40" i="25"/>
  <c r="Y40" i="25"/>
  <c r="Z40" i="25"/>
  <c r="AA40" i="25"/>
  <c r="AA61" i="25" s="1"/>
  <c r="AB40" i="25"/>
  <c r="AC40" i="25"/>
  <c r="AD40" i="25"/>
  <c r="AE40" i="25"/>
  <c r="U41" i="25"/>
  <c r="V41" i="25"/>
  <c r="W41" i="25"/>
  <c r="X41" i="25"/>
  <c r="Y41" i="25"/>
  <c r="Z41" i="25"/>
  <c r="AA41" i="25"/>
  <c r="AB41" i="25"/>
  <c r="AC41" i="25"/>
  <c r="AD41" i="25"/>
  <c r="AE41" i="25"/>
  <c r="U42" i="25"/>
  <c r="V42" i="25"/>
  <c r="W42" i="25"/>
  <c r="X42" i="25"/>
  <c r="Y42" i="25"/>
  <c r="Z42" i="25"/>
  <c r="AA42" i="25"/>
  <c r="AB42" i="25"/>
  <c r="AC42" i="25"/>
  <c r="AD42" i="25"/>
  <c r="AE42" i="25"/>
  <c r="U43" i="25"/>
  <c r="V43" i="25"/>
  <c r="W43" i="25"/>
  <c r="X43" i="25"/>
  <c r="Y43" i="25"/>
  <c r="Z43" i="25"/>
  <c r="AA43" i="25"/>
  <c r="AB43" i="25"/>
  <c r="AC43" i="25"/>
  <c r="AD43" i="25"/>
  <c r="AE43" i="25"/>
  <c r="U44" i="25"/>
  <c r="V44" i="25"/>
  <c r="W44" i="25"/>
  <c r="X44" i="25"/>
  <c r="Y44" i="25"/>
  <c r="Z44" i="25"/>
  <c r="AA44" i="25"/>
  <c r="AB44" i="25"/>
  <c r="AC44" i="25"/>
  <c r="AD44" i="25"/>
  <c r="AE44" i="25"/>
  <c r="U45" i="25"/>
  <c r="V45" i="25"/>
  <c r="W45" i="25"/>
  <c r="X45" i="25"/>
  <c r="Y45" i="25"/>
  <c r="Z45" i="25"/>
  <c r="AA45" i="25"/>
  <c r="AB45" i="25"/>
  <c r="AC45" i="25"/>
  <c r="AD45" i="25"/>
  <c r="AE45" i="25"/>
  <c r="U46" i="25"/>
  <c r="V46" i="25"/>
  <c r="W46" i="25"/>
  <c r="X46" i="25"/>
  <c r="Y46" i="25"/>
  <c r="Z46" i="25"/>
  <c r="AA46" i="25"/>
  <c r="AB46" i="25"/>
  <c r="AC46" i="25"/>
  <c r="AD46" i="25"/>
  <c r="AE46" i="25"/>
  <c r="U47" i="25"/>
  <c r="V47" i="25"/>
  <c r="W47" i="25"/>
  <c r="X47" i="25"/>
  <c r="Y47" i="25"/>
  <c r="Z47" i="25"/>
  <c r="AA47" i="25"/>
  <c r="AB47" i="25"/>
  <c r="AC47" i="25"/>
  <c r="AD47" i="25"/>
  <c r="AE47" i="25"/>
  <c r="U48" i="25"/>
  <c r="V48" i="25"/>
  <c r="W48" i="25"/>
  <c r="X48" i="25"/>
  <c r="Y48" i="25"/>
  <c r="Z48" i="25"/>
  <c r="AA48" i="25"/>
  <c r="AB48" i="25"/>
  <c r="AC48" i="25"/>
  <c r="AD48" i="25"/>
  <c r="AE48" i="25"/>
  <c r="U49" i="25"/>
  <c r="V49" i="25"/>
  <c r="W49" i="25"/>
  <c r="X49" i="25"/>
  <c r="Y49" i="25"/>
  <c r="Z49" i="25"/>
  <c r="AA49" i="25"/>
  <c r="AB49" i="25"/>
  <c r="AC49" i="25"/>
  <c r="AD49" i="25"/>
  <c r="AE49" i="25"/>
  <c r="U50" i="25"/>
  <c r="V50" i="25"/>
  <c r="W50" i="25"/>
  <c r="X50" i="25"/>
  <c r="Y50" i="25"/>
  <c r="Z50" i="25"/>
  <c r="AA50" i="25"/>
  <c r="AB50" i="25"/>
  <c r="AC50" i="25"/>
  <c r="AD50" i="25"/>
  <c r="AE50" i="25"/>
  <c r="U51" i="25"/>
  <c r="V51" i="25"/>
  <c r="W51" i="25"/>
  <c r="X51" i="25"/>
  <c r="Y51" i="25"/>
  <c r="Z51" i="25"/>
  <c r="AA51" i="25"/>
  <c r="AB51" i="25"/>
  <c r="AC51" i="25"/>
  <c r="AD51" i="25"/>
  <c r="AE51" i="25"/>
  <c r="U52" i="25"/>
  <c r="V52" i="25"/>
  <c r="W52" i="25"/>
  <c r="X52" i="25"/>
  <c r="Y52" i="25"/>
  <c r="Z52" i="25"/>
  <c r="AA52" i="25"/>
  <c r="AB52" i="25"/>
  <c r="AC52" i="25"/>
  <c r="AD52" i="25"/>
  <c r="AE52" i="25"/>
  <c r="U53" i="25"/>
  <c r="V53" i="25"/>
  <c r="W53" i="25"/>
  <c r="X53" i="25"/>
  <c r="Y53" i="25"/>
  <c r="Z53" i="25"/>
  <c r="AA53" i="25"/>
  <c r="AB53" i="25"/>
  <c r="AC53" i="25"/>
  <c r="AD53" i="25"/>
  <c r="AE53" i="25"/>
  <c r="U54" i="25"/>
  <c r="V54" i="25"/>
  <c r="W54" i="25"/>
  <c r="X54" i="25"/>
  <c r="Y54" i="25"/>
  <c r="Z54" i="25"/>
  <c r="AA54" i="25"/>
  <c r="AB54" i="25"/>
  <c r="AC54" i="25"/>
  <c r="AD54" i="25"/>
  <c r="AE54" i="25"/>
  <c r="U55" i="25"/>
  <c r="V55" i="25"/>
  <c r="W55" i="25"/>
  <c r="X55" i="25"/>
  <c r="Y55" i="25"/>
  <c r="Z55" i="25"/>
  <c r="AA55" i="25"/>
  <c r="AB55" i="25"/>
  <c r="AC55" i="25"/>
  <c r="AD55" i="25"/>
  <c r="AE55" i="25"/>
  <c r="U56" i="25"/>
  <c r="V56" i="25"/>
  <c r="W56" i="25"/>
  <c r="X56" i="25"/>
  <c r="Y56" i="25"/>
  <c r="Z56" i="25"/>
  <c r="AA56" i="25"/>
  <c r="AB56" i="25"/>
  <c r="AC56" i="25"/>
  <c r="AD56" i="25"/>
  <c r="AE56" i="25"/>
  <c r="U57" i="25"/>
  <c r="V57" i="25"/>
  <c r="W57" i="25"/>
  <c r="X57" i="25"/>
  <c r="Y57" i="25"/>
  <c r="Z57" i="25"/>
  <c r="AA57" i="25"/>
  <c r="AB57" i="25"/>
  <c r="AC57" i="25"/>
  <c r="AD57" i="25"/>
  <c r="AE57" i="25"/>
  <c r="U58" i="25"/>
  <c r="V58" i="25"/>
  <c r="W58" i="25"/>
  <c r="X58" i="25"/>
  <c r="Y58" i="25"/>
  <c r="Z58" i="25"/>
  <c r="AA58" i="25"/>
  <c r="AB58" i="25"/>
  <c r="AC58" i="25"/>
  <c r="AD58" i="25"/>
  <c r="AE58" i="25"/>
  <c r="U59" i="25"/>
  <c r="V59" i="25"/>
  <c r="W59" i="25"/>
  <c r="X59" i="25"/>
  <c r="Y59" i="25"/>
  <c r="Z59" i="25"/>
  <c r="AA59" i="25"/>
  <c r="AB59" i="25"/>
  <c r="AC59" i="25"/>
  <c r="AD59" i="25"/>
  <c r="AE59" i="25"/>
  <c r="V32" i="25"/>
  <c r="V61" i="25" s="1"/>
  <c r="W32" i="25"/>
  <c r="X32" i="25"/>
  <c r="X61" i="25" s="1"/>
  <c r="Y32" i="25"/>
  <c r="Z32" i="25"/>
  <c r="Z61" i="25" s="1"/>
  <c r="AA32" i="25"/>
  <c r="AB32" i="25"/>
  <c r="AB61" i="25" s="1"/>
  <c r="AC32" i="25"/>
  <c r="AD32" i="25"/>
  <c r="AD61" i="25" s="1"/>
  <c r="AE32" i="25"/>
  <c r="AE61" i="25" s="1"/>
  <c r="H2" i="25"/>
  <c r="H3" i="25"/>
  <c r="H4" i="25"/>
  <c r="H5" i="25"/>
  <c r="H6" i="25"/>
  <c r="H7" i="25"/>
  <c r="H8" i="25"/>
  <c r="H9" i="25"/>
  <c r="H10" i="25"/>
  <c r="H11" i="25"/>
  <c r="H12" i="25"/>
  <c r="H13" i="25"/>
  <c r="H14" i="25"/>
  <c r="H15" i="25"/>
  <c r="H16" i="25"/>
  <c r="H17" i="25"/>
  <c r="H18" i="25"/>
  <c r="H19" i="25"/>
  <c r="H20" i="25"/>
  <c r="H21" i="25"/>
  <c r="H22" i="25"/>
  <c r="H23" i="25"/>
  <c r="H24" i="25"/>
  <c r="H25" i="25"/>
  <c r="H26" i="25"/>
  <c r="H27" i="25"/>
  <c r="H28" i="25"/>
  <c r="H29" i="25"/>
  <c r="I31" i="25"/>
  <c r="J31" i="25"/>
  <c r="K31" i="25"/>
  <c r="L31" i="25"/>
  <c r="M31" i="25"/>
  <c r="N31" i="25"/>
  <c r="O31" i="25"/>
  <c r="P31" i="25"/>
  <c r="Q31" i="25"/>
  <c r="R31" i="25"/>
  <c r="S31" i="25"/>
  <c r="H4" i="21"/>
  <c r="H3" i="21"/>
  <c r="H5" i="21"/>
  <c r="H6" i="21"/>
  <c r="H7" i="21"/>
  <c r="H8" i="21"/>
  <c r="H9" i="21"/>
  <c r="H10" i="21"/>
  <c r="H11" i="21"/>
  <c r="H12" i="21"/>
  <c r="H13" i="21"/>
  <c r="H14" i="21"/>
  <c r="H15" i="21"/>
  <c r="H16" i="21"/>
  <c r="H17" i="21"/>
  <c r="H18" i="21"/>
  <c r="H19" i="21"/>
  <c r="H20" i="21"/>
  <c r="H21" i="21"/>
  <c r="H22" i="21"/>
  <c r="H23" i="21"/>
  <c r="H24" i="21"/>
  <c r="H25" i="21"/>
  <c r="H26" i="21"/>
  <c r="H27" i="21"/>
  <c r="H28" i="21"/>
  <c r="H29" i="21"/>
  <c r="H2" i="21"/>
  <c r="U31" i="21"/>
  <c r="K31" i="21"/>
  <c r="J33" i="21" s="1" a="1"/>
  <c r="J33" i="21" s="1"/>
  <c r="L31" i="21"/>
  <c r="M31" i="21"/>
  <c r="N31" i="21"/>
  <c r="O31" i="21"/>
  <c r="P31" i="21"/>
  <c r="Q31" i="21"/>
  <c r="R31" i="21"/>
  <c r="S31" i="21"/>
  <c r="T31" i="21"/>
  <c r="J31" i="21"/>
  <c r="I29" i="21"/>
  <c r="I22" i="21"/>
  <c r="I6" i="21"/>
  <c r="V4" i="23"/>
  <c r="V3" i="23"/>
  <c r="V5" i="23"/>
  <c r="V6" i="23"/>
  <c r="V7" i="23"/>
  <c r="V8" i="23"/>
  <c r="V9" i="23"/>
  <c r="V10" i="23"/>
  <c r="V11" i="23"/>
  <c r="V12" i="23"/>
  <c r="V13" i="23"/>
  <c r="V14" i="23"/>
  <c r="V15" i="23"/>
  <c r="V16" i="23"/>
  <c r="V17" i="23"/>
  <c r="V18" i="23"/>
  <c r="V19" i="23"/>
  <c r="V20" i="23"/>
  <c r="V21" i="23"/>
  <c r="V22" i="23"/>
  <c r="V23" i="23"/>
  <c r="V24" i="23"/>
  <c r="V25" i="23"/>
  <c r="V26" i="23"/>
  <c r="V27" i="23"/>
  <c r="V28" i="23"/>
  <c r="V29" i="23"/>
  <c r="V2" i="23"/>
  <c r="AJ2" i="23" a="1"/>
  <c r="AJ2" i="23" s="1"/>
  <c r="AI2" i="23" s="1"/>
  <c r="AY6" i="23"/>
  <c r="BC6" i="23" s="1"/>
  <c r="AY8" i="23"/>
  <c r="AZ8" i="23" s="1"/>
  <c r="BB8" i="23" s="1"/>
  <c r="AY9" i="23"/>
  <c r="AY29" i="23"/>
  <c r="H29" i="23"/>
  <c r="H27" i="23"/>
  <c r="H22" i="23"/>
  <c r="H19" i="23"/>
  <c r="H17" i="23"/>
  <c r="H14" i="23"/>
  <c r="H8" i="23"/>
  <c r="H6" i="23"/>
  <c r="H10" i="23"/>
  <c r="H26" i="23"/>
  <c r="H9" i="23"/>
  <c r="H15" i="23"/>
  <c r="H16" i="23"/>
  <c r="H23" i="23"/>
  <c r="H24" i="23"/>
  <c r="H2" i="23"/>
  <c r="AY3" i="23"/>
  <c r="BC3" i="23" s="1"/>
  <c r="AY4" i="23"/>
  <c r="BC4" i="23" s="1"/>
  <c r="AY5" i="23"/>
  <c r="BC5" i="23" s="1"/>
  <c r="AY7" i="23"/>
  <c r="BC7" i="23" s="1"/>
  <c r="BC9" i="23"/>
  <c r="AY10" i="23"/>
  <c r="BC10" i="23" s="1"/>
  <c r="AY11" i="23"/>
  <c r="BC11" i="23" s="1"/>
  <c r="AY13" i="23"/>
  <c r="BC13" i="23" s="1"/>
  <c r="AY14" i="23"/>
  <c r="BC14" i="23" s="1"/>
  <c r="AY15" i="23"/>
  <c r="BC15" i="23" s="1"/>
  <c r="AY16" i="23"/>
  <c r="BC16" i="23" s="1"/>
  <c r="AY17" i="23"/>
  <c r="BC17" i="23" s="1"/>
  <c r="AY18" i="23"/>
  <c r="BC18" i="23" s="1"/>
  <c r="AY19" i="23"/>
  <c r="BC19" i="23" s="1"/>
  <c r="AY20" i="23"/>
  <c r="BC20" i="23" s="1"/>
  <c r="AY21" i="23"/>
  <c r="BC21" i="23" s="1"/>
  <c r="AY22" i="23"/>
  <c r="BC22" i="23" s="1"/>
  <c r="AY23" i="23"/>
  <c r="BC23" i="23" s="1"/>
  <c r="AY24" i="23"/>
  <c r="BC24" i="23" s="1"/>
  <c r="AY25" i="23"/>
  <c r="BC25" i="23" s="1"/>
  <c r="AY26" i="23"/>
  <c r="BC26" i="23" s="1"/>
  <c r="AY27" i="23"/>
  <c r="BC27" i="23" s="1"/>
  <c r="AY28" i="23"/>
  <c r="BC28" i="23" s="1"/>
  <c r="AY2" i="23"/>
  <c r="BC2" i="23" s="1"/>
  <c r="AW12" i="23"/>
  <c r="AX12" i="23"/>
  <c r="AV12" i="23"/>
  <c r="BH26" i="23" a="1"/>
  <c r="BH26" i="23" s="1"/>
  <c r="AJ25" i="23" a="1"/>
  <c r="AJ25" i="23" s="1"/>
  <c r="AI25" i="23" s="1"/>
  <c r="AJ12" i="23" a="1"/>
  <c r="AJ12" i="23" s="1"/>
  <c r="AI12" i="23" s="1"/>
  <c r="AJ7" i="23" a="1"/>
  <c r="AJ7" i="23" s="1"/>
  <c r="AI7" i="23" s="1"/>
  <c r="AJ16" i="23" a="1"/>
  <c r="AJ16" i="23" s="1"/>
  <c r="AI16" i="23" s="1"/>
  <c r="AJ9" i="23" a="1"/>
  <c r="AJ9" i="23" s="1"/>
  <c r="AI9" i="23" s="1"/>
  <c r="AJ4" i="23" a="1"/>
  <c r="AJ4" i="23" s="1"/>
  <c r="AI4" i="23" s="1"/>
  <c r="H20" i="23"/>
  <c r="H21" i="23"/>
  <c r="H25" i="23"/>
  <c r="H28" i="23"/>
  <c r="H11" i="23"/>
  <c r="AJ29" i="23" a="1"/>
  <c r="AJ29" i="23" s="1"/>
  <c r="AI29" i="23" s="1"/>
  <c r="AJ28" i="23" a="1"/>
  <c r="AJ28" i="23" s="1"/>
  <c r="AI28" i="23" s="1"/>
  <c r="AJ27" i="23" a="1"/>
  <c r="AJ27" i="23" s="1"/>
  <c r="AI27" i="23" s="1"/>
  <c r="AJ26" i="23" a="1"/>
  <c r="AJ26" i="23" s="1"/>
  <c r="AI26" i="23" s="1"/>
  <c r="AJ24" i="23" a="1"/>
  <c r="AJ24" i="23" s="1"/>
  <c r="AI24" i="23" s="1"/>
  <c r="AJ23" i="23" a="1"/>
  <c r="AJ23" i="23" s="1"/>
  <c r="AI23" i="23" s="1"/>
  <c r="AJ22" i="23" a="1"/>
  <c r="AJ22" i="23" s="1"/>
  <c r="AI22" i="23" s="1"/>
  <c r="AJ21" i="23" a="1"/>
  <c r="AJ21" i="23" s="1"/>
  <c r="AI21" i="23" s="1"/>
  <c r="AJ20" i="23" a="1"/>
  <c r="AJ20" i="23" s="1"/>
  <c r="AI20" i="23" s="1"/>
  <c r="AJ19" i="23" a="1"/>
  <c r="AJ19" i="23" s="1"/>
  <c r="AI19" i="23" s="1"/>
  <c r="AJ17" i="23" a="1"/>
  <c r="AJ17" i="23" s="1"/>
  <c r="AI17" i="23" s="1"/>
  <c r="AJ15" i="23" a="1"/>
  <c r="AJ15" i="23" s="1"/>
  <c r="AI15" i="23" s="1"/>
  <c r="AJ14" i="23" a="1"/>
  <c r="AJ14" i="23" s="1"/>
  <c r="AI14" i="23" s="1"/>
  <c r="AJ13" i="23" a="1"/>
  <c r="AJ13" i="23" s="1"/>
  <c r="AI13" i="23" s="1"/>
  <c r="H13" i="23"/>
  <c r="H12" i="23"/>
  <c r="AJ11" i="23" a="1"/>
  <c r="AJ11" i="23" s="1"/>
  <c r="AI11" i="23" s="1"/>
  <c r="AJ10" i="23" a="1"/>
  <c r="AJ10" i="23" s="1"/>
  <c r="AI10" i="23" s="1"/>
  <c r="AJ8" i="23" a="1"/>
  <c r="AJ8" i="23" s="1"/>
  <c r="AI8" i="23" s="1"/>
  <c r="H7" i="23"/>
  <c r="AJ6" i="23" a="1"/>
  <c r="AJ6" i="23" s="1"/>
  <c r="AI6" i="23" s="1"/>
  <c r="H5" i="23"/>
  <c r="H4" i="23"/>
  <c r="AJ3" i="23" a="1"/>
  <c r="AJ3" i="23" s="1"/>
  <c r="AI3" i="23" s="1"/>
  <c r="H3" i="23"/>
  <c r="AI17" i="21" a="1"/>
  <c r="AI17" i="21" s="1"/>
  <c r="AI28" i="21" a="1"/>
  <c r="AI28" i="21" s="1"/>
  <c r="AI29" i="21" a="1"/>
  <c r="AI29" i="21" s="1"/>
  <c r="AI23" i="21" a="1"/>
  <c r="AI23" i="21" s="1"/>
  <c r="AI24" i="21" a="1"/>
  <c r="AI24" i="21" s="1"/>
  <c r="AI25" i="21" a="1"/>
  <c r="AI25" i="21" s="1"/>
  <c r="AI26" i="21" a="1"/>
  <c r="AI26" i="21" s="1"/>
  <c r="AI27" i="21" a="1"/>
  <c r="AI27" i="21" s="1"/>
  <c r="AI3" i="21" a="1"/>
  <c r="AI3" i="21" s="1"/>
  <c r="AI4" i="21" a="1"/>
  <c r="AI4" i="21" s="1"/>
  <c r="AI5" i="21" a="1"/>
  <c r="AI5" i="21" s="1"/>
  <c r="AI6" i="21" a="1"/>
  <c r="AI6" i="21" s="1"/>
  <c r="AI7" i="21" a="1"/>
  <c r="AI7" i="21" s="1"/>
  <c r="AI8" i="21" a="1"/>
  <c r="AI8" i="21" s="1"/>
  <c r="AI9" i="21" a="1"/>
  <c r="AI9" i="21" s="1"/>
  <c r="AI10" i="21" a="1"/>
  <c r="AI10" i="21" s="1"/>
  <c r="AI11" i="21" a="1"/>
  <c r="AI11" i="21" s="1"/>
  <c r="AI12" i="21" a="1"/>
  <c r="AI12" i="21" s="1"/>
  <c r="AI13" i="21" a="1"/>
  <c r="AI13" i="21" s="1"/>
  <c r="AI14" i="21" a="1"/>
  <c r="AI14" i="21" s="1"/>
  <c r="AI15" i="21" a="1"/>
  <c r="AI15" i="21" s="1"/>
  <c r="AI16" i="21" a="1"/>
  <c r="AI16" i="21" s="1"/>
  <c r="AI18" i="21" a="1"/>
  <c r="AI18" i="21" s="1"/>
  <c r="AI19" i="21" a="1"/>
  <c r="AI19" i="21" s="1"/>
  <c r="AI20" i="21" a="1"/>
  <c r="AI20" i="21" s="1"/>
  <c r="AI21" i="21" a="1"/>
  <c r="AI21" i="21" s="1"/>
  <c r="AI22" i="21" a="1"/>
  <c r="AI22" i="21" s="1"/>
  <c r="AI2" i="21" a="1"/>
  <c r="AI2" i="21" s="1"/>
  <c r="BE32" i="25" l="1"/>
  <c r="AW32" i="25"/>
  <c r="BD32" i="25"/>
  <c r="AV32" i="25"/>
  <c r="AU34" i="25" s="1" a="1"/>
  <c r="BC32" i="25"/>
  <c r="BB32" i="25"/>
  <c r="BA32" i="25"/>
  <c r="AZ32" i="25"/>
  <c r="AY32" i="25"/>
  <c r="AX32" i="25"/>
  <c r="I33" i="25" a="1"/>
  <c r="I33" i="25" s="1"/>
  <c r="AZ6" i="23"/>
  <c r="BB6" i="23" s="1"/>
  <c r="BE6" i="23" s="1"/>
  <c r="BB11" i="23"/>
  <c r="BE11" i="23" s="1"/>
  <c r="BB26" i="23"/>
  <c r="BE26" i="23" s="1"/>
  <c r="BB10" i="23"/>
  <c r="BE10" i="23" s="1"/>
  <c r="AZ2" i="23"/>
  <c r="BD2" i="23" s="1"/>
  <c r="AZ29" i="23"/>
  <c r="BD29" i="23" s="1"/>
  <c r="BC29" i="23"/>
  <c r="AY12" i="23"/>
  <c r="BC12" i="23" s="1"/>
  <c r="AZ17" i="23"/>
  <c r="BD17" i="23" s="1"/>
  <c r="AZ27" i="23"/>
  <c r="BD27" i="23" s="1"/>
  <c r="AZ21" i="23"/>
  <c r="BD21" i="23" s="1"/>
  <c r="AZ25" i="23"/>
  <c r="BD25" i="23" s="1"/>
  <c r="AZ24" i="23"/>
  <c r="BD24" i="23" s="1"/>
  <c r="AZ16" i="23"/>
  <c r="BD16" i="23" s="1"/>
  <c r="AZ7" i="23"/>
  <c r="BD7" i="23" s="1"/>
  <c r="AZ15" i="23"/>
  <c r="AZ13" i="23"/>
  <c r="BD13" i="23" s="1"/>
  <c r="AZ28" i="23"/>
  <c r="BD28" i="23" s="1"/>
  <c r="AZ20" i="23"/>
  <c r="BD20" i="23" s="1"/>
  <c r="AZ11" i="23"/>
  <c r="BD11" i="23" s="1"/>
  <c r="AZ3" i="23"/>
  <c r="BD3" i="23" s="1"/>
  <c r="AZ19" i="23"/>
  <c r="BD19" i="23" s="1"/>
  <c r="AZ10" i="23"/>
  <c r="BD10" i="23" s="1"/>
  <c r="AZ26" i="23"/>
  <c r="BD26" i="23" s="1"/>
  <c r="AZ9" i="23"/>
  <c r="BD9" i="23" s="1"/>
  <c r="AZ23" i="23"/>
  <c r="BH3" i="23"/>
  <c r="AZ22" i="23"/>
  <c r="BD22" i="23" s="1"/>
  <c r="AZ14" i="23"/>
  <c r="BD14" i="23" s="1"/>
  <c r="AZ4" i="23"/>
  <c r="BD4" i="23" s="1"/>
  <c r="AI32" i="21"/>
  <c r="AM32" i="21"/>
  <c r="AO32" i="21"/>
  <c r="AN32" i="21"/>
  <c r="AT32" i="21"/>
  <c r="AL32" i="21"/>
  <c r="AS32" i="21"/>
  <c r="AK32" i="21"/>
  <c r="AR32" i="21"/>
  <c r="AJ32" i="21"/>
  <c r="AQ32" i="21"/>
  <c r="AP32" i="21"/>
  <c r="AU34" i="25" l="1"/>
  <c r="AU36" i="25" s="1"/>
  <c r="AY36" i="25"/>
  <c r="BD6" i="23"/>
  <c r="BB19" i="23"/>
  <c r="BE19" i="23" s="1"/>
  <c r="BB28" i="23"/>
  <c r="BE28" i="23" s="1"/>
  <c r="BB4" i="23"/>
  <c r="BE4" i="23" s="1"/>
  <c r="BB13" i="23"/>
  <c r="BE13" i="23" s="1"/>
  <c r="BB7" i="23"/>
  <c r="BE7" i="23" s="1"/>
  <c r="BB24" i="23"/>
  <c r="BE24" i="23" s="1"/>
  <c r="BB27" i="23"/>
  <c r="BE27" i="23" s="1"/>
  <c r="BB29" i="23"/>
  <c r="BE29" i="23" s="1"/>
  <c r="BB21" i="23"/>
  <c r="BE21" i="23" s="1"/>
  <c r="BB9" i="23"/>
  <c r="BE9" i="23" s="1"/>
  <c r="BB3" i="23"/>
  <c r="BE3" i="23" s="1"/>
  <c r="BB14" i="23"/>
  <c r="BE14" i="23" s="1"/>
  <c r="BD15" i="23"/>
  <c r="BB15" i="23"/>
  <c r="BE15" i="23" s="1"/>
  <c r="BB17" i="23"/>
  <c r="BE17" i="23" s="1"/>
  <c r="BB22" i="23"/>
  <c r="BE22" i="23" s="1"/>
  <c r="BD23" i="23"/>
  <c r="BB23" i="23"/>
  <c r="BE23" i="23" s="1"/>
  <c r="BB16" i="23"/>
  <c r="BE16" i="23" s="1"/>
  <c r="BB25" i="23"/>
  <c r="BE25" i="23" s="1"/>
  <c r="BB20" i="23"/>
  <c r="BE20" i="23" s="1"/>
  <c r="BB2" i="23"/>
  <c r="BE2" i="23" s="1"/>
  <c r="AZ12" i="23"/>
  <c r="AJ5" i="23" a="1"/>
  <c r="AH32" i="21"/>
  <c r="AI34" i="21" s="1" a="1"/>
  <c r="BD12" i="23" l="1"/>
  <c r="BB12" i="23"/>
  <c r="BE12" i="23" s="1"/>
  <c r="AZ5" i="23"/>
  <c r="BD5" i="23" s="1"/>
  <c r="AJ5" i="23"/>
  <c r="AI5" i="23" s="1"/>
  <c r="AI34" i="21"/>
  <c r="AI36" i="21" s="1"/>
  <c r="AK36" i="21"/>
  <c r="AM36" i="21"/>
  <c r="BB5" i="23" l="1"/>
  <c r="BE5" i="23" s="1"/>
  <c r="I3" i="21" l="1"/>
  <c r="I5" i="21"/>
  <c r="I7" i="21"/>
  <c r="I8" i="21"/>
  <c r="I9" i="21"/>
  <c r="I10" i="21"/>
  <c r="I11" i="21"/>
  <c r="I12" i="21"/>
  <c r="I13" i="21"/>
  <c r="I14" i="21"/>
  <c r="I15" i="21"/>
  <c r="I16" i="21"/>
  <c r="I17" i="21"/>
  <c r="I18" i="21"/>
  <c r="I19" i="21"/>
  <c r="I20" i="21"/>
  <c r="I21" i="21"/>
  <c r="I23" i="21"/>
  <c r="I24" i="21"/>
  <c r="I25" i="21"/>
  <c r="I26" i="21"/>
  <c r="I27" i="21"/>
  <c r="I28" i="21"/>
  <c r="I2" i="21"/>
  <c r="I32" i="12"/>
  <c r="J32" i="12"/>
  <c r="K32" i="12"/>
  <c r="L32" i="12"/>
  <c r="M32" i="12"/>
  <c r="N32" i="12"/>
  <c r="O32" i="12"/>
  <c r="P32" i="12"/>
  <c r="Q32" i="12"/>
  <c r="R32" i="12"/>
  <c r="S32" i="12"/>
  <c r="H32" i="12"/>
  <c r="G3" i="19"/>
  <c r="H3" i="19"/>
  <c r="G4" i="19"/>
  <c r="H4" i="19"/>
  <c r="G5" i="19"/>
  <c r="H5" i="19"/>
  <c r="G6" i="19"/>
  <c r="H6" i="19"/>
  <c r="G7" i="19"/>
  <c r="H7" i="19"/>
  <c r="G8" i="19"/>
  <c r="H8" i="19"/>
  <c r="G9" i="19"/>
  <c r="H9" i="19"/>
  <c r="G14" i="19"/>
  <c r="H14" i="19"/>
  <c r="G15" i="19"/>
  <c r="H15" i="19"/>
  <c r="G16" i="19"/>
  <c r="H16" i="19"/>
  <c r="G17" i="19"/>
  <c r="H17" i="19"/>
  <c r="G18" i="19"/>
  <c r="H18" i="19"/>
  <c r="G19" i="19"/>
  <c r="H19" i="19"/>
  <c r="G10" i="19"/>
  <c r="H10" i="19"/>
  <c r="G11" i="19"/>
  <c r="H11" i="19"/>
  <c r="G12" i="19"/>
  <c r="H12" i="19"/>
  <c r="G13" i="19"/>
  <c r="H13" i="19"/>
  <c r="G20" i="19"/>
  <c r="H20" i="19"/>
  <c r="G21" i="19"/>
  <c r="H21" i="19"/>
  <c r="G23" i="19"/>
  <c r="H23" i="19"/>
  <c r="G22" i="19"/>
  <c r="H22" i="19"/>
  <c r="G24" i="19"/>
  <c r="H24" i="19"/>
  <c r="G25" i="19"/>
  <c r="H25" i="19"/>
  <c r="G26" i="19"/>
  <c r="H26" i="19"/>
  <c r="G28" i="19"/>
  <c r="H28" i="19"/>
  <c r="G30" i="19"/>
  <c r="H30" i="19"/>
  <c r="G27" i="19"/>
  <c r="H27" i="19"/>
  <c r="G29" i="19"/>
  <c r="H29" i="19"/>
  <c r="H2" i="19"/>
  <c r="G2" i="19"/>
  <c r="F29" i="19"/>
  <c r="E29" i="19"/>
  <c r="F27" i="19"/>
  <c r="E27" i="19"/>
  <c r="F30" i="19"/>
  <c r="E30" i="19"/>
  <c r="F28" i="19"/>
  <c r="E28" i="19"/>
  <c r="F26" i="19"/>
  <c r="E26" i="19"/>
  <c r="F25" i="19"/>
  <c r="E25" i="19"/>
  <c r="F24" i="19"/>
  <c r="E24" i="19"/>
  <c r="F22" i="19"/>
  <c r="E22" i="19"/>
  <c r="F23" i="19"/>
  <c r="E23" i="19"/>
  <c r="F21" i="19"/>
  <c r="E21" i="19"/>
  <c r="F20" i="19"/>
  <c r="E20" i="19"/>
  <c r="F13" i="19"/>
  <c r="E13" i="19"/>
  <c r="F12" i="19"/>
  <c r="E12" i="19"/>
  <c r="F11" i="19"/>
  <c r="E11" i="19"/>
  <c r="F10" i="19"/>
  <c r="E10" i="19"/>
  <c r="F19" i="19"/>
  <c r="E19" i="19"/>
  <c r="F18" i="19"/>
  <c r="E18" i="19"/>
  <c r="F17" i="19"/>
  <c r="E17" i="19"/>
  <c r="F16" i="19"/>
  <c r="E16" i="19"/>
  <c r="F15" i="19"/>
  <c r="E15" i="19"/>
  <c r="F14" i="19"/>
  <c r="E14" i="19"/>
  <c r="F9" i="19"/>
  <c r="E9" i="19"/>
  <c r="F8" i="19"/>
  <c r="E8" i="19"/>
  <c r="F7" i="19"/>
  <c r="E7" i="19"/>
  <c r="F6" i="19"/>
  <c r="E6" i="19"/>
  <c r="F5" i="19"/>
  <c r="E5" i="19"/>
  <c r="F4" i="19"/>
  <c r="E4" i="19"/>
  <c r="F3" i="19"/>
  <c r="E3" i="19"/>
  <c r="F2" i="19"/>
  <c r="E2" i="19"/>
  <c r="U34" i="17"/>
  <c r="V34" i="17"/>
  <c r="W34" i="17"/>
  <c r="X34" i="17"/>
  <c r="Y34" i="17"/>
  <c r="Z34" i="17"/>
  <c r="AA34" i="17"/>
  <c r="AB34" i="17"/>
  <c r="AC34" i="17"/>
  <c r="AD34" i="17"/>
  <c r="T34" i="17"/>
  <c r="S32" i="17"/>
  <c r="U32" i="17"/>
  <c r="V32" i="17"/>
  <c r="W32" i="17"/>
  <c r="X32" i="17"/>
  <c r="Y32" i="17"/>
  <c r="Z32" i="17"/>
  <c r="AA32" i="17"/>
  <c r="AB32" i="17"/>
  <c r="AC32" i="17"/>
  <c r="AD32" i="17"/>
  <c r="T32" i="17"/>
  <c r="V2" i="16"/>
  <c r="AH2" i="16" s="1"/>
  <c r="W2" i="16"/>
  <c r="AI2" i="16" s="1"/>
  <c r="X2" i="16"/>
  <c r="AJ2" i="16" s="1"/>
  <c r="Y2" i="16"/>
  <c r="AK2" i="16" s="1"/>
  <c r="Z2" i="16"/>
  <c r="AL2" i="16" s="1"/>
  <c r="AA2" i="16"/>
  <c r="AM2" i="16" s="1"/>
  <c r="AB2" i="16"/>
  <c r="AN2" i="16" s="1"/>
  <c r="AC2" i="16"/>
  <c r="AO2" i="16" s="1"/>
  <c r="AD2" i="16"/>
  <c r="AP2" i="16" s="1"/>
  <c r="AE2" i="16"/>
  <c r="AQ2" i="16" s="1"/>
  <c r="V3" i="16"/>
  <c r="AH3" i="16" s="1"/>
  <c r="W3" i="16"/>
  <c r="AI3" i="16" s="1"/>
  <c r="X3" i="16"/>
  <c r="AJ3" i="16" s="1"/>
  <c r="Y3" i="16"/>
  <c r="AK3" i="16" s="1"/>
  <c r="Z3" i="16"/>
  <c r="AL3" i="16" s="1"/>
  <c r="AA3" i="16"/>
  <c r="AM3" i="16" s="1"/>
  <c r="AB3" i="16"/>
  <c r="AN3" i="16" s="1"/>
  <c r="AC3" i="16"/>
  <c r="AO3" i="16" s="1"/>
  <c r="AD3" i="16"/>
  <c r="AP3" i="16" s="1"/>
  <c r="AE3" i="16"/>
  <c r="AQ3" i="16" s="1"/>
  <c r="V4" i="16"/>
  <c r="AH4" i="16" s="1"/>
  <c r="W4" i="16"/>
  <c r="AI4" i="16" s="1"/>
  <c r="X4" i="16"/>
  <c r="AJ4" i="16" s="1"/>
  <c r="Y4" i="16"/>
  <c r="AK4" i="16" s="1"/>
  <c r="Z4" i="16"/>
  <c r="AL4" i="16" s="1"/>
  <c r="AA4" i="16"/>
  <c r="AM4" i="16" s="1"/>
  <c r="AB4" i="16"/>
  <c r="AN4" i="16" s="1"/>
  <c r="AC4" i="16"/>
  <c r="AO4" i="16" s="1"/>
  <c r="AD4" i="16"/>
  <c r="AP4" i="16" s="1"/>
  <c r="AE4" i="16"/>
  <c r="AQ4" i="16" s="1"/>
  <c r="V5" i="16"/>
  <c r="AH5" i="16" s="1"/>
  <c r="W5" i="16"/>
  <c r="AI5" i="16" s="1"/>
  <c r="X5" i="16"/>
  <c r="AJ5" i="16" s="1"/>
  <c r="Y5" i="16"/>
  <c r="AK5" i="16" s="1"/>
  <c r="Z5" i="16"/>
  <c r="AL5" i="16" s="1"/>
  <c r="AA5" i="16"/>
  <c r="AM5" i="16" s="1"/>
  <c r="AB5" i="16"/>
  <c r="AN5" i="16" s="1"/>
  <c r="AC5" i="16"/>
  <c r="AO5" i="16" s="1"/>
  <c r="AD5" i="16"/>
  <c r="AP5" i="16" s="1"/>
  <c r="AE5" i="16"/>
  <c r="AQ5" i="16" s="1"/>
  <c r="V6" i="16"/>
  <c r="AH6" i="16" s="1"/>
  <c r="W6" i="16"/>
  <c r="AI6" i="16" s="1"/>
  <c r="X6" i="16"/>
  <c r="AJ6" i="16" s="1"/>
  <c r="Y6" i="16"/>
  <c r="AK6" i="16" s="1"/>
  <c r="Z6" i="16"/>
  <c r="AL6" i="16" s="1"/>
  <c r="AA6" i="16"/>
  <c r="AM6" i="16" s="1"/>
  <c r="AB6" i="16"/>
  <c r="AN6" i="16" s="1"/>
  <c r="AC6" i="16"/>
  <c r="AO6" i="16" s="1"/>
  <c r="AD6" i="16"/>
  <c r="AP6" i="16" s="1"/>
  <c r="AE6" i="16"/>
  <c r="AQ6" i="16" s="1"/>
  <c r="V7" i="16"/>
  <c r="AH7" i="16" s="1"/>
  <c r="W7" i="16"/>
  <c r="AI7" i="16" s="1"/>
  <c r="X7" i="16"/>
  <c r="AJ7" i="16" s="1"/>
  <c r="Y7" i="16"/>
  <c r="AK7" i="16" s="1"/>
  <c r="Z7" i="16"/>
  <c r="AL7" i="16" s="1"/>
  <c r="AA7" i="16"/>
  <c r="AM7" i="16" s="1"/>
  <c r="AB7" i="16"/>
  <c r="AN7" i="16" s="1"/>
  <c r="AC7" i="16"/>
  <c r="AO7" i="16" s="1"/>
  <c r="AD7" i="16"/>
  <c r="AP7" i="16" s="1"/>
  <c r="AE7" i="16"/>
  <c r="AQ7" i="16" s="1"/>
  <c r="V8" i="16"/>
  <c r="AH8" i="16" s="1"/>
  <c r="W8" i="16"/>
  <c r="AI8" i="16" s="1"/>
  <c r="X8" i="16"/>
  <c r="AJ8" i="16" s="1"/>
  <c r="Y8" i="16"/>
  <c r="AK8" i="16" s="1"/>
  <c r="Z8" i="16"/>
  <c r="AL8" i="16" s="1"/>
  <c r="AA8" i="16"/>
  <c r="AM8" i="16" s="1"/>
  <c r="AB8" i="16"/>
  <c r="AN8" i="16" s="1"/>
  <c r="AC8" i="16"/>
  <c r="AO8" i="16" s="1"/>
  <c r="AD8" i="16"/>
  <c r="AP8" i="16" s="1"/>
  <c r="AE8" i="16"/>
  <c r="AQ8" i="16" s="1"/>
  <c r="V9" i="16"/>
  <c r="AH9" i="16" s="1"/>
  <c r="W9" i="16"/>
  <c r="AI9" i="16" s="1"/>
  <c r="X9" i="16"/>
  <c r="AJ9" i="16" s="1"/>
  <c r="Y9" i="16"/>
  <c r="AK9" i="16" s="1"/>
  <c r="Z9" i="16"/>
  <c r="AL9" i="16" s="1"/>
  <c r="AA9" i="16"/>
  <c r="AM9" i="16" s="1"/>
  <c r="AB9" i="16"/>
  <c r="AN9" i="16" s="1"/>
  <c r="AC9" i="16"/>
  <c r="AO9" i="16" s="1"/>
  <c r="AD9" i="16"/>
  <c r="AP9" i="16" s="1"/>
  <c r="AE9" i="16"/>
  <c r="AQ9" i="16" s="1"/>
  <c r="V10" i="16"/>
  <c r="AH10" i="16" s="1"/>
  <c r="W10" i="16"/>
  <c r="AI10" i="16" s="1"/>
  <c r="X10" i="16"/>
  <c r="AJ10" i="16" s="1"/>
  <c r="Y10" i="16"/>
  <c r="AK10" i="16" s="1"/>
  <c r="Z10" i="16"/>
  <c r="AL10" i="16" s="1"/>
  <c r="AA10" i="16"/>
  <c r="AM10" i="16" s="1"/>
  <c r="AB10" i="16"/>
  <c r="AN10" i="16" s="1"/>
  <c r="AC10" i="16"/>
  <c r="AO10" i="16" s="1"/>
  <c r="AD10" i="16"/>
  <c r="AP10" i="16" s="1"/>
  <c r="AE10" i="16"/>
  <c r="AQ10" i="16" s="1"/>
  <c r="V11" i="16"/>
  <c r="AH11" i="16" s="1"/>
  <c r="W11" i="16"/>
  <c r="AI11" i="16" s="1"/>
  <c r="X11" i="16"/>
  <c r="AJ11" i="16" s="1"/>
  <c r="Y11" i="16"/>
  <c r="AK11" i="16" s="1"/>
  <c r="Z11" i="16"/>
  <c r="AL11" i="16" s="1"/>
  <c r="AA11" i="16"/>
  <c r="AM11" i="16" s="1"/>
  <c r="AB11" i="16"/>
  <c r="AN11" i="16" s="1"/>
  <c r="AC11" i="16"/>
  <c r="AO11" i="16" s="1"/>
  <c r="AD11" i="16"/>
  <c r="AP11" i="16" s="1"/>
  <c r="AE11" i="16"/>
  <c r="AQ11" i="16" s="1"/>
  <c r="V12" i="16"/>
  <c r="AH12" i="16" s="1"/>
  <c r="W12" i="16"/>
  <c r="AI12" i="16" s="1"/>
  <c r="X12" i="16"/>
  <c r="AJ12" i="16" s="1"/>
  <c r="Y12" i="16"/>
  <c r="AK12" i="16" s="1"/>
  <c r="Z12" i="16"/>
  <c r="AL12" i="16" s="1"/>
  <c r="AA12" i="16"/>
  <c r="AM12" i="16" s="1"/>
  <c r="AB12" i="16"/>
  <c r="AN12" i="16" s="1"/>
  <c r="AC12" i="16"/>
  <c r="AO12" i="16" s="1"/>
  <c r="AD12" i="16"/>
  <c r="AP12" i="16" s="1"/>
  <c r="AE12" i="16"/>
  <c r="AQ12" i="16" s="1"/>
  <c r="V13" i="16"/>
  <c r="AH13" i="16" s="1"/>
  <c r="W13" i="16"/>
  <c r="AI13" i="16" s="1"/>
  <c r="X13" i="16"/>
  <c r="AJ13" i="16" s="1"/>
  <c r="Y13" i="16"/>
  <c r="AK13" i="16" s="1"/>
  <c r="Z13" i="16"/>
  <c r="AL13" i="16" s="1"/>
  <c r="AA13" i="16"/>
  <c r="AM13" i="16" s="1"/>
  <c r="AB13" i="16"/>
  <c r="AN13" i="16" s="1"/>
  <c r="AC13" i="16"/>
  <c r="AO13" i="16" s="1"/>
  <c r="AD13" i="16"/>
  <c r="AP13" i="16" s="1"/>
  <c r="AE13" i="16"/>
  <c r="AQ13" i="16" s="1"/>
  <c r="V14" i="16"/>
  <c r="AH14" i="16" s="1"/>
  <c r="W14" i="16"/>
  <c r="AI14" i="16" s="1"/>
  <c r="X14" i="16"/>
  <c r="AJ14" i="16" s="1"/>
  <c r="Y14" i="16"/>
  <c r="AK14" i="16" s="1"/>
  <c r="Z14" i="16"/>
  <c r="AL14" i="16" s="1"/>
  <c r="AA14" i="16"/>
  <c r="AM14" i="16" s="1"/>
  <c r="AB14" i="16"/>
  <c r="AN14" i="16" s="1"/>
  <c r="AC14" i="16"/>
  <c r="AO14" i="16" s="1"/>
  <c r="AD14" i="16"/>
  <c r="AP14" i="16" s="1"/>
  <c r="AE14" i="16"/>
  <c r="AQ14" i="16" s="1"/>
  <c r="V15" i="16"/>
  <c r="AH15" i="16" s="1"/>
  <c r="W15" i="16"/>
  <c r="AI15" i="16" s="1"/>
  <c r="X15" i="16"/>
  <c r="AJ15" i="16" s="1"/>
  <c r="Y15" i="16"/>
  <c r="AK15" i="16" s="1"/>
  <c r="Z15" i="16"/>
  <c r="AL15" i="16" s="1"/>
  <c r="AA15" i="16"/>
  <c r="AM15" i="16" s="1"/>
  <c r="AB15" i="16"/>
  <c r="AN15" i="16" s="1"/>
  <c r="AC15" i="16"/>
  <c r="AO15" i="16" s="1"/>
  <c r="AD15" i="16"/>
  <c r="AP15" i="16" s="1"/>
  <c r="AE15" i="16"/>
  <c r="AQ15" i="16" s="1"/>
  <c r="V16" i="16"/>
  <c r="AH16" i="16" s="1"/>
  <c r="W16" i="16"/>
  <c r="AI16" i="16" s="1"/>
  <c r="X16" i="16"/>
  <c r="AJ16" i="16" s="1"/>
  <c r="Y16" i="16"/>
  <c r="AK16" i="16" s="1"/>
  <c r="Z16" i="16"/>
  <c r="AL16" i="16" s="1"/>
  <c r="AA16" i="16"/>
  <c r="AM16" i="16" s="1"/>
  <c r="AB16" i="16"/>
  <c r="AN16" i="16" s="1"/>
  <c r="AC16" i="16"/>
  <c r="AO16" i="16" s="1"/>
  <c r="AD16" i="16"/>
  <c r="AP16" i="16" s="1"/>
  <c r="AE16" i="16"/>
  <c r="AQ16" i="16" s="1"/>
  <c r="V17" i="16"/>
  <c r="AH17" i="16" s="1"/>
  <c r="W17" i="16"/>
  <c r="AI17" i="16" s="1"/>
  <c r="X17" i="16"/>
  <c r="AJ17" i="16" s="1"/>
  <c r="Y17" i="16"/>
  <c r="AK17" i="16" s="1"/>
  <c r="Z17" i="16"/>
  <c r="AL17" i="16" s="1"/>
  <c r="AA17" i="16"/>
  <c r="AM17" i="16" s="1"/>
  <c r="AB17" i="16"/>
  <c r="AN17" i="16" s="1"/>
  <c r="AC17" i="16"/>
  <c r="AO17" i="16" s="1"/>
  <c r="AD17" i="16"/>
  <c r="AP17" i="16" s="1"/>
  <c r="AE17" i="16"/>
  <c r="AQ17" i="16" s="1"/>
  <c r="V18" i="16"/>
  <c r="AH18" i="16" s="1"/>
  <c r="W18" i="16"/>
  <c r="AI18" i="16" s="1"/>
  <c r="X18" i="16"/>
  <c r="AJ18" i="16" s="1"/>
  <c r="Y18" i="16"/>
  <c r="AK18" i="16" s="1"/>
  <c r="Z18" i="16"/>
  <c r="AL18" i="16" s="1"/>
  <c r="AA18" i="16"/>
  <c r="AM18" i="16" s="1"/>
  <c r="AB18" i="16"/>
  <c r="AN18" i="16" s="1"/>
  <c r="AC18" i="16"/>
  <c r="AO18" i="16" s="1"/>
  <c r="AD18" i="16"/>
  <c r="AP18" i="16" s="1"/>
  <c r="AE18" i="16"/>
  <c r="AQ18" i="16" s="1"/>
  <c r="V19" i="16"/>
  <c r="AH19" i="16" s="1"/>
  <c r="W19" i="16"/>
  <c r="AI19" i="16" s="1"/>
  <c r="X19" i="16"/>
  <c r="AJ19" i="16" s="1"/>
  <c r="Y19" i="16"/>
  <c r="AK19" i="16" s="1"/>
  <c r="Z19" i="16"/>
  <c r="AL19" i="16" s="1"/>
  <c r="AA19" i="16"/>
  <c r="AM19" i="16" s="1"/>
  <c r="AB19" i="16"/>
  <c r="AN19" i="16" s="1"/>
  <c r="AC19" i="16"/>
  <c r="AO19" i="16" s="1"/>
  <c r="AD19" i="16"/>
  <c r="AP19" i="16" s="1"/>
  <c r="AE19" i="16"/>
  <c r="AQ19" i="16" s="1"/>
  <c r="V20" i="16"/>
  <c r="AH20" i="16" s="1"/>
  <c r="W20" i="16"/>
  <c r="AI20" i="16" s="1"/>
  <c r="X20" i="16"/>
  <c r="AJ20" i="16" s="1"/>
  <c r="Y20" i="16"/>
  <c r="AK20" i="16" s="1"/>
  <c r="Z20" i="16"/>
  <c r="AL20" i="16" s="1"/>
  <c r="AA20" i="16"/>
  <c r="AM20" i="16" s="1"/>
  <c r="AB20" i="16"/>
  <c r="AN20" i="16" s="1"/>
  <c r="AC20" i="16"/>
  <c r="AO20" i="16" s="1"/>
  <c r="AD20" i="16"/>
  <c r="AP20" i="16" s="1"/>
  <c r="AE20" i="16"/>
  <c r="AQ20" i="16" s="1"/>
  <c r="V21" i="16"/>
  <c r="AH21" i="16" s="1"/>
  <c r="W21" i="16"/>
  <c r="AI21" i="16" s="1"/>
  <c r="X21" i="16"/>
  <c r="AJ21" i="16" s="1"/>
  <c r="Y21" i="16"/>
  <c r="AK21" i="16" s="1"/>
  <c r="Z21" i="16"/>
  <c r="AL21" i="16" s="1"/>
  <c r="AA21" i="16"/>
  <c r="AM21" i="16" s="1"/>
  <c r="AB21" i="16"/>
  <c r="AN21" i="16" s="1"/>
  <c r="AC21" i="16"/>
  <c r="AO21" i="16" s="1"/>
  <c r="AD21" i="16"/>
  <c r="AP21" i="16" s="1"/>
  <c r="AE21" i="16"/>
  <c r="AQ21" i="16" s="1"/>
  <c r="V22" i="16"/>
  <c r="AH22" i="16" s="1"/>
  <c r="W22" i="16"/>
  <c r="AI22" i="16" s="1"/>
  <c r="X22" i="16"/>
  <c r="AJ22" i="16" s="1"/>
  <c r="Y22" i="16"/>
  <c r="AK22" i="16" s="1"/>
  <c r="Z22" i="16"/>
  <c r="AL22" i="16" s="1"/>
  <c r="AA22" i="16"/>
  <c r="AM22" i="16" s="1"/>
  <c r="AB22" i="16"/>
  <c r="AN22" i="16" s="1"/>
  <c r="AC22" i="16"/>
  <c r="AO22" i="16" s="1"/>
  <c r="AD22" i="16"/>
  <c r="AP22" i="16" s="1"/>
  <c r="AE22" i="16"/>
  <c r="AQ22" i="16" s="1"/>
  <c r="V23" i="16"/>
  <c r="AH23" i="16" s="1"/>
  <c r="W23" i="16"/>
  <c r="AI23" i="16" s="1"/>
  <c r="X23" i="16"/>
  <c r="AJ23" i="16" s="1"/>
  <c r="Y23" i="16"/>
  <c r="AK23" i="16" s="1"/>
  <c r="Z23" i="16"/>
  <c r="AL23" i="16" s="1"/>
  <c r="AA23" i="16"/>
  <c r="AM23" i="16" s="1"/>
  <c r="AB23" i="16"/>
  <c r="AN23" i="16" s="1"/>
  <c r="AC23" i="16"/>
  <c r="AO23" i="16" s="1"/>
  <c r="AD23" i="16"/>
  <c r="AP23" i="16" s="1"/>
  <c r="AE23" i="16"/>
  <c r="AQ23" i="16" s="1"/>
  <c r="V24" i="16"/>
  <c r="AH24" i="16" s="1"/>
  <c r="W24" i="16"/>
  <c r="AI24" i="16" s="1"/>
  <c r="X24" i="16"/>
  <c r="AJ24" i="16" s="1"/>
  <c r="Y24" i="16"/>
  <c r="AK24" i="16" s="1"/>
  <c r="Z24" i="16"/>
  <c r="AL24" i="16" s="1"/>
  <c r="AA24" i="16"/>
  <c r="AM24" i="16" s="1"/>
  <c r="AB24" i="16"/>
  <c r="AN24" i="16" s="1"/>
  <c r="AC24" i="16"/>
  <c r="AO24" i="16" s="1"/>
  <c r="AD24" i="16"/>
  <c r="AP24" i="16" s="1"/>
  <c r="AE24" i="16"/>
  <c r="AQ24" i="16" s="1"/>
  <c r="V25" i="16"/>
  <c r="AH25" i="16" s="1"/>
  <c r="W25" i="16"/>
  <c r="AI25" i="16" s="1"/>
  <c r="X25" i="16"/>
  <c r="AJ25" i="16" s="1"/>
  <c r="Y25" i="16"/>
  <c r="AK25" i="16" s="1"/>
  <c r="Z25" i="16"/>
  <c r="AL25" i="16" s="1"/>
  <c r="AA25" i="16"/>
  <c r="AM25" i="16" s="1"/>
  <c r="AB25" i="16"/>
  <c r="AN25" i="16" s="1"/>
  <c r="AC25" i="16"/>
  <c r="AO25" i="16" s="1"/>
  <c r="AD25" i="16"/>
  <c r="AP25" i="16" s="1"/>
  <c r="AE25" i="16"/>
  <c r="AQ25" i="16" s="1"/>
  <c r="V26" i="16"/>
  <c r="AH26" i="16" s="1"/>
  <c r="W26" i="16"/>
  <c r="AI26" i="16" s="1"/>
  <c r="X26" i="16"/>
  <c r="AJ26" i="16" s="1"/>
  <c r="Y26" i="16"/>
  <c r="AK26" i="16" s="1"/>
  <c r="Z26" i="16"/>
  <c r="AL26" i="16" s="1"/>
  <c r="AA26" i="16"/>
  <c r="AM26" i="16" s="1"/>
  <c r="AB26" i="16"/>
  <c r="AN26" i="16" s="1"/>
  <c r="AC26" i="16"/>
  <c r="AO26" i="16" s="1"/>
  <c r="AD26" i="16"/>
  <c r="AP26" i="16" s="1"/>
  <c r="AE26" i="16"/>
  <c r="AQ26" i="16" s="1"/>
  <c r="V27" i="16"/>
  <c r="AH27" i="16" s="1"/>
  <c r="W27" i="16"/>
  <c r="AI27" i="16" s="1"/>
  <c r="X27" i="16"/>
  <c r="AJ27" i="16" s="1"/>
  <c r="Y27" i="16"/>
  <c r="AK27" i="16" s="1"/>
  <c r="Z27" i="16"/>
  <c r="AL27" i="16" s="1"/>
  <c r="AA27" i="16"/>
  <c r="AM27" i="16" s="1"/>
  <c r="AB27" i="16"/>
  <c r="AN27" i="16" s="1"/>
  <c r="AC27" i="16"/>
  <c r="AO27" i="16" s="1"/>
  <c r="AD27" i="16"/>
  <c r="AP27" i="16" s="1"/>
  <c r="AE27" i="16"/>
  <c r="AQ27" i="16" s="1"/>
  <c r="V28" i="16"/>
  <c r="AH28" i="16" s="1"/>
  <c r="W28" i="16"/>
  <c r="AI28" i="16" s="1"/>
  <c r="X28" i="16"/>
  <c r="AJ28" i="16" s="1"/>
  <c r="Y28" i="16"/>
  <c r="AK28" i="16" s="1"/>
  <c r="Z28" i="16"/>
  <c r="AL28" i="16" s="1"/>
  <c r="AA28" i="16"/>
  <c r="AM28" i="16" s="1"/>
  <c r="AB28" i="16"/>
  <c r="AN28" i="16" s="1"/>
  <c r="AC28" i="16"/>
  <c r="AO28" i="16" s="1"/>
  <c r="AD28" i="16"/>
  <c r="AP28" i="16" s="1"/>
  <c r="AE28" i="16"/>
  <c r="AQ28" i="16" s="1"/>
  <c r="V29" i="16"/>
  <c r="AH29" i="16" s="1"/>
  <c r="W29" i="16"/>
  <c r="AI29" i="16" s="1"/>
  <c r="X29" i="16"/>
  <c r="AJ29" i="16" s="1"/>
  <c r="Y29" i="16"/>
  <c r="AK29" i="16" s="1"/>
  <c r="Z29" i="16"/>
  <c r="AL29" i="16" s="1"/>
  <c r="AA29" i="16"/>
  <c r="AM29" i="16" s="1"/>
  <c r="AB29" i="16"/>
  <c r="AN29" i="16" s="1"/>
  <c r="AC29" i="16"/>
  <c r="AO29" i="16" s="1"/>
  <c r="AD29" i="16"/>
  <c r="AP29" i="16" s="1"/>
  <c r="AE29" i="16"/>
  <c r="AQ29" i="16" s="1"/>
  <c r="V30" i="16"/>
  <c r="AH30" i="16" s="1"/>
  <c r="W30" i="16"/>
  <c r="AI30" i="16" s="1"/>
  <c r="X30" i="16"/>
  <c r="AJ30" i="16" s="1"/>
  <c r="Y30" i="16"/>
  <c r="AK30" i="16" s="1"/>
  <c r="Z30" i="16"/>
  <c r="AL30" i="16" s="1"/>
  <c r="AA30" i="16"/>
  <c r="AM30" i="16" s="1"/>
  <c r="AB30" i="16"/>
  <c r="AN30" i="16" s="1"/>
  <c r="AC30" i="16"/>
  <c r="AO30" i="16" s="1"/>
  <c r="AD30" i="16"/>
  <c r="AP30" i="16" s="1"/>
  <c r="AE30" i="16"/>
  <c r="AQ30" i="16" s="1"/>
  <c r="U30" i="16"/>
  <c r="U29" i="16"/>
  <c r="U28" i="16"/>
  <c r="U27" i="16"/>
  <c r="U26" i="16"/>
  <c r="U25" i="16"/>
  <c r="U24" i="16"/>
  <c r="U23" i="16"/>
  <c r="U22" i="16"/>
  <c r="U21" i="16"/>
  <c r="U20" i="16"/>
  <c r="U19" i="16"/>
  <c r="U18" i="16"/>
  <c r="U17" i="16"/>
  <c r="U16" i="16"/>
  <c r="U15" i="16"/>
  <c r="U14" i="16"/>
  <c r="U13" i="16"/>
  <c r="U12" i="16"/>
  <c r="U11" i="16"/>
  <c r="U10" i="16"/>
  <c r="U9" i="16"/>
  <c r="U8" i="16"/>
  <c r="U7" i="16"/>
  <c r="U6" i="16"/>
  <c r="U5" i="16"/>
  <c r="U4" i="16"/>
  <c r="U3" i="16"/>
  <c r="U2" i="16"/>
  <c r="F3" i="18"/>
  <c r="G3" i="18"/>
  <c r="H3" i="18"/>
  <c r="I3" i="18"/>
  <c r="J3" i="18"/>
  <c r="J17" i="18" s="1"/>
  <c r="K3" i="18"/>
  <c r="K17" i="18" s="1"/>
  <c r="L3" i="18"/>
  <c r="M3" i="18"/>
  <c r="M17" i="18" s="1"/>
  <c r="N3" i="18"/>
  <c r="O3" i="18"/>
  <c r="P3" i="18"/>
  <c r="F4" i="18"/>
  <c r="G4" i="18"/>
  <c r="H4" i="18"/>
  <c r="I4" i="18"/>
  <c r="J4" i="18"/>
  <c r="K4" i="18"/>
  <c r="L4" i="18"/>
  <c r="M4" i="18"/>
  <c r="N4" i="18"/>
  <c r="O4" i="18"/>
  <c r="P4" i="18"/>
  <c r="F5" i="18"/>
  <c r="G5" i="18"/>
  <c r="G19" i="18" s="1"/>
  <c r="H5" i="18"/>
  <c r="H19" i="18" s="1"/>
  <c r="I5" i="18"/>
  <c r="J5" i="18"/>
  <c r="K5" i="18"/>
  <c r="L5" i="18"/>
  <c r="M5" i="18"/>
  <c r="M19" i="18" s="1"/>
  <c r="N5" i="18"/>
  <c r="O5" i="18"/>
  <c r="O19" i="18" s="1"/>
  <c r="P5" i="18"/>
  <c r="P19" i="18" s="1"/>
  <c r="F6" i="18"/>
  <c r="G6" i="18"/>
  <c r="H6" i="18"/>
  <c r="I6" i="18"/>
  <c r="I20" i="18" s="1"/>
  <c r="J6" i="18"/>
  <c r="K6" i="18"/>
  <c r="L6" i="18"/>
  <c r="L20" i="18" s="1"/>
  <c r="M6" i="18"/>
  <c r="M20" i="18" s="1"/>
  <c r="N6" i="18"/>
  <c r="O6" i="18"/>
  <c r="P6" i="18"/>
  <c r="F7" i="18"/>
  <c r="G7" i="18"/>
  <c r="G21" i="18" s="1"/>
  <c r="H7" i="18"/>
  <c r="I7" i="18"/>
  <c r="I21" i="18" s="1"/>
  <c r="J7" i="18"/>
  <c r="J21" i="18" s="1"/>
  <c r="K7" i="18"/>
  <c r="L7" i="18"/>
  <c r="M7" i="18"/>
  <c r="N7" i="18"/>
  <c r="O7" i="18"/>
  <c r="O21" i="18" s="1"/>
  <c r="P7" i="18"/>
  <c r="F8" i="18"/>
  <c r="F22" i="18" s="1"/>
  <c r="G8" i="18"/>
  <c r="H8" i="18"/>
  <c r="I8" i="18"/>
  <c r="J8" i="18"/>
  <c r="K8" i="18"/>
  <c r="L8" i="18"/>
  <c r="L22" i="18" s="1"/>
  <c r="M8" i="18"/>
  <c r="N8" i="18"/>
  <c r="N22" i="18" s="1"/>
  <c r="O8" i="18"/>
  <c r="P8" i="18"/>
  <c r="F9" i="18"/>
  <c r="G9" i="18"/>
  <c r="H9" i="18"/>
  <c r="H23" i="18" s="1"/>
  <c r="I9" i="18"/>
  <c r="I23" i="18" s="1"/>
  <c r="J9" i="18"/>
  <c r="K9" i="18"/>
  <c r="K23" i="18" s="1"/>
  <c r="L9" i="18"/>
  <c r="M9" i="18"/>
  <c r="N9" i="18"/>
  <c r="O9" i="18"/>
  <c r="P9" i="18"/>
  <c r="P23" i="18" s="1"/>
  <c r="F10" i="18"/>
  <c r="F24" i="18" s="1"/>
  <c r="E24" i="18" s="1"/>
  <c r="G10" i="18"/>
  <c r="H10" i="18"/>
  <c r="I10" i="18"/>
  <c r="I24" i="18" s="1"/>
  <c r="J10" i="18"/>
  <c r="K10" i="18"/>
  <c r="L10" i="18"/>
  <c r="M10" i="18"/>
  <c r="N10" i="18"/>
  <c r="N24" i="18" s="1"/>
  <c r="O10" i="18"/>
  <c r="P10" i="18"/>
  <c r="F11" i="18"/>
  <c r="G11" i="18"/>
  <c r="H11" i="18"/>
  <c r="I11" i="18"/>
  <c r="J11" i="18"/>
  <c r="J25" i="18" s="1"/>
  <c r="K11" i="18"/>
  <c r="K25" i="18" s="1"/>
  <c r="L11" i="18"/>
  <c r="M11" i="18"/>
  <c r="M25" i="18" s="1"/>
  <c r="N11" i="18"/>
  <c r="O11" i="18"/>
  <c r="P11" i="18"/>
  <c r="F12" i="18"/>
  <c r="G12" i="18"/>
  <c r="H12" i="18"/>
  <c r="I12" i="18"/>
  <c r="J12" i="18"/>
  <c r="K12" i="18"/>
  <c r="L12" i="18"/>
  <c r="M12" i="18"/>
  <c r="N12" i="18"/>
  <c r="O12" i="18"/>
  <c r="P12" i="18"/>
  <c r="F17" i="18"/>
  <c r="G17" i="18"/>
  <c r="H17" i="18"/>
  <c r="I17" i="18"/>
  <c r="L17" i="18"/>
  <c r="N17" i="18"/>
  <c r="O17" i="18"/>
  <c r="P17" i="18"/>
  <c r="F18" i="18"/>
  <c r="G18" i="18"/>
  <c r="E18" i="18" s="1"/>
  <c r="H18" i="18"/>
  <c r="I18" i="18"/>
  <c r="J18" i="18"/>
  <c r="K18" i="18"/>
  <c r="L18" i="18"/>
  <c r="M18" i="18"/>
  <c r="N18" i="18"/>
  <c r="O18" i="18"/>
  <c r="P18" i="18"/>
  <c r="F19" i="18"/>
  <c r="I19" i="18"/>
  <c r="J19" i="18"/>
  <c r="K19" i="18"/>
  <c r="L19" i="18"/>
  <c r="N19" i="18"/>
  <c r="F20" i="18"/>
  <c r="G20" i="18"/>
  <c r="H20" i="18"/>
  <c r="J20" i="18"/>
  <c r="K20" i="18"/>
  <c r="N20" i="18"/>
  <c r="O20" i="18"/>
  <c r="P20" i="18"/>
  <c r="F21" i="18"/>
  <c r="E21" i="18" s="1"/>
  <c r="H21" i="18"/>
  <c r="K21" i="18"/>
  <c r="L21" i="18"/>
  <c r="M21" i="18"/>
  <c r="N21" i="18"/>
  <c r="P21" i="18"/>
  <c r="G22" i="18"/>
  <c r="H22" i="18"/>
  <c r="I22" i="18"/>
  <c r="J22" i="18"/>
  <c r="K22" i="18"/>
  <c r="M22" i="18"/>
  <c r="O22" i="18"/>
  <c r="P22" i="18"/>
  <c r="F23" i="18"/>
  <c r="G23" i="18"/>
  <c r="J23" i="18"/>
  <c r="L23" i="18"/>
  <c r="M23" i="18"/>
  <c r="N23" i="18"/>
  <c r="O23" i="18"/>
  <c r="G24" i="18"/>
  <c r="H24" i="18"/>
  <c r="J24" i="18"/>
  <c r="K24" i="18"/>
  <c r="L24" i="18"/>
  <c r="M24" i="18"/>
  <c r="O24" i="18"/>
  <c r="P24" i="18"/>
  <c r="F25" i="18"/>
  <c r="G25" i="18"/>
  <c r="H25" i="18"/>
  <c r="I25" i="18"/>
  <c r="L25" i="18"/>
  <c r="N25" i="18"/>
  <c r="O25" i="18"/>
  <c r="P25" i="18"/>
  <c r="F26" i="18"/>
  <c r="G26" i="18"/>
  <c r="E26" i="18" s="1"/>
  <c r="H26" i="18"/>
  <c r="I26" i="18"/>
  <c r="J26" i="18"/>
  <c r="K26" i="18"/>
  <c r="L26" i="18"/>
  <c r="M26" i="18"/>
  <c r="N26" i="18"/>
  <c r="O26" i="18"/>
  <c r="P26" i="18"/>
  <c r="F42" i="18"/>
  <c r="E42" i="18" s="1"/>
  <c r="G42" i="18"/>
  <c r="H42" i="18"/>
  <c r="I42" i="18"/>
  <c r="J42" i="18"/>
  <c r="K42" i="18"/>
  <c r="K47" i="18" s="1"/>
  <c r="L42" i="18"/>
  <c r="M42" i="18"/>
  <c r="N42" i="18"/>
  <c r="N47" i="18" s="1"/>
  <c r="O42" i="18"/>
  <c r="P42" i="18"/>
  <c r="F43" i="18"/>
  <c r="G43" i="18"/>
  <c r="E43" i="18" s="1"/>
  <c r="H43" i="18"/>
  <c r="H48" i="18" s="1"/>
  <c r="I43" i="18"/>
  <c r="J43" i="18"/>
  <c r="J48" i="18" s="1"/>
  <c r="K43" i="18"/>
  <c r="K48" i="18" s="1"/>
  <c r="L43" i="18"/>
  <c r="M43" i="18"/>
  <c r="N43" i="18"/>
  <c r="O43" i="18"/>
  <c r="P43" i="18"/>
  <c r="P48" i="18" s="1"/>
  <c r="F44" i="18"/>
  <c r="G44" i="18"/>
  <c r="H44" i="18"/>
  <c r="I44" i="18"/>
  <c r="J44" i="18"/>
  <c r="K44" i="18"/>
  <c r="L44" i="18"/>
  <c r="M44" i="18"/>
  <c r="N44" i="18"/>
  <c r="O44" i="18"/>
  <c r="P44" i="18"/>
  <c r="F45" i="18"/>
  <c r="G45" i="18"/>
  <c r="E45" i="18" s="1"/>
  <c r="H45" i="18"/>
  <c r="H50" i="18" s="1"/>
  <c r="I45" i="18"/>
  <c r="J45" i="18"/>
  <c r="J50" i="18" s="1"/>
  <c r="K45" i="18"/>
  <c r="K50" i="18" s="1"/>
  <c r="L45" i="18"/>
  <c r="M45" i="18"/>
  <c r="M50" i="18" s="1"/>
  <c r="N45" i="18"/>
  <c r="O45" i="18"/>
  <c r="P45" i="18"/>
  <c r="P50" i="18" s="1"/>
  <c r="R54" i="18"/>
  <c r="S54" i="18"/>
  <c r="T54" i="18"/>
  <c r="U54" i="18"/>
  <c r="V54" i="18"/>
  <c r="W54" i="18"/>
  <c r="X54" i="18"/>
  <c r="Y54" i="18"/>
  <c r="Z54" i="18"/>
  <c r="AA54" i="18"/>
  <c r="AB54" i="18"/>
  <c r="R55" i="18"/>
  <c r="S55" i="18"/>
  <c r="T55" i="18"/>
  <c r="U55" i="18"/>
  <c r="V55" i="18"/>
  <c r="W55" i="18"/>
  <c r="X55" i="18"/>
  <c r="Y55" i="18"/>
  <c r="Z55" i="18"/>
  <c r="AA55" i="18"/>
  <c r="AB55" i="18"/>
  <c r="R56" i="18"/>
  <c r="S56" i="18"/>
  <c r="T56" i="18"/>
  <c r="U56" i="18"/>
  <c r="V56" i="18"/>
  <c r="W56" i="18"/>
  <c r="X56" i="18"/>
  <c r="Y56" i="18"/>
  <c r="Z56" i="18"/>
  <c r="AA56" i="18"/>
  <c r="AB56" i="18"/>
  <c r="R57" i="18"/>
  <c r="S57" i="18"/>
  <c r="T57" i="18"/>
  <c r="U57" i="18"/>
  <c r="V57" i="18"/>
  <c r="W57" i="18"/>
  <c r="X57" i="18"/>
  <c r="Y57" i="18"/>
  <c r="Z57" i="18"/>
  <c r="AA57" i="18"/>
  <c r="AB57" i="18"/>
  <c r="Q59" i="18"/>
  <c r="Q60" i="18"/>
  <c r="Q61" i="18"/>
  <c r="Q62" i="18"/>
  <c r="G32" i="12" l="1"/>
  <c r="N34" i="12" s="1"/>
  <c r="E22" i="18"/>
  <c r="L47" i="18"/>
  <c r="E23" i="18"/>
  <c r="E17" i="18"/>
  <c r="M48" i="18"/>
  <c r="F48" i="18"/>
  <c r="N48" i="18"/>
  <c r="L48" i="18"/>
  <c r="I48" i="18"/>
  <c r="G50" i="18"/>
  <c r="O50" i="18"/>
  <c r="L50" i="18"/>
  <c r="I50" i="18"/>
  <c r="N50" i="18"/>
  <c r="F50" i="18"/>
  <c r="E25" i="18"/>
  <c r="O48" i="18"/>
  <c r="E19" i="18"/>
  <c r="H47" i="18"/>
  <c r="P47" i="18"/>
  <c r="O47" i="18"/>
  <c r="I47" i="18"/>
  <c r="J47" i="18"/>
  <c r="M47" i="18"/>
  <c r="G47" i="18"/>
  <c r="E20" i="18"/>
  <c r="F47" i="18"/>
  <c r="E44" i="18"/>
  <c r="G48" i="18"/>
  <c r="K34" i="12" l="1"/>
  <c r="S34" i="12"/>
  <c r="L34" i="12"/>
  <c r="J34" i="12"/>
  <c r="H34" i="12"/>
  <c r="M34" i="12"/>
  <c r="R34" i="12"/>
  <c r="Q34" i="12"/>
  <c r="I34" i="12"/>
  <c r="P34" i="12"/>
  <c r="O34" i="12"/>
  <c r="J49" i="18"/>
  <c r="G49" i="18"/>
  <c r="M49" i="18"/>
  <c r="O49" i="18"/>
  <c r="H49" i="18"/>
  <c r="P49" i="18"/>
  <c r="I49" i="18"/>
  <c r="K49" i="18"/>
  <c r="L49" i="18"/>
  <c r="F49" i="18"/>
  <c r="N49" i="18"/>
  <c r="F32" i="13" l="1"/>
  <c r="F51" i="13"/>
  <c r="G53" i="13" s="1"/>
  <c r="H53" i="13" s="1"/>
  <c r="F45" i="13"/>
  <c r="G47" i="13" s="1"/>
  <c r="H47" i="13" s="1"/>
  <c r="F39" i="13"/>
  <c r="G41" i="13" s="1"/>
  <c r="H41" i="13" s="1"/>
  <c r="T28" i="13"/>
  <c r="S28" i="13"/>
  <c r="R28" i="13"/>
  <c r="Q28" i="13"/>
  <c r="P28" i="13"/>
  <c r="O28" i="13"/>
  <c r="N28" i="13"/>
  <c r="M28" i="13"/>
  <c r="L28" i="13"/>
  <c r="K28" i="13"/>
  <c r="J28" i="13"/>
  <c r="T30" i="13"/>
  <c r="S30" i="13"/>
  <c r="R30" i="13"/>
  <c r="Q30" i="13"/>
  <c r="P30" i="13"/>
  <c r="O30" i="13"/>
  <c r="N30" i="13"/>
  <c r="M30" i="13"/>
  <c r="L30" i="13"/>
  <c r="K30" i="13"/>
  <c r="J30" i="13"/>
  <c r="T24" i="13"/>
  <c r="S24" i="13"/>
  <c r="R24" i="13"/>
  <c r="Q24" i="13"/>
  <c r="P24" i="13"/>
  <c r="O24" i="13"/>
  <c r="N24" i="13"/>
  <c r="M24" i="13"/>
  <c r="L24" i="13"/>
  <c r="K24" i="13"/>
  <c r="J24" i="13"/>
  <c r="T22" i="13"/>
  <c r="S22" i="13"/>
  <c r="R22" i="13"/>
  <c r="Q22" i="13"/>
  <c r="P22" i="13"/>
  <c r="O22" i="13"/>
  <c r="N22" i="13"/>
  <c r="M22" i="13"/>
  <c r="L22" i="13"/>
  <c r="K22" i="13"/>
  <c r="J22" i="13"/>
  <c r="T6" i="13"/>
  <c r="S6" i="13"/>
  <c r="R6" i="13"/>
  <c r="Q6" i="13"/>
  <c r="P6" i="13"/>
  <c r="O6" i="13"/>
  <c r="N6" i="13"/>
  <c r="M6" i="13"/>
  <c r="L6" i="13"/>
  <c r="K6" i="13"/>
  <c r="J6" i="13"/>
  <c r="T5" i="13"/>
  <c r="S5" i="13"/>
  <c r="R5" i="13"/>
  <c r="Q5" i="13"/>
  <c r="P5" i="13"/>
  <c r="O5" i="13"/>
  <c r="N5" i="13"/>
  <c r="M5" i="13"/>
  <c r="L5" i="13"/>
  <c r="K5" i="13"/>
  <c r="J5" i="13"/>
  <c r="F9" i="10"/>
  <c r="F27" i="10"/>
  <c r="F4" i="10"/>
  <c r="F3" i="10"/>
  <c r="F26" i="10"/>
  <c r="F11" i="10"/>
  <c r="F10" i="10"/>
  <c r="F12" i="10"/>
  <c r="R34" i="6"/>
  <c r="G41" i="6" s="1"/>
  <c r="Q34" i="6"/>
  <c r="P34" i="6"/>
  <c r="O34" i="6"/>
  <c r="N34" i="6"/>
  <c r="M34" i="6"/>
  <c r="L34" i="6"/>
  <c r="K34" i="6"/>
  <c r="G40" i="6" s="1"/>
  <c r="J34" i="6"/>
  <c r="G39" i="6" s="1"/>
  <c r="I34" i="6"/>
  <c r="H34" i="6"/>
  <c r="F43" i="5"/>
  <c r="F42" i="5"/>
  <c r="F41" i="5"/>
  <c r="F40" i="5"/>
  <c r="F39" i="5"/>
  <c r="I36" i="5"/>
  <c r="J36" i="5"/>
  <c r="K36" i="5"/>
  <c r="L36" i="5"/>
  <c r="M36" i="5"/>
  <c r="N36" i="5"/>
  <c r="O36" i="5"/>
  <c r="P36" i="5"/>
  <c r="Q36" i="5"/>
  <c r="H36" i="5"/>
  <c r="G36" i="5"/>
  <c r="P26" i="4"/>
  <c r="P27" i="4"/>
  <c r="P28" i="4"/>
  <c r="P29" i="4"/>
  <c r="P30" i="4"/>
  <c r="O26" i="4"/>
  <c r="O27" i="4"/>
  <c r="O28" i="4"/>
  <c r="O29" i="4"/>
  <c r="O30" i="4"/>
  <c r="N26" i="4"/>
  <c r="N27" i="4"/>
  <c r="N28" i="4"/>
  <c r="N29" i="4"/>
  <c r="N30" i="4"/>
  <c r="M26" i="4"/>
  <c r="M27" i="4"/>
  <c r="M28" i="4"/>
  <c r="M29" i="4"/>
  <c r="M30" i="4"/>
  <c r="L26" i="4"/>
  <c r="L27" i="4"/>
  <c r="L28" i="4"/>
  <c r="L29" i="4"/>
  <c r="L30" i="4"/>
  <c r="K26" i="4"/>
  <c r="K27" i="4"/>
  <c r="K28" i="4"/>
  <c r="K29" i="4"/>
  <c r="K30" i="4"/>
  <c r="J30" i="4"/>
  <c r="J29" i="4"/>
  <c r="J28" i="4"/>
  <c r="J27" i="4"/>
  <c r="J26" i="4"/>
  <c r="I26" i="4"/>
  <c r="I27" i="4"/>
  <c r="I28" i="4"/>
  <c r="I29" i="4"/>
  <c r="I30" i="4"/>
  <c r="H26" i="4"/>
  <c r="H27" i="4"/>
  <c r="H28" i="4"/>
  <c r="H29" i="4"/>
  <c r="H30" i="4"/>
  <c r="G26" i="4"/>
  <c r="G27" i="4"/>
  <c r="G28" i="4"/>
  <c r="G29" i="4"/>
  <c r="G30" i="4"/>
  <c r="G25" i="4"/>
  <c r="Q26" i="4"/>
  <c r="Q27" i="4"/>
  <c r="Q28" i="4"/>
  <c r="Q29" i="4"/>
  <c r="Q30" i="4"/>
  <c r="Q25" i="4"/>
  <c r="P25" i="4"/>
  <c r="O25" i="4"/>
  <c r="N25" i="4"/>
  <c r="M25" i="4"/>
  <c r="L25" i="4"/>
  <c r="K25" i="4"/>
  <c r="J25" i="4"/>
  <c r="I25" i="4"/>
  <c r="H25" i="4"/>
  <c r="D50" i="4"/>
  <c r="E52" i="4" s="1"/>
  <c r="F52" i="4" s="1"/>
  <c r="E46" i="4"/>
  <c r="F46" i="4" s="1"/>
  <c r="D44" i="4"/>
  <c r="E45" i="4" s="1"/>
  <c r="F45" i="4" s="1"/>
  <c r="D38" i="4"/>
  <c r="E40" i="4" s="1"/>
  <c r="F40" i="4" s="1"/>
  <c r="D31" i="4"/>
  <c r="D32" i="1"/>
  <c r="G40" i="13" l="1"/>
  <c r="H40" i="13" s="1"/>
  <c r="G46" i="13"/>
  <c r="H46" i="13" s="1"/>
  <c r="G52" i="13"/>
  <c r="H52" i="13" s="1"/>
  <c r="G37" i="6"/>
  <c r="G38" i="6"/>
  <c r="E51" i="4"/>
  <c r="F51" i="4" s="1"/>
  <c r="E39" i="4"/>
  <c r="F39" i="4" s="1"/>
  <c r="H18" i="23"/>
  <c r="AC18" i="23" l="1"/>
  <c r="W18" i="23"/>
  <c r="X18" i="23"/>
  <c r="Z18" i="23"/>
  <c r="AB18" i="23"/>
  <c r="Y18" i="23"/>
  <c r="AJ18" i="23" l="1" a="1"/>
  <c r="AQ32" i="23" l="1"/>
  <c r="AM32" i="23"/>
  <c r="AZ18" i="23"/>
  <c r="BD18" i="23" s="1"/>
  <c r="AS32" i="23"/>
  <c r="AN32" i="23"/>
  <c r="AP32" i="23"/>
  <c r="AL32" i="23"/>
  <c r="AU32" i="23"/>
  <c r="AT32" i="23"/>
  <c r="AO32" i="23"/>
  <c r="AR32" i="23"/>
  <c r="AK32" i="23"/>
  <c r="AJ18" i="23"/>
  <c r="BB18" i="23" l="1"/>
  <c r="BE18" i="23" s="1"/>
  <c r="AJ32" i="23"/>
  <c r="AI18" i="23"/>
  <c r="AI32" i="23" l="1"/>
  <c r="AJ34" i="23" s="1" a="1"/>
  <c r="AJ34" i="23" l="1"/>
  <c r="AJ36" i="23" s="1"/>
  <c r="AN36" i="23"/>
  <c r="AL36" i="23"/>
  <c r="BC8" i="23"/>
  <c r="BE8" i="23" s="1"/>
  <c r="BF8" i="23"/>
  <c r="BD8" i="23" s="1"/>
  <c r="I4" i="2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<sst xmlns="http://schemas.openxmlformats.org/spreadsheetml/2006/main" count="3463" uniqueCount="288">
  <si>
    <t>District</t>
  </si>
  <si>
    <t>Governorate</t>
  </si>
  <si>
    <t>Akkar</t>
  </si>
  <si>
    <t>Baalbek</t>
  </si>
  <si>
    <t>Hermel</t>
  </si>
  <si>
    <t>Baalbek-Hermel</t>
  </si>
  <si>
    <t>Beirut</t>
  </si>
  <si>
    <t>Rashaya</t>
  </si>
  <si>
    <t>Western Beqaa</t>
  </si>
  <si>
    <t>Zahle</t>
  </si>
  <si>
    <t>Beqaa</t>
  </si>
  <si>
    <t>Byblos</t>
  </si>
  <si>
    <t>Keserwan</t>
  </si>
  <si>
    <t>Keserwan-Jbeil</t>
  </si>
  <si>
    <t>Aley</t>
  </si>
  <si>
    <t>Mount Lebanon</t>
  </si>
  <si>
    <t>Baabda</t>
  </si>
  <si>
    <t>Chouf</t>
  </si>
  <si>
    <t>Matn</t>
  </si>
  <si>
    <t>Bint Jbeil</t>
  </si>
  <si>
    <t>Hasbaya</t>
  </si>
  <si>
    <t>Marjeyoun</t>
  </si>
  <si>
    <t>Nabatieh</t>
  </si>
  <si>
    <t>Batroun</t>
  </si>
  <si>
    <t>Bsharri</t>
  </si>
  <si>
    <t>Koura</t>
  </si>
  <si>
    <t>Miniyeh-Danniyeh</t>
  </si>
  <si>
    <t>Tripoli</t>
  </si>
  <si>
    <t>Zgharta</t>
  </si>
  <si>
    <t>North Governorate</t>
  </si>
  <si>
    <t>Sidon</t>
  </si>
  <si>
    <t>Jezzine</t>
  </si>
  <si>
    <t>Tyre</t>
  </si>
  <si>
    <t>South Governorate</t>
  </si>
  <si>
    <t>https://www.ilo.org/wcmsp5/groups/public/---arabstates/---ro-beirut/documents/publication/wcms_732567.pdf</t>
  </si>
  <si>
    <t>Population 2018-19</t>
  </si>
  <si>
    <t>Shittes</t>
  </si>
  <si>
    <t>Sunnis</t>
  </si>
  <si>
    <t>Druze</t>
  </si>
  <si>
    <t>Alawites</t>
  </si>
  <si>
    <t>Sum</t>
  </si>
  <si>
    <t>Maronite</t>
  </si>
  <si>
    <t>Other</t>
  </si>
  <si>
    <t>Links</t>
  </si>
  <si>
    <t>https://web.archive.org/web/20170728081702/https://now.mmedia.me/lb/en/nowspecials/districts_in_depth_jbeil#:~:text=Almost%2070%25%20of%20the%20expected%20voters%20are%20Maronite%2C%2019%25%20Shia%20and%205%25%20Greek%20Orthodox.</t>
  </si>
  <si>
    <t>n</t>
  </si>
  <si>
    <t>https://web.archive.org/web/20181031005339/https://elections.lebanese-forces.com/wp-content/uploads/2018/02/CHOUF-ALEY-1.pdf</t>
  </si>
  <si>
    <t>Catholics</t>
  </si>
  <si>
    <t>Orthodox</t>
  </si>
  <si>
    <t>Armenian Orthodox</t>
  </si>
  <si>
    <t>Evangelican</t>
  </si>
  <si>
    <t>https://elections.lebanese-forces.com/wp-content/uploads/2018/02/baabda.pdf</t>
  </si>
  <si>
    <t>Arm. Cath.</t>
  </si>
  <si>
    <t>https://elections.lebanese-forces.com/wp-content/uploads/2018/02/CHOUF-ALEY-1.pdf</t>
  </si>
  <si>
    <t>https://elections.lebanese-forces.com/wp-content/uploads/2018/02/metn.pdf</t>
  </si>
  <si>
    <t>https://elections.lebanese-forces.com/wp-content/uploads/2018/02/NABATIYEH-BNTJBEIL-MARJ-1.pdf</t>
  </si>
  <si>
    <t>same data as Hasbaya</t>
  </si>
  <si>
    <t>https://elections.lebanese-forces.com/wp-content/uploads/2018/02/TRIPOLI-MENIEH-DONNIEH-1.pdf</t>
  </si>
  <si>
    <t>Same with Danniyeh</t>
  </si>
  <si>
    <t>Danniyeh</t>
  </si>
  <si>
    <t>Miniyeh</t>
  </si>
  <si>
    <t>https://elections.lebanese-forces.com/wp-content/uploads/2018/02/akkar.pdf</t>
  </si>
  <si>
    <t>https://elections.lebanese-forces.com/wp-content/uploads/2018/02/baalbak.pdf</t>
  </si>
  <si>
    <t>same data as Baalbek</t>
  </si>
  <si>
    <t>electoral data</t>
  </si>
  <si>
    <t>Same with Beirut</t>
  </si>
  <si>
    <t>Beirut 1</t>
  </si>
  <si>
    <t>Beirut 2</t>
  </si>
  <si>
    <t>https://elections.lebanese-forces.com/wp-content/uploads/2018/02/beirut1.pdf</t>
  </si>
  <si>
    <t>https://elections.lebanese-forces.com/wp-content/uploads/2018/02/beirut2.pdf</t>
  </si>
  <si>
    <t>https://elections.lebanese-forces.com/wp-content/uploads/2018/02/zahle.pdf</t>
  </si>
  <si>
    <t>same data as Western Beqaa</t>
  </si>
  <si>
    <t>https://elections.lebanese-forces.com/wp-content/uploads/2018/02/WB.pdf</t>
  </si>
  <si>
    <t>https://elections.lebanese-forces.com/wp-content/uploads/2018/02/JEZZINE-SAIDA.pdf</t>
  </si>
  <si>
    <t>same as sidon</t>
  </si>
  <si>
    <t>https://elections.lebanese-forces.com/wp-content/uploads/2018/02/SOUR-ZAHRANI-1.pdf</t>
  </si>
  <si>
    <t>Zahrany</t>
  </si>
  <si>
    <t>https://elections.lebanese-forces.com/wp-content/uploads/2018/01/Batroun-Koura-Bcharre-Zgharta.pdf</t>
  </si>
  <si>
    <t>same as Zgharta</t>
  </si>
  <si>
    <t>Arm. Orthodox</t>
  </si>
  <si>
    <t>Column1</t>
  </si>
  <si>
    <t>Column3</t>
  </si>
  <si>
    <t>Sunnis4</t>
  </si>
  <si>
    <t>Shittes5</t>
  </si>
  <si>
    <t>Druze6</t>
  </si>
  <si>
    <t>Alawites7</t>
  </si>
  <si>
    <t>Maronite8</t>
  </si>
  <si>
    <t>Orthodox9</t>
  </si>
  <si>
    <t>Catholics10</t>
  </si>
  <si>
    <t>Arm. Orthodox11</t>
  </si>
  <si>
    <t>Arm. Cath.12</t>
  </si>
  <si>
    <t>Evangelican13</t>
  </si>
  <si>
    <t>Other14</t>
  </si>
  <si>
    <t>demographic data is electoral data</t>
  </si>
  <si>
    <t>Beirut population:</t>
  </si>
  <si>
    <t>https://elections.lebanese-forces.com/wp-content/uploads/2018/01/Beirut2.pdf</t>
  </si>
  <si>
    <t>https://elections.lebanese-forces.com/wp-content/uploads/2018/01/Beirut1.pdf</t>
  </si>
  <si>
    <t>From link:</t>
  </si>
  <si>
    <t>Adjusted to data from district pop:</t>
  </si>
  <si>
    <t>District population</t>
  </si>
  <si>
    <t>Miniyeh-Danniyeh population:</t>
  </si>
  <si>
    <t>Sidon and Zahrany population:</t>
  </si>
  <si>
    <t>Districts split in electoral data</t>
  </si>
  <si>
    <t>type</t>
  </si>
  <si>
    <t>Total:</t>
  </si>
  <si>
    <t>Muslims:</t>
  </si>
  <si>
    <t>Christians:</t>
  </si>
  <si>
    <t>Druze:</t>
  </si>
  <si>
    <t>Alawites:</t>
  </si>
  <si>
    <t>Others:</t>
  </si>
  <si>
    <t>Group:</t>
  </si>
  <si>
    <t>Percentage</t>
  </si>
  <si>
    <t>Lebanon demographics:</t>
  </si>
  <si>
    <t>https://elections.lebanese-forces.com/wp-content/uploads/2018/01/</t>
  </si>
  <si>
    <t>Total population:</t>
  </si>
  <si>
    <t>Armenian Cath.</t>
  </si>
  <si>
    <t>عكار</t>
  </si>
  <si>
    <t>LB51</t>
  </si>
  <si>
    <t>El Hermel</t>
  </si>
  <si>
    <t> الهرمل</t>
  </si>
  <si>
    <t>LB22</t>
  </si>
  <si>
    <t>Baalbek-El Hermel</t>
  </si>
  <si>
    <t>El Minieh-Dennie</t>
  </si>
  <si>
    <t>المنية الضنية</t>
  </si>
  <si>
    <t>LB55</t>
  </si>
  <si>
    <t>North</t>
  </si>
  <si>
    <t>طرابلس</t>
  </si>
  <si>
    <t>LB56</t>
  </si>
  <si>
    <t>زغرتا</t>
  </si>
  <si>
    <t>LB57</t>
  </si>
  <si>
    <t>بعلبك</t>
  </si>
  <si>
    <t>LB21</t>
  </si>
  <si>
    <t>El Koura</t>
  </si>
  <si>
    <t>الكورة</t>
  </si>
  <si>
    <t>LB54</t>
  </si>
  <si>
    <t>El Batroun</t>
  </si>
  <si>
    <t>البترون</t>
  </si>
  <si>
    <t>LB52</t>
  </si>
  <si>
    <t>Bcharre</t>
  </si>
  <si>
    <t> بشري</t>
  </si>
  <si>
    <t>LB53</t>
  </si>
  <si>
    <t>Jbeil</t>
  </si>
  <si>
    <t>جبيل</t>
  </si>
  <si>
    <t>LB34</t>
  </si>
  <si>
    <t>Kesrwane</t>
  </si>
  <si>
    <t xml:space="preserve"> كسروان</t>
  </si>
  <si>
    <t>LB35</t>
  </si>
  <si>
    <t>El Meten</t>
  </si>
  <si>
    <t>المتن</t>
  </si>
  <si>
    <t>LB36</t>
  </si>
  <si>
    <t>زحلة</t>
  </si>
  <si>
    <t>LB25</t>
  </si>
  <si>
    <t>Bekaa</t>
  </si>
  <si>
    <t>بيروت</t>
  </si>
  <si>
    <t>LB11</t>
  </si>
  <si>
    <t>بعبدا</t>
  </si>
  <si>
    <t>LB32</t>
  </si>
  <si>
    <t>عاليه</t>
  </si>
  <si>
    <t>LB31</t>
  </si>
  <si>
    <t>West Bekaa</t>
  </si>
  <si>
    <t>البقاع الغربي</t>
  </si>
  <si>
    <t>LB24</t>
  </si>
  <si>
    <t> الشوف</t>
  </si>
  <si>
    <t>LB33</t>
  </si>
  <si>
    <t>Rachaya</t>
  </si>
  <si>
    <t>راشيا</t>
  </si>
  <si>
    <t>LB23</t>
  </si>
  <si>
    <t>جزين</t>
  </si>
  <si>
    <t>LB62</t>
  </si>
  <si>
    <t>South</t>
  </si>
  <si>
    <t>Saida</t>
  </si>
  <si>
    <t>صيدا</t>
  </si>
  <si>
    <t>LB61</t>
  </si>
  <si>
    <t>El Nabatieh</t>
  </si>
  <si>
    <t>النبطية</t>
  </si>
  <si>
    <t>LB44</t>
  </si>
  <si>
    <t>حاصبيا</t>
  </si>
  <si>
    <t>LB42</t>
  </si>
  <si>
    <t>Marjaayoun</t>
  </si>
  <si>
    <t>مرجعيون</t>
  </si>
  <si>
    <t>LB43</t>
  </si>
  <si>
    <t>Sour</t>
  </si>
  <si>
    <t>صور</t>
  </si>
  <si>
    <t>LB63</t>
  </si>
  <si>
    <t>Bent Jbeil</t>
  </si>
  <si>
    <t>بنت جبيل</t>
  </si>
  <si>
    <t>LB41</t>
  </si>
  <si>
    <t>Map district name</t>
  </si>
  <si>
    <t>Map ID</t>
  </si>
  <si>
    <t>Arabic name</t>
  </si>
  <si>
    <t>Sunni</t>
  </si>
  <si>
    <t>Shia</t>
  </si>
  <si>
    <t>Alawite</t>
  </si>
  <si>
    <t>Catholic</t>
  </si>
  <si>
    <t>Armenian Catholic</t>
  </si>
  <si>
    <t>Evangelical</t>
  </si>
  <si>
    <t>Others</t>
  </si>
  <si>
    <t>Largest Group</t>
  </si>
  <si>
    <t>Largest Group %</t>
  </si>
  <si>
    <t>Population</t>
  </si>
  <si>
    <t>2N</t>
  </si>
  <si>
    <t>2S</t>
  </si>
  <si>
    <t>Other Christians</t>
  </si>
  <si>
    <t>https://web.archive.org/web/20190217142351/https://www.annahar.com/elections/district/2/%D8%AF%D8%A7%D8%A6%D8%B1%D8%A9-%D8%A7%D9%84%D8%B4%D9%85%D8%A7%D9%84-%D8%A7%D9%84%D8%AB%D8%A7%D9%86%D9%8A%D8%A9</t>
  </si>
  <si>
    <t>https://web.archive.org/web/20190217142401/https://www.annahar.com/elections/district/4/%D8%AF%D8%A7%D8%A6%D8%B1%D8%A9-%D8%A7%D9%84%D8%A8%D9%82%D8%A7%D8%B9-%D8%A7%D9%84%D8%A7%D9%88%D9%84%D9%89</t>
  </si>
  <si>
    <t>3N</t>
  </si>
  <si>
    <t>1S</t>
  </si>
  <si>
    <t>1N</t>
  </si>
  <si>
    <t>1 Bekaa</t>
  </si>
  <si>
    <t>https://web.archive.org/web/20190217142430/https://www.annahar.com/elections/district/1/%D8%AF%D8%A7%D8%A6%D8%B1%D8%A9-%D8%A7%D9%84%D8%B4%D9%85%D8%A7%D9%84-%D8%A7%D9%84%D8%A3%D9%88%D9%84%D9%89</t>
  </si>
  <si>
    <t>https://web.archive.org/web/20190217142432/https://www.annahar.com/elections/district/3/%D8%AF%D8%A7%D8%A6%D8%B1%D8%A9-%D8%A7%D9%84%D8%B4%D9%85%D8%A7%D9%84-%D8%A7%D9%84%D8%AB%D8%A7%D9%84%D8%AB%D8%A9</t>
  </si>
  <si>
    <t>2 Bekaa</t>
  </si>
  <si>
    <t>https://web.archive.org/web/20190217142412/https://www.annahar.com/elections/district/5/%D8%AF%D8%A7%D8%A6%D8%B1%D8%A9-%D8%A7%D9%84%D8%A8%D9%82%D8%A7%D8%B9-%D8%A7%D9%84%D8%AB%D8%A7%D9%86%D9%8A%D8%A9</t>
  </si>
  <si>
    <t>3 Bekaa</t>
  </si>
  <si>
    <t>https://web.archive.org/web/20190217142359/https://www.annahar.com/elections/district/6/%D8%AF%D8%A7%D8%A6%D8%B1%D8%A9-%D8%A7%D9%84%D8%A8%D9%82%D8%A7%D8%B9-%D8%A7%D9%84%D8%AB%D8%A7%D9%84%D8%AB%D8%A9</t>
  </si>
  <si>
    <t>https://web.archive.org/web/20190325204948/https://www.annahar.com/elections/districts</t>
  </si>
  <si>
    <t>1 ML</t>
  </si>
  <si>
    <t>https://web.archive.org/web/20190217142344/https://www.annahar.com/elections/district/7/%D8%AF%D8%A7%D8%A6%D8%B1%D8%A9-%D8%AC%D8%A8%D9%84-%D9%84%D8%A8%D9%86%D8%A7%D9%86-%D8%A7%D9%84%D8%A7%D9%88%D9%84%D9%89</t>
  </si>
  <si>
    <t>2 ML</t>
  </si>
  <si>
    <t>https://web.archive.org/web/20190217142323/https://www.annahar.com/elections/district/8/%D8%AF%D8%A7%D8%A6%D8%B1%D8%A9-%D8%AC%D8%A8%D9%84-%D9%84%D8%A8%D9%86%D8%A7%D9%86-%D8%A7%D9%84%D8%AB%D8%A7%D9%86%D9%8A%D8%A9</t>
  </si>
  <si>
    <t>3 ML</t>
  </si>
  <si>
    <t>https://web.archive.org/web/20190217142347/https://www.annahar.com/elections/district/9/%D8%AF%D8%A7%D8%A6%D8%B1%D8%A9-%D8%AC%D8%A8%D9%84-%D9%84%D8%A8%D9%86%D8%A7%D9%86-%D8%A7%D9%84%D8%AB%D8%A7%D9%84%D8%AB%D8%A9</t>
  </si>
  <si>
    <t>492 (Druze+Alawite)</t>
  </si>
  <si>
    <t>https://web.archive.org/web/20190217142418/https://www.annahar.com/elections/district/11/%D8%AF%D8%A7%D8%A6%D8%B1%D8%A9-%D8%A8%D9%8A%D8%B1%D9%88%D8%AA-%D8%A7%D9%84%D8%A7%D9%88%D9%84%D9%89</t>
  </si>
  <si>
    <t>Israeli</t>
  </si>
  <si>
    <t>https://web.archive.org/web/20190217142428/https://www.annahar.com/elections/district/12/%D8%AF%D8%A7%D8%A6%D8%B1%D8%A9-%D8%A8%D9%8A%D8%B1%D9%88%D8%AA-%D8%A7%D9%84%D8%AB%D8%A7%D9%86%D9%8A%D8%A9</t>
  </si>
  <si>
    <t>https://web.archive.org/web/20190217142420/https://www.annahar.com/elections/district/13/%D8%AF%D8%A7%D8%A6%D8%B1%D8%A9-%D9%84%D8%A8%D9%86%D8%A7%D9%86-%D8%A7%D9%84%D8%AC%D9%86%D9%88%D8%A8%D9%8A-%D8%A7%D9%84%D8%A7%D9%88%D9%84%D9%89</t>
  </si>
  <si>
    <t>3S</t>
  </si>
  <si>
    <t>4 ML</t>
  </si>
  <si>
    <t>https://www.almodon.com/politics/2018/3/27/5-%D9%84%D9%88%D8%A7%D8%A6%D8%AD-%D9%81%D9%8A-%D8%A7%D9%84%D8%B4%D9%88%D9%81-%D8%B9%D8%A7%D9%84%D9%8A%D9%87-%D9%84%D8%B9%D8%A8%D8%A9-%D8%B1%D9%81%D8%B9-%D8%A7%D9%84%D8%AD%D8%A7%D8%B5%D9%84-%D8%A7%D9%84%D8%A7%D9%86%D8%AA%D8%AE%D8%A7%D8%A8%D9%8A</t>
  </si>
  <si>
    <t>Column2</t>
  </si>
  <si>
    <t>Column4</t>
  </si>
  <si>
    <t>https://web.archive.org/web/20190217142403/https://www.annahar.com/elections/district/14/%D8%AF%D8%A7%D8%A6%D8%B1%D8%A9-%D9%84%D8%A8%D9%86%D8%A7%D9%86-%D8%A7%D9%84%D8%AC%D9%86%D9%88%D8%A8%D9%8A-%D8%A7%D9%84%D8%AB%D8%A7%D9%86%D9%8A%D8%A9</t>
  </si>
  <si>
    <t>https://web.archive.org/web/20190217142355/https://www.annahar.com/elections/district/15/%D8%AF%D8%A7%D8%A6%D8%B1%D8%A9-%D9%84%D8%A8%D9%86%D8%A7%D9%86-%D8%A7%D9%84%D8%AC%D9%86%D9%88%D8%A8%D9%8A-%D8%A7%D9%84%D8%AB%D8%A7%D9%84%D8%AB%D8%A9</t>
  </si>
  <si>
    <t>https://web.archive.org/web/20190217142344/https://www.annahar.com/elections/district/7/%D8%AF%D8%A7%D8%A6%D8%B1%D8%A9-%D8%AC%D8%A8%D9%84-%D9%84%D8%A8%D9%86%D8%A7%D9%86-%D8%A7%D9%84%D8%A7%D9%88%D9%84%D9%88</t>
  </si>
  <si>
    <t>https://web.archive.org/web/20190217142412/https://www.annahar.com/elections/district/5/%D8%AF%D8%A7%D8%A6%D8%B1%D8%A9-%D8%A7%D9%84%D8%A8%D9%82%D8%A7%D8%B9-%D8%A7%D9%84%D8%AB%D8%A7%D9%86%D9%8A%D8%A10</t>
  </si>
  <si>
    <t>https://web.archive.org/web/20190217142351/https://www.annahar.com/elections/district/2/%D8%AF%D8%A7%D8%A6%D8%B1%D8%A9-%D8%A7%D9%84%D8%B4%D9%85%D8%A7%D9%84-%D8%A7%D9%84%D8%AB%D8%A7%D9%86%D9%8A%D8%A10</t>
  </si>
  <si>
    <t>https://web.archive.org/web/20190217142359/https://www.annahar.com/elections/district/6/%D8%AF%D8%A7%D8%A6%D8%B1%D8%A9-%D8%A7%D9%84%D8%A8%D9%82%D8%A7%D8%B9-%D8%A7%D9%84%D8%AB%D8%A7%D9%84%D8%AB%D8%A10</t>
  </si>
  <si>
    <t>https://web.archive.org/web/20190217142432/https://www.annahar.com/elections/district/3/%D8%AF%D8%A7%D8%A6%D8%B1%D8%A9-%D8%A7%D9%84%D8%B4%D9%85%D8%A7%D9%84-%D8%A7%D9%84%D8%AB%D8%A7%D9%84%D8%AB%D8%A10</t>
  </si>
  <si>
    <t>https://web.archive.org/web/20190217142432/https://www.annahar.com/elections/district/3/%D8%AF%D8%A7%D8%A6%D8%B1%D8%A9-%D8%A7%D9%84%D8%B4%D9%85%D8%A7%D9%84-%D8%A7%D9%84%D8%AB%D8%A7%D9%84%D8%AB%D8%A11</t>
  </si>
  <si>
    <t>https://web.archive.org/web/20190217142432/https://www.annahar.com/elections/district/3/%D8%AF%D8%A7%D8%A6%D8%B1%D8%A9-%D8%A7%D9%84%D8%B4%D9%85%D8%A7%D9%84-%D8%A7%D9%84%D8%AB%D8%A7%D9%84%D8%AB%D8%A12</t>
  </si>
  <si>
    <t>https://web.archive.org/web/20190217142355/https://www.annahar.com/elections/district/15/%D8%AF%D8%A7%D8%A6%D8%B1%D8%A9-%D9%84%D8%A8%D9%86%D8%A7%D9%86-%D8%A7%D9%84%D8%AC%D9%86%D9%88%D8%A8%D9%8A-%D8%A7%D9%84%D8%AB%D8%A7%D9%84%D8%AB%D8%A10</t>
  </si>
  <si>
    <t>https://web.archive.org/web/20190217142355/https://www.annahar.com/elections/district/15/%D8%AF%D8%A7%D8%A6%D8%B1%D8%A9-%D9%84%D8%A8%D9%86%D8%A7%D9%86-%D8%A7%D9%84%D8%AC%D9%86%D9%88%D8%A8%D9%8A-%D8%A7%D9%84%D8%AB%D8%A7%D9%84%D8%AB%D8%A11</t>
  </si>
  <si>
    <t>https://web.archive.org/web/20190217142355/https://www.annahar.com/elections/district/15/%D8%AF%D8%A7%D8%A6%D8%B1%D8%A9-%D9%84%D8%A8%D9%86%D8%A7%D9%86-%D8%A7%D9%84%D8%AC%D9%86%D9%88%D8%A8%D9%8A-%D8%A7%D9%84%D8%AB%D8%A7%D9%84%D8%AB%D8%A12</t>
  </si>
  <si>
    <t>Row Labels</t>
  </si>
  <si>
    <t>Grand Total</t>
  </si>
  <si>
    <t>Sum of Population</t>
  </si>
  <si>
    <t>LB60</t>
  </si>
  <si>
    <t>LB50</t>
  </si>
  <si>
    <t>LB10</t>
  </si>
  <si>
    <t>East Beirut (I)</t>
  </si>
  <si>
    <t>West Beirut (II)</t>
  </si>
  <si>
    <t>Election District</t>
  </si>
  <si>
    <t>Bekaa 1</t>
  </si>
  <si>
    <t>Mt. Lebanon 1</t>
  </si>
  <si>
    <t>Mt. Lebanon 2</t>
  </si>
  <si>
    <t>North 1</t>
  </si>
  <si>
    <t>South 1</t>
  </si>
  <si>
    <t>Bekaa 2</t>
  </si>
  <si>
    <t>Bekaa 3</t>
  </si>
  <si>
    <t>North 2</t>
  </si>
  <si>
    <t>North 3</t>
  </si>
  <si>
    <t>South 2</t>
  </si>
  <si>
    <t>South 3</t>
  </si>
  <si>
    <t>Mt. Lebanon 3</t>
  </si>
  <si>
    <t>Mt. Lebanon 4</t>
  </si>
  <si>
    <t>2018 Link</t>
  </si>
  <si>
    <t>2009 Link</t>
  </si>
  <si>
    <t>https://elections.lebanese-forces.com/wp-content/uploads/2018/02/KESERWAN-JBEIL-1.pdf</t>
  </si>
  <si>
    <t xml:space="preserve"> </t>
  </si>
  <si>
    <t>Province</t>
  </si>
  <si>
    <t>Largest %</t>
  </si>
  <si>
    <t>Electoral Districts</t>
  </si>
  <si>
    <t>LB58</t>
  </si>
  <si>
    <t>Zahrani</t>
  </si>
  <si>
    <t>Muslim Pop.</t>
  </si>
  <si>
    <t>Christian Pop.</t>
  </si>
  <si>
    <t>Lebanon Electoral District Info:</t>
  </si>
  <si>
    <t>Lebanon District Info:</t>
  </si>
  <si>
    <t>https://elections.lebanese-forces.com/wp-content/uploads/2018/02/</t>
  </si>
  <si>
    <t>Population4</t>
  </si>
  <si>
    <t>Prot</t>
  </si>
  <si>
    <t>pther</t>
  </si>
  <si>
    <t>prot %</t>
  </si>
  <si>
    <t>other %</t>
  </si>
  <si>
    <t>Protestants</t>
  </si>
  <si>
    <t>Electoral District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</si>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</sst>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9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7" fillId="0" borderId="0"/>
    <xf numFmtId="0" fontId="7" fillId="0" borderId="0"/>
  </cellStyleXfs>
  <cellXfs count="42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1" xfId="0" applyBorder="1"/>
    <xf numFmtId="0" fontId="4" fillId="0" borderId="0" xfId="0" applyFont="1"/>
    <xf numFmtId="0" fontId="5" fillId="0" borderId="0" xfId="0" applyFont="1"/>
    <xf numFmtId="164" fontId="0" fillId="0" borderId="0" xfId="1" applyNumberFormat="1" applyFont="1"/>
    <xf numFmtId="0" fontId="0" fillId="0" borderId="3" xfId="0" applyBorder="1"/>
    <xf numFmtId="164" fontId="0" fillId="0" borderId="3" xfId="1" applyNumberFormat="1" applyFont="1" applyBorder="1"/>
    <xf numFmtId="165" fontId="0" fillId="0" borderId="0" xfId="2" applyNumberFormat="1" applyFont="1"/>
    <xf numFmtId="164" fontId="0" fillId="0" borderId="0" xfId="1" applyNumberFormat="1" applyFont="1" applyBorder="1"/>
    <xf numFmtId="0" fontId="1" fillId="4" borderId="0" xfId="5"/>
    <xf numFmtId="0" fontId="1" fillId="2" borderId="0" xfId="3"/>
    <xf numFmtId="0" fontId="1" fillId="3" borderId="0" xfId="4"/>
    <xf numFmtId="165" fontId="0" fillId="0" borderId="0" xfId="0" applyNumberFormat="1"/>
    <xf numFmtId="165" fontId="2" fillId="0" borderId="0" xfId="2" applyNumberFormat="1" applyFont="1"/>
    <xf numFmtId="165" fontId="0" fillId="0" borderId="0" xfId="2" applyNumberFormat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6" borderId="8" xfId="0" applyFill="1" applyBorder="1"/>
    <xf numFmtId="0" fontId="0" fillId="6" borderId="9" xfId="0" applyFill="1" applyBorder="1"/>
    <xf numFmtId="0" fontId="0" fillId="0" borderId="8" xfId="0" applyBorder="1"/>
    <xf numFmtId="0" fontId="0" fillId="0" borderId="9" xfId="0" applyBorder="1"/>
    <xf numFmtId="164" fontId="0" fillId="6" borderId="9" xfId="1" applyNumberFormat="1" applyFont="1" applyFill="1" applyBorder="1"/>
    <xf numFmtId="164" fontId="0" fillId="6" borderId="10" xfId="1" applyNumberFormat="1" applyFont="1" applyFill="1" applyBorder="1"/>
    <xf numFmtId="164" fontId="0" fillId="0" borderId="9" xfId="1" applyNumberFormat="1" applyFont="1" applyBorder="1"/>
    <xf numFmtId="164" fontId="0" fillId="0" borderId="10" xfId="1" applyNumberFormat="1" applyFont="1" applyBorder="1"/>
    <xf numFmtId="0" fontId="6" fillId="5" borderId="4" xfId="0" applyFont="1" applyFill="1" applyBorder="1"/>
    <xf numFmtId="0" fontId="6" fillId="5" borderId="5" xfId="0" applyFont="1" applyFill="1" applyBorder="1"/>
    <xf numFmtId="164" fontId="0" fillId="0" borderId="0" xfId="0" applyNumberFormat="1"/>
    <xf numFmtId="0" fontId="0" fillId="7" borderId="0" xfId="0" applyFill="1"/>
    <xf numFmtId="0" fontId="0" fillId="0" borderId="11" xfId="0" applyBorder="1"/>
    <xf numFmtId="0" fontId="0" fillId="8" borderId="0" xfId="0" applyFill="1"/>
    <xf numFmtId="0" fontId="2" fillId="8" borderId="0" xfId="0" applyFont="1" applyFill="1"/>
    <xf numFmtId="0" fontId="2" fillId="9" borderId="0" xfId="0" applyFont="1" applyFill="1"/>
    <xf numFmtId="0" fontId="0" fillId="9" borderId="0" xfId="0" applyFill="1"/>
    <xf numFmtId="0" fontId="0" fillId="0" borderId="0" xfId="0" applyAlignment="1">
      <alignment horizontal="left" indent="1"/>
    </xf>
    <xf numFmtId="0" fontId="7" fillId="0" borderId="0" xfId="7"/>
  </cellXfs>
  <cellStyles count="8">
    <cellStyle name="20% - Accent2" xfId="3" builtinId="34"/>
    <cellStyle name="20% - Accent4" xfId="4" builtinId="42"/>
    <cellStyle name="20% - Accent6" xfId="5" builtinId="50"/>
    <cellStyle name="Comma" xfId="1" builtinId="3"/>
    <cellStyle name="Normal" xfId="0" builtinId="0"/>
    <cellStyle name="Normal 3" xfId="6" xr:uid="{40C7005C-5A47-4A4D-BC50-44D93F1599C0}"/>
    <cellStyle name="Normal 3 2" xfId="7" xr:uid="{9A77FA90-CAF3-4817-8959-B27815440CF8}"/>
    <cellStyle name="Percent" xfId="2" builtinId="5"/>
  </cellStyles>
  <dxfs count="59"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5" formatCode="0.0%"/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2.xml"/><Relationship Id="rId27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uran" refreshedDate="45359.036181134259" createdVersion="8" refreshedVersion="8" minRefreshableVersion="3" recordCount="27" xr:uid="{91B9B004-738B-4EE9-B9CA-4597D20F79D4}">
  <cacheSource type="worksheet">
    <worksheetSource name="Table4"/>
  </cacheSource>
  <cacheFields count="19">
    <cacheField name="Map ID" numFmtId="0">
      <sharedItems containsBlank="1"/>
    </cacheField>
    <cacheField name="Column3" numFmtId="0">
      <sharedItems containsSemiMixedTypes="0" containsString="0" containsNumber="1" containsInteger="1" minValue="1" maxValue="27"/>
    </cacheField>
    <cacheField name="Governorate" numFmtId="0">
      <sharedItems containsBlank="1"/>
    </cacheField>
    <cacheField name="District" numFmtId="0">
      <sharedItems containsBlank="1"/>
    </cacheField>
    <cacheField name="Column1" numFmtId="0">
      <sharedItems longText="1"/>
    </cacheField>
    <cacheField name="Population" numFmtId="0">
      <sharedItems containsString="0" containsBlank="1" containsNumber="1" containsInteger="1" minValue="22100" maxValue="553800"/>
    </cacheField>
    <cacheField name="Column2" numFmtId="0">
      <sharedItems count="15">
        <s v="1 Bekaa"/>
        <s v="1 ML"/>
        <s v="1N"/>
        <s v="1S"/>
        <s v="2 Bekaa"/>
        <s v="2 ML"/>
        <s v="2N"/>
        <s v="2S"/>
        <s v="3 Bekaa"/>
        <s v="3 ML"/>
        <s v="3N"/>
        <s v="3S"/>
        <s v="4 ML"/>
        <s v="Beirut 1"/>
        <s v="Beirut 2"/>
      </sharedItems>
    </cacheField>
    <cacheField name="Sunni" numFmtId="0">
      <sharedItems containsBlank="1" containsMixedTypes="1" containsNumber="1" containsInteger="1" minValue="2340" maxValue="284425"/>
    </cacheField>
    <cacheField name="Shia" numFmtId="0">
      <sharedItems containsString="0" containsBlank="1" containsNumber="1" containsInteger="1" minValue="2663" maxValue="361003"/>
    </cacheField>
    <cacheField name="Druze" numFmtId="0">
      <sharedItems containsBlank="1" containsMixedTypes="1" containsNumber="1" containsInteger="1" minValue="585" maxValue="131000"/>
    </cacheField>
    <cacheField name="Alawite" numFmtId="0">
      <sharedItems containsString="0" containsBlank="1" containsNumber="1" containsInteger="1" minValue="113" maxValue="20717"/>
    </cacheField>
    <cacheField name="Maronite" numFmtId="0">
      <sharedItems containsString="0" containsBlank="1" containsNumber="1" containsInteger="1" minValue="6452" maxValue="143632"/>
    </cacheField>
    <cacheField name="Orthodox" numFmtId="0">
      <sharedItems containsString="0" containsBlank="1" containsNumber="1" containsInteger="1" minValue="2236" maxValue="40606"/>
    </cacheField>
    <cacheField name="Catholic" numFmtId="0">
      <sharedItems containsString="0" containsBlank="1" containsNumber="1" containsInteger="1" minValue="1710" maxValue="32295"/>
    </cacheField>
    <cacheField name="Armenian Orthodox" numFmtId="0">
      <sharedItems containsString="0" containsBlank="1" containsNumber="1" containsInteger="1" minValue="1771" maxValue="37905"/>
    </cacheField>
    <cacheField name="Armenian Catholic" numFmtId="0">
      <sharedItems containsString="0" containsBlank="1" containsNumber="1" containsInteger="1" minValue="1101" maxValue="7459"/>
    </cacheField>
    <cacheField name="Evangelical" numFmtId="0">
      <sharedItems containsString="0" containsBlank="1" containsNumber="1" containsInteger="1" minValue="2810" maxValue="2810"/>
    </cacheField>
    <cacheField name="Other Christians" numFmtId="0">
      <sharedItems containsString="0" containsBlank="1" containsNumber="1" containsInteger="1" minValue="809" maxValue="15773"/>
    </cacheField>
    <cacheField name="Israeli" numFmtId="0">
      <sharedItems containsString="0" containsBlank="1" containsNumber="1" containsInteger="1" minValue="4555" maxValue="455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uran" refreshedDate="45362.659902314816" createdVersion="8" refreshedVersion="8" minRefreshableVersion="3" recordCount="28" xr:uid="{4A0B2F0D-0BA5-4DAF-B1AB-CEC62EDBABE1}">
  <cacheSource type="worksheet">
    <worksheetSource name="Table7"/>
  </cacheSource>
  <cacheFields count="21">
    <cacheField name="Map ID" numFmtId="0">
      <sharedItems containsBlank="1"/>
    </cacheField>
    <cacheField name="Column3" numFmtId="0">
      <sharedItems containsString="0" containsBlank="1" containsNumber="1" containsInteger="1" minValue="1" maxValue="1"/>
    </cacheField>
    <cacheField name="Column4" numFmtId="0">
      <sharedItems containsSemiMixedTypes="0" containsString="0" containsNumber="1" containsInteger="1" minValue="1" maxValue="28"/>
    </cacheField>
    <cacheField name="Column1" numFmtId="0">
      <sharedItems longText="1"/>
    </cacheField>
    <cacheField name="Governorate" numFmtId="0">
      <sharedItems count="9">
        <s v="Beirut"/>
        <s v="Bekaa"/>
        <s v="Baalbek-El Hermel"/>
        <s v="Keserwan-Jbeil"/>
        <s v="Mount Lebanon"/>
        <s v="Akkar"/>
        <s v="North"/>
        <s v="South"/>
        <s v="El Nabatieh"/>
      </sharedItems>
    </cacheField>
    <cacheField name="District" numFmtId="0">
      <sharedItems count="28">
        <s v="Beirut 1"/>
        <s v="Beirut 2"/>
        <s v="Zahle"/>
        <s v="Rashaya"/>
        <s v="Baalbek"/>
        <s v="Keserwan"/>
        <s v="Matn"/>
        <s v="Baabda"/>
        <s v="Aley"/>
        <s v="Akkar"/>
        <s v="Miniyeh-Danniyeh"/>
        <s v="Batroun"/>
        <s v="Jezzine"/>
        <s v="Tyre"/>
        <s v="Bint Jbeil"/>
        <s v="Western Beqaa"/>
        <s v="Hermel"/>
        <s v="Byblos"/>
        <s v="Chouf"/>
        <s v="Tripoli"/>
        <s v="Bsharri"/>
        <s v="Koura"/>
        <s v="Zgharta"/>
        <s v="Sidon"/>
        <s v="Zahrani"/>
        <s v="Hasbaya"/>
        <s v="Marjeyoun"/>
        <s v="Nabatieh"/>
      </sharedItems>
    </cacheField>
    <cacheField name="Column2" numFmtId="0">
      <sharedItems/>
    </cacheField>
    <cacheField name="Population" numFmtId="0">
      <sharedItems containsString="0" containsBlank="1" containsNumber="1" containsInteger="1" minValue="104300" maxValue="577800"/>
    </cacheField>
    <cacheField name="Population4" numFmtId="0">
      <sharedItems containsSemiMixedTypes="0" containsString="0" containsNumber="1" containsInteger="1" minValue="22100" maxValue="553800"/>
    </cacheField>
    <cacheField name="Sunni" numFmtId="0">
      <sharedItems containsSemiMixedTypes="0" containsString="0" containsNumber="1" minValue="0" maxValue="318864.15243936214"/>
    </cacheField>
    <cacheField name="Shia" numFmtId="0">
      <sharedItems containsSemiMixedTypes="0" containsString="0" containsNumber="1" minValue="0" maxValue="390747.90324422735"/>
    </cacheField>
    <cacheField name="Druze" numFmtId="0">
      <sharedItems containsSemiMixedTypes="0" containsString="0" containsNumber="1" minValue="0" maxValue="235495.54314515501"/>
    </cacheField>
    <cacheField name="Alawite" numFmtId="0">
      <sharedItems containsSemiMixedTypes="0" containsString="0" containsNumber="1" minValue="0" maxValue="23225.48526355371"/>
    </cacheField>
    <cacheField name="Maronite" numFmtId="0">
      <sharedItems containsSemiMixedTypes="0" containsString="0" containsNumber="1" minValue="0" maxValue="320031.99378406483"/>
    </cacheField>
    <cacheField name="Orthodox" numFmtId="0">
      <sharedItems containsSemiMixedTypes="0" containsString="0" containsNumber="1" minValue="0" maxValue="74488.148626273396"/>
    </cacheField>
    <cacheField name="Catholic" numFmtId="0">
      <sharedItems containsSemiMixedTypes="0" containsString="0" containsNumber="1" minValue="0" maxValue="50220.918811214324"/>
    </cacheField>
    <cacheField name="Armenian Orthodox" numFmtId="0">
      <sharedItems containsSemiMixedTypes="0" containsString="0" containsNumber="1" minValue="0" maxValue="73134.392276822051"/>
    </cacheField>
    <cacheField name="Armenian Catholic" numFmtId="0">
      <sharedItems containsSemiMixedTypes="0" containsString="0" containsNumber="1" minValue="0" maxValue="19749.928437122893"/>
    </cacheField>
    <cacheField name="Evangelical" numFmtId="0">
      <sharedItems containsSemiMixedTypes="0" containsString="0" containsNumber="1" minValue="0" maxValue="1792.272451098115"/>
    </cacheField>
    <cacheField name="Other Christians" numFmtId="0">
      <sharedItems containsSemiMixedTypes="0" containsString="0" containsNumber="1" minValue="0" maxValue="32071.405719417391"/>
    </cacheField>
    <cacheField name="Israeli" numFmtId="0">
      <sharedItems containsSemiMixedTypes="0" containsString="0" containsNumber="1" minValue="0" maxValue="2905.26726503626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">
  <r>
    <s v="LB25"/>
    <n v="8"/>
    <s v="Bekaa"/>
    <s v="Zahle"/>
    <s v="https://web.archive.org/web/20190217142401/https://www.annahar.com/elections/district/4/%D8%AF%D8%A7%D8%A6%D8%B1%D8%A9-%D8%A7%D9%84%D8%A8%D9%82%D8%A7%D8%B9-%D8%A7%D9%84%D8%A7%D9%88%D9%84%D9%89"/>
    <n v="177400"/>
    <x v="0"/>
    <n v="48867"/>
    <n v="27538"/>
    <n v="906"/>
    <m/>
    <n v="27049"/>
    <n v="16470"/>
    <n v="32295"/>
    <n v="8604"/>
    <n v="1846"/>
    <m/>
    <n v="8980"/>
    <m/>
  </r>
  <r>
    <s v="LB34"/>
    <n v="13"/>
    <s v="Keserwan-Jbeil"/>
    <s v="Byblos"/>
    <s v="https://web.archive.org/web/20190217142344/https://www.annahar.com/elections/district/7/%D8%AF%D8%A7%D8%A6%D8%B1%D8%A9-%D8%AC%D8%A8%D9%84-%D9%84%D8%A8%D9%86%D8%A7%D9%86-%D8%A7%D9%84%D8%A7%D9%88%D9%84%D9%88"/>
    <n v="129500"/>
    <x v="1"/>
    <m/>
    <m/>
    <m/>
    <m/>
    <m/>
    <m/>
    <m/>
    <m/>
    <m/>
    <m/>
    <m/>
    <m/>
  </r>
  <r>
    <s v="LB35"/>
    <n v="14"/>
    <s v="Keserwan-Jbeil"/>
    <s v="Keserwan"/>
    <s v="https://web.archive.org/web/20190217142344/https://www.annahar.com/elections/district/7/%D8%AF%D8%A7%D8%A6%D8%B1%D8%A9-%D8%AC%D8%A8%D9%84-%D9%84%D8%A8%D9%86%D8%A7%D9%86-%D8%A7%D9%84%D8%A7%D9%88%D9%84%D9%89"/>
    <n v="260500"/>
    <x v="1"/>
    <n v="2340"/>
    <n v="18756"/>
    <m/>
    <m/>
    <n v="143632"/>
    <n v="3345"/>
    <n v="2308"/>
    <n v="2452"/>
    <m/>
    <m/>
    <n v="2201"/>
    <m/>
  </r>
  <r>
    <s v="LB51"/>
    <n v="1"/>
    <s v="Akkar"/>
    <s v="Akkar"/>
    <s v="https://web.archive.org/web/20190217142430/https://www.annahar.com/elections/district/1/%D8%AF%D8%A7%D8%A6%D8%B1%D8%A9-%D8%A7%D9%84%D8%B4%D9%85%D8%A7%D9%84-%D8%A7%D9%84%D8%A3%D9%88%D9%84%D9%89"/>
    <n v="324000"/>
    <x v="2"/>
    <n v="186920"/>
    <n v="2911"/>
    <m/>
    <n v="13765"/>
    <n v="30208"/>
    <n v="40606"/>
    <n v="1710"/>
    <m/>
    <m/>
    <m/>
    <n v="818"/>
    <m/>
  </r>
  <r>
    <s v="LB62"/>
    <n v="25"/>
    <s v="South"/>
    <s v="Jezzine"/>
    <s v="https://web.archive.org/web/20190217142420/https://www.annahar.com/elections/district/13/%D8%AF%D8%A7%D8%A6%D8%B1%D8%A9-%D9%84%D8%A8%D9%86%D8%A7%D9%86-%D8%A7%D9%84%D8%AC%D9%86%D9%88%D8%A8%D9%8A-%D8%A7%D9%84%D8%A7%D9%88%D9%84%D9%89"/>
    <n v="32100"/>
    <x v="3"/>
    <n v="53429"/>
    <n v="18239"/>
    <n v="585"/>
    <m/>
    <n v="37214"/>
    <m/>
    <n v="10489"/>
    <m/>
    <m/>
    <m/>
    <n v="809"/>
    <m/>
  </r>
  <r>
    <s v="LB23"/>
    <n v="6"/>
    <s v="Bekaa"/>
    <s v="Rashaya"/>
    <s v="https://web.archive.org/web/20190217142412/https://www.annahar.com/elections/district/5/%D8%AF%D8%A7%D8%A6%D8%B1%D8%A9-%D8%A7%D9%84%D8%A8%D9%82%D8%A7%D8%B9-%D8%A7%D9%84%D8%AB%D8%A7%D9%86%D9%8A%D8%A9"/>
    <n v="33800"/>
    <x v="4"/>
    <n v="68362"/>
    <n v="20566"/>
    <n v="20678"/>
    <m/>
    <n v="10117"/>
    <n v="10042"/>
    <n v="10398"/>
    <m/>
    <m/>
    <m/>
    <m/>
    <m/>
  </r>
  <r>
    <s v="LB24"/>
    <n v="7"/>
    <s v="Bekaa"/>
    <s v="Western Beqaa"/>
    <s v="https://web.archive.org/web/20190217142412/https://www.annahar.com/elections/district/5/%D8%AF%D8%A7%D8%A6%D8%B1%D8%A9-%D8%A7%D9%84%D8%A8%D9%82%D8%A7%D8%B9-%D8%A7%D9%84%D8%AB%D8%A7%D9%86%D9%8A%D8%A10"/>
    <n v="86400"/>
    <x v="4"/>
    <m/>
    <m/>
    <m/>
    <m/>
    <m/>
    <m/>
    <m/>
    <m/>
    <m/>
    <m/>
    <m/>
    <m/>
  </r>
  <r>
    <s v="LB36"/>
    <n v="18"/>
    <s v="Mount Lebanon"/>
    <s v="Matn"/>
    <s v="https://web.archive.org/web/20190217142323/https://www.annahar.com/elections/district/8/%D8%AF%D8%A7%D8%A6%D8%B1%D8%A9-%D8%AC%D8%A8%D9%84-%D9%84%D8%A8%D9%86%D8%A7%D9%86-%D8%A7%D9%84%D8%AB%D8%A7%D9%86%D9%8A%D8%A9"/>
    <n v="511000"/>
    <x v="5"/>
    <n v="3354"/>
    <n v="5398"/>
    <n v="2458"/>
    <m/>
    <n v="79907"/>
    <n v="25971"/>
    <n v="17510"/>
    <n v="25499"/>
    <n v="6886"/>
    <m/>
    <n v="11182"/>
    <m/>
  </r>
  <r>
    <s v="LB55"/>
    <n v="22"/>
    <s v="North"/>
    <s v="Miniyeh-Danniyeh"/>
    <s v="https://web.archive.org/web/20190217142351/https://www.annahar.com/elections/district/2/%D8%AF%D8%A7%D8%A6%D8%B1%D8%A9-%D8%A7%D9%84%D8%B4%D9%85%D8%A7%D9%84-%D8%A7%D9%84%D8%AB%D8%A7%D9%86%D9%8A%D8%A9"/>
    <n v="140800"/>
    <x v="6"/>
    <n v="284425"/>
    <m/>
    <m/>
    <n v="20717"/>
    <n v="11616"/>
    <n v="21404"/>
    <m/>
    <n v="1771"/>
    <n v="1101"/>
    <m/>
    <n v="2027"/>
    <m/>
  </r>
  <r>
    <s v="LB56"/>
    <n v="23"/>
    <s v="North"/>
    <s v="Tripoli"/>
    <s v="https://web.archive.org/web/20190217142351/https://www.annahar.com/elections/district/2/%D8%AF%D8%A7%D8%A6%D8%B1%D8%A9-%D8%A7%D9%84%D8%B4%D9%85%D8%A7%D9%84-%D8%A7%D9%84%D8%AB%D8%A7%D9%86%D9%8A%D8%A10"/>
    <n v="243800"/>
    <x v="6"/>
    <m/>
    <m/>
    <m/>
    <m/>
    <m/>
    <m/>
    <m/>
    <m/>
    <m/>
    <m/>
    <m/>
    <m/>
  </r>
  <r>
    <s v="LB61"/>
    <n v="26"/>
    <s v="South"/>
    <s v="Sidon"/>
    <s v="https://web.archive.org/web/20190217142420/https://www.annahar.com/elections/district/13/%D8%AF%D8%A7%D8%A6%D8%B1%D8%A9-%D9%84%D8%A8%D9%86%D8%A7%D9%86-%D8%A7%D9%84%D8%AC%D9%86%D9%88%D8%A8%D9%8A-%D8%A7%D9%84%D8%A7%D9%88%D9%84%D9%89"/>
    <n v="296600"/>
    <x v="7"/>
    <m/>
    <m/>
    <m/>
    <m/>
    <m/>
    <m/>
    <m/>
    <m/>
    <m/>
    <m/>
    <m/>
    <m/>
  </r>
  <r>
    <s v="LB63"/>
    <n v="27"/>
    <s v="South"/>
    <s v="Tyre"/>
    <s v="https://web.archive.org/web/20190217142403/https://www.annahar.com/elections/district/14/%D8%AF%D8%A7%D8%A6%D8%B1%D8%A9-%D9%84%D8%A8%D9%86%D8%A7%D9%86-%D8%A7%D9%84%D8%AC%D9%86%D9%88%D8%A8%D9%8A-%D8%A7%D9%84%D8%AB%D8%A7%D9%86%D9%8A%D8%A9"/>
    <n v="255700"/>
    <x v="7"/>
    <s v="figure out distinction between 1S and 2S"/>
    <m/>
    <m/>
    <m/>
    <m/>
    <m/>
    <m/>
    <m/>
    <m/>
    <m/>
    <m/>
    <m/>
  </r>
  <r>
    <s v="LB21"/>
    <n v="2"/>
    <s v="Baalbek-El Hermel"/>
    <s v="Baalbek"/>
    <s v="https://web.archive.org/web/20190217142359/https://www.annahar.com/elections/district/6/%D8%AF%D8%A7%D8%A6%D8%B1%D8%A9-%D8%A7%D9%84%D8%A8%D9%82%D8%A7%D8%B9-%D8%A7%D9%84%D8%AB%D8%A7%D9%84%D8%AB%D8%A9"/>
    <n v="214600"/>
    <x v="8"/>
    <n v="41081"/>
    <n v="226405"/>
    <m/>
    <m/>
    <n v="22706"/>
    <n v="2236"/>
    <n v="16569"/>
    <m/>
    <m/>
    <m/>
    <m/>
    <m/>
  </r>
  <r>
    <s v="LB22"/>
    <n v="3"/>
    <s v="Baalbek-El Hermel"/>
    <s v="Hermel"/>
    <s v="https://web.archive.org/web/20190217142359/https://www.annahar.com/elections/district/6/%D8%AF%D8%A7%D8%A6%D8%B1%D8%A9-%D8%A7%D9%84%D8%A8%D9%82%D8%A7%D8%B9-%D8%A7%D9%84%D8%AB%D8%A7%D9%84%D8%AB%D8%A10"/>
    <n v="30500"/>
    <x v="8"/>
    <m/>
    <m/>
    <m/>
    <m/>
    <m/>
    <m/>
    <m/>
    <m/>
    <m/>
    <m/>
    <m/>
    <m/>
  </r>
  <r>
    <s v="LB32"/>
    <n v="16"/>
    <s v="Mount Lebanon"/>
    <s v="Baabda"/>
    <s v="https://web.archive.org/web/20190217142347/https://www.annahar.com/elections/district/9/%D8%AF%D8%A7%D8%A6%D8%B1%D8%A9-%D8%AC%D8%A8%D9%84-%D9%84%D8%A8%D9%86%D8%A7%D9%86-%D8%A7%D9%84%D8%AB%D8%A7%D9%84%D8%AB%D8%A9"/>
    <n v="553800"/>
    <x v="9"/>
    <n v="9946"/>
    <n v="41033"/>
    <n v="28631"/>
    <m/>
    <n v="59837"/>
    <n v="12385"/>
    <n v="7488"/>
    <m/>
    <m/>
    <m/>
    <n v="3482"/>
    <m/>
  </r>
  <r>
    <s v="LB52"/>
    <n v="19"/>
    <s v="North"/>
    <s v="Batroun"/>
    <s v="https://web.archive.org/web/20190217142432/https://www.annahar.com/elections/district/3/%D8%AF%D8%A7%D8%A6%D8%B1%D8%A9-%D8%A7%D9%84%D8%B4%D9%85%D8%A7%D9%84-%D8%A7%D9%84%D8%AB%D8%A7%D9%84%D8%AB%D8%A9"/>
    <n v="58900"/>
    <x v="10"/>
    <n v="167966"/>
    <n v="22061"/>
    <m/>
    <m/>
    <m/>
    <m/>
    <m/>
    <m/>
    <m/>
    <m/>
    <m/>
    <m/>
  </r>
  <r>
    <s v="LB53"/>
    <n v="20"/>
    <s v="North"/>
    <s v="Bsharri"/>
    <s v="https://web.archive.org/web/20190217142432/https://www.annahar.com/elections/district/3/%D8%AF%D8%A7%D8%A6%D8%B1%D8%A9-%D8%A7%D9%84%D8%B4%D9%85%D8%A7%D9%84-%D8%A7%D9%84%D8%AB%D8%A7%D9%84%D8%AB%D8%A10"/>
    <n v="22100"/>
    <x v="10"/>
    <m/>
    <m/>
    <m/>
    <m/>
    <m/>
    <m/>
    <m/>
    <m/>
    <m/>
    <m/>
    <m/>
    <m/>
  </r>
  <r>
    <s v="LB54"/>
    <n v="21"/>
    <s v="North"/>
    <s v="Koura"/>
    <s v="https://web.archive.org/web/20190217142432/https://www.annahar.com/elections/district/3/%D8%AF%D8%A7%D8%A6%D8%B1%D8%A9-%D8%A7%D9%84%D8%B4%D9%85%D8%A7%D9%84-%D8%A7%D9%84%D8%AB%D8%A7%D9%84%D8%AB%D8%A11"/>
    <n v="84600"/>
    <x v="10"/>
    <m/>
    <m/>
    <m/>
    <m/>
    <m/>
    <m/>
    <m/>
    <m/>
    <m/>
    <m/>
    <m/>
    <m/>
  </r>
  <r>
    <s v="LB57"/>
    <n v="24"/>
    <s v="North"/>
    <s v="Zgharta"/>
    <s v="https://web.archive.org/web/20190217142432/https://www.annahar.com/elections/district/3/%D8%AF%D8%A7%D8%A6%D8%B1%D8%A9-%D8%A7%D9%84%D8%B4%D9%85%D8%A7%D9%84-%D8%A7%D9%84%D8%AB%D8%A7%D9%84%D8%AB%D8%A12"/>
    <n v="87700"/>
    <x v="10"/>
    <m/>
    <m/>
    <m/>
    <m/>
    <m/>
    <m/>
    <m/>
    <m/>
    <m/>
    <m/>
    <m/>
    <m/>
  </r>
  <r>
    <s v="LB41"/>
    <n v="9"/>
    <s v="El Nabatieh"/>
    <s v="Bint Jbeil"/>
    <s v="https://web.archive.org/web/20190217142355/https://www.annahar.com/elections/district/15/%D8%AF%D8%A7%D8%A6%D8%B1%D8%A9-%D9%84%D8%A8%D9%86%D8%A7%D9%86-%D8%A7%D9%84%D8%AC%D9%86%D9%88%D8%A8%D9%8A-%D8%A7%D9%84%D8%AB%D8%A7%D9%84%D8%AB%D8%A9"/>
    <n v="96200"/>
    <x v="11"/>
    <n v="28604"/>
    <n v="361003"/>
    <n v="16457"/>
    <m/>
    <n v="23739"/>
    <n v="11035"/>
    <n v="8111"/>
    <m/>
    <m/>
    <m/>
    <n v="1745"/>
    <m/>
  </r>
  <r>
    <s v="LB42"/>
    <n v="10"/>
    <s v="El Nabatieh"/>
    <s v="Hasbaya"/>
    <s v="https://web.archive.org/web/20190217142355/https://www.annahar.com/elections/district/15/%D8%AF%D8%A7%D8%A6%D8%B1%D8%A9-%D9%84%D8%A8%D9%86%D8%A7%D9%86-%D8%A7%D9%84%D8%AC%D9%86%D9%88%D8%A8%D9%8A-%D8%A7%D9%84%D8%AB%D8%A7%D9%84%D8%AB%D8%A10"/>
    <n v="28700"/>
    <x v="11"/>
    <m/>
    <m/>
    <m/>
    <m/>
    <m/>
    <m/>
    <m/>
    <m/>
    <m/>
    <m/>
    <m/>
    <m/>
  </r>
  <r>
    <s v="LB43"/>
    <n v="11"/>
    <s v="El Nabatieh"/>
    <s v="Marjeyoun"/>
    <s v="https://web.archive.org/web/20190217142355/https://www.annahar.com/elections/district/15/%D8%AF%D8%A7%D8%A6%D8%B1%D8%A9-%D9%84%D8%A8%D9%86%D8%A7%D9%86-%D8%A7%D9%84%D8%AC%D9%86%D9%88%D8%A8%D9%8A-%D8%A7%D9%84%D8%AB%D8%A7%D9%84%D8%AB%D8%A11"/>
    <n v="74000"/>
    <x v="11"/>
    <m/>
    <m/>
    <m/>
    <m/>
    <m/>
    <m/>
    <m/>
    <m/>
    <m/>
    <m/>
    <m/>
    <m/>
  </r>
  <r>
    <s v="LB44"/>
    <n v="12"/>
    <s v="El Nabatieh"/>
    <s v="Nabatieh"/>
    <s v="https://web.archive.org/web/20190217142355/https://www.annahar.com/elections/district/15/%D8%AF%D8%A7%D8%A6%D8%B1%D8%A9-%D9%84%D8%A8%D9%86%D8%A7%D9%86-%D8%A7%D9%84%D8%AC%D9%86%D9%88%D8%A8%D9%8A-%D8%A7%D9%84%D8%AB%D8%A7%D9%84%D8%AB%D8%A12"/>
    <n v="180200"/>
    <x v="11"/>
    <m/>
    <m/>
    <m/>
    <m/>
    <m/>
    <m/>
    <m/>
    <m/>
    <m/>
    <m/>
    <m/>
    <m/>
  </r>
  <r>
    <s v="LB31"/>
    <n v="15"/>
    <s v="Mount Lebanon"/>
    <s v="Aley"/>
    <s v="https://www.almodon.com/politics/2018/3/27/5-%D9%84%D9%88%D8%A7%D8%A6%D8%AD-%D9%81%D9%8A-%D8%A7%D9%84%D8%B4%D9%88%D9%81-%D8%B9%D8%A7%D9%84%D9%8A%D9%87-%D9%84%D8%B9%D8%A8%D8%A9-%D8%B1%D9%81%D8%B9-%D8%A7%D9%84%D8%AD%D8%A7%D8%B5%D9%84-%D8%A7%D9%84%D8%A7%D9%86%D8%AA%D8%AE%D8%A7%D8%A8%D9%8A"/>
    <n v="300800"/>
    <x v="12"/>
    <n v="60000"/>
    <n v="8444"/>
    <n v="131000"/>
    <m/>
    <n v="87000"/>
    <n v="16000"/>
    <n v="16000"/>
    <m/>
    <m/>
    <m/>
    <n v="2971"/>
    <m/>
  </r>
  <r>
    <s v="LB33"/>
    <n v="17"/>
    <s v="Mount Lebanon"/>
    <s v="Chouf"/>
    <s v="https://www.almodon.com/politics/2018/3/27/5-%D9%84%D9%88%D8%A7%D8%A6%D8%AD-%D9%81%D9%8A-%D8%A7%D9%84%D8%B4%D9%88%D9%81-%D8%B9%D8%A7%D9%84%D9%8A%D9%87-%D9%84%D8%B9%D8%A8%D8%A9-%D8%B1%D9%81%D8%B9-%D8%A7%D9%84%D8%AD%D8%A7%D8%B5%D9%84-%D8%A7%D9%84%D8%A7%D9%86%D8%AA%D8%AE%D8%A7%D8%A8%D9%8A"/>
    <n v="277000"/>
    <x v="12"/>
    <m/>
    <m/>
    <m/>
    <m/>
    <m/>
    <m/>
    <m/>
    <m/>
    <m/>
    <m/>
    <m/>
    <m/>
  </r>
  <r>
    <m/>
    <n v="4"/>
    <m/>
    <m/>
    <s v="https://web.archive.org/web/20190217142418/https://www.annahar.com/elections/district/11/%D8%AF%D8%A7%D8%A6%D8%B1%D8%A9-%D8%A8%D9%8A%D8%B1%D9%88%D8%AA-%D8%A7%D9%84%D8%A7%D9%88%D9%84%D9%89"/>
    <m/>
    <x v="13"/>
    <n v="13060"/>
    <n v="2663"/>
    <s v="492 (Druze+Alawite)"/>
    <m/>
    <n v="17647"/>
    <n v="25695"/>
    <n v="13108"/>
    <n v="37905"/>
    <n v="7459"/>
    <m/>
    <n v="15773"/>
    <m/>
  </r>
  <r>
    <s v="LB11"/>
    <n v="5"/>
    <s v="Beirut"/>
    <s v="Beirut"/>
    <s v="https://web.archive.org/web/20190217142428/https://www.annahar.com/elections/district/12/%D8%AF%D8%A7%D8%A6%D8%B1%D8%A9-%D8%A8%D9%8A%D8%B1%D9%88%D8%AA-%D8%A7%D9%84%D8%AB%D8%A7%D9%86%D9%8A%D8%A9"/>
    <n v="341700"/>
    <x v="14"/>
    <n v="215781"/>
    <n v="71537"/>
    <n v="5397"/>
    <n v="113"/>
    <n v="6452"/>
    <n v="17379"/>
    <n v="5663"/>
    <n v="5744"/>
    <m/>
    <n v="2810"/>
    <n v="11846"/>
    <n v="455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m/>
    <n v="1"/>
    <n v="27"/>
    <s v="https://web.archive.org/web/20190217142418/https://www.annahar.com/elections/district/11/%D8%AF%D8%A7%D8%A6%D8%B1%D8%A9-%D8%A8%D9%8A%D8%B1%D9%88%D8%AA-%D8%A7%D9%84%D8%A7%D9%88%D9%84%D9%89"/>
    <x v="0"/>
    <x v="0"/>
    <s v="Beirut 1"/>
    <n v="120200"/>
    <n v="120200"/>
    <n v="11775.650738879303"/>
    <n v="2401.1146950716379"/>
    <n v="0"/>
    <n v="0"/>
    <n v="15911.55502212887"/>
    <n v="23168.096916960469"/>
    <n v="11818.930312804741"/>
    <n v="34177.338534243492"/>
    <n v="6725.46545645488"/>
    <n v="0"/>
    <n v="14221.848323456605"/>
    <n v="0"/>
  </r>
  <r>
    <s v="LB11"/>
    <n v="1"/>
    <n v="28"/>
    <s v="https://web.archive.org/web/20190217142428/https://www.annahar.com/elections/district/12/%D8%AF%D8%A7%D8%A6%D8%B1%D8%A9-%D8%A8%D9%8A%D8%B1%D9%88%D8%AA-%D8%A7%D9%84%D8%AB%D8%A7%D9%86%D9%8A%D8%A9"/>
    <x v="0"/>
    <x v="1"/>
    <s v="Beirut 2"/>
    <n v="221500"/>
    <n v="221500"/>
    <n v="137629.30312113962"/>
    <n v="45627.684816443354"/>
    <n v="3442.3111809880875"/>
    <n v="72.07358967049359"/>
    <n v="4115.210624371899"/>
    <n v="11084.662963570867"/>
    <n v="3611.9711354336741"/>
    <n v="3663.6345050204877"/>
    <n v="0"/>
    <n v="1792.272451098115"/>
    <n v="7555.6083472271412"/>
    <n v="2905.2672650362679"/>
  </r>
  <r>
    <s v="LB25"/>
    <n v="1"/>
    <n v="1"/>
    <s v="https://web.archive.org/web/20190217142401/https://www.annahar.com/elections/district/4/%D8%AF%D8%A7%D8%A6%D8%B1%D8%A9-%D8%A7%D9%84%D8%A8%D9%82%D8%A7%D8%B9-%D8%A7%D9%84%D8%A7%D9%88%D9%84%D9%89"/>
    <x v="1"/>
    <x v="2"/>
    <s v="Bekaa 1"/>
    <n v="177400"/>
    <n v="177400"/>
    <n v="50239.087827069634"/>
    <n v="28311.212077308683"/>
    <n v="931.43867172785497"/>
    <n v="0"/>
    <n v="27808.481933296629"/>
    <n v="16932.444727767957"/>
    <n v="33201.779142881976"/>
    <n v="8845.583147402278"/>
    <n v="1897.8319955956074"/>
    <n v="0"/>
    <n v="9232.1404769493784"/>
    <n v="0"/>
  </r>
  <r>
    <s v="LB23"/>
    <n v="1"/>
    <n v="7"/>
    <s v="https://web.archive.org/web/20190217142412/https://www.annahar.com/elections/district/5/%D8%AF%D8%A7%D8%A6%D8%B1%D8%A9-%D8%A7%D9%84%D8%A8%D9%82%D8%A7%D8%B9-%D8%A7%D9%84%D8%AB%D8%A7%D9%86%D9%8A%D8%A9"/>
    <x v="1"/>
    <x v="3"/>
    <s v="Bekaa 2"/>
    <n v="120200"/>
    <n v="33800"/>
    <n v="58625.403280466315"/>
    <n v="17636.845672538402"/>
    <n v="17732.893845023293"/>
    <n v="0"/>
    <n v="8676.0657234790924"/>
    <n v="8611.7477508329594"/>
    <n v="8917.0437276599387"/>
    <n v="0"/>
    <n v="0"/>
    <n v="0"/>
    <n v="0"/>
    <n v="0"/>
  </r>
  <r>
    <s v="LB21"/>
    <n v="1"/>
    <n v="14"/>
    <s v="https://web.archive.org/web/20190217142359/https://www.annahar.com/elections/district/6/%D8%AF%D8%A7%D8%A6%D8%B1%D8%A9-%D8%A7%D9%84%D8%A8%D9%82%D8%A7%D8%B9-%D8%A7%D9%84%D8%AB%D8%A7%D9%84%D8%AB%D8%A9"/>
    <x v="2"/>
    <x v="4"/>
    <s v="Bekaa 3"/>
    <n v="245100"/>
    <n v="214600"/>
    <n v="32585.925106068989"/>
    <n v="179587.06880649328"/>
    <n v="0"/>
    <n v="0"/>
    <n v="18010.662239439218"/>
    <n v="1773.621103117506"/>
    <n v="13142.722744881019"/>
    <n v="0"/>
    <n v="0"/>
    <n v="0"/>
    <n v="0"/>
    <n v="0"/>
  </r>
  <r>
    <s v="LB35"/>
    <n v="1"/>
    <n v="3"/>
    <s v="https://web.archive.org/web/20190217142344/https://www.annahar.com/elections/district/7/%D8%AF%D8%A7%D8%A6%D8%B1%D8%A9-%D8%AC%D8%A8%D9%84-%D9%84%D8%A8%D9%86%D8%A7%D9%86-%D8%A7%D9%84%D8%A7%D9%88%D9%84%D9%89"/>
    <x v="3"/>
    <x v="5"/>
    <s v="Mt. Lebanon 1"/>
    <n v="390000"/>
    <n v="260500"/>
    <n v="5213.8441674189007"/>
    <n v="41790.966326542271"/>
    <n v="0"/>
    <n v="0"/>
    <n v="320031.99378406483"/>
    <n v="7453.1233931693268"/>
    <n v="5142.5437343601816"/>
    <n v="5463.3956831244222"/>
    <n v="0"/>
    <n v="0"/>
    <n v="4904.1329113200864"/>
    <n v="0"/>
  </r>
  <r>
    <s v="LB36"/>
    <n v="1"/>
    <n v="9"/>
    <s v="https://web.archive.org/web/20190217142323/https://www.annahar.com/elections/district/8/%D8%AF%D8%A7%D8%A6%D8%B1%D8%A9-%D8%AC%D8%A8%D9%84-%D9%84%D8%A8%D9%86%D8%A7%D9%86-%D8%A7%D9%84%D8%AB%D8%A7%D9%86%D9%8A%D8%A9"/>
    <x v="4"/>
    <x v="6"/>
    <s v="Mt. Lebanon 2"/>
    <n v="511000"/>
    <n v="511000"/>
    <n v="9619.7008391098152"/>
    <n v="15482.154182920327"/>
    <n v="7049.8582774394526"/>
    <n v="0"/>
    <n v="229183.49282968033"/>
    <n v="74488.148626273396"/>
    <n v="50220.918811214324"/>
    <n v="73134.392276822051"/>
    <n v="19749.928437122893"/>
    <n v="0"/>
    <n v="32071.405719417391"/>
    <n v="0"/>
  </r>
  <r>
    <s v="LB32"/>
    <n v="1"/>
    <n v="16"/>
    <s v="https://web.archive.org/web/20190217142347/https://www.annahar.com/elections/district/9/%D8%AF%D8%A7%D8%A6%D8%B1%D8%A9-%D8%AC%D8%A8%D9%84-%D9%84%D8%A8%D9%86%D8%A7%D9%86-%D8%A7%D9%84%D8%AB%D8%A7%D9%84%D8%AB%D8%A9"/>
    <x v="4"/>
    <x v="7"/>
    <s v="Mt. Lebanon 3"/>
    <n v="553800"/>
    <n v="553800"/>
    <n v="33833.090502573679"/>
    <n v="139581.05797226078"/>
    <n v="97393.446026461592"/>
    <n v="0"/>
    <n v="203546.21319148413"/>
    <n v="42129.783417894127"/>
    <n v="25471.765703124038"/>
    <n v="0"/>
    <n v="0"/>
    <n v="0"/>
    <n v="11844.643186201643"/>
    <n v="0"/>
  </r>
  <r>
    <s v="LB31"/>
    <n v="1"/>
    <n v="25"/>
    <s v="https://www.almodon.com/politics/2018/3/27/5-%D9%84%D9%88%D8%A7%D8%A6%D8%AD-%D9%81%D9%8A-%D8%A7%D9%84%D8%B4%D9%88%D9%81-%D8%B9%D8%A7%D9%84%D9%8A%D9%87-%D9%84%D8%B9%D8%A8%D8%A9-%D8%B1%D9%81%D8%B9-%D8%A7%D9%84%D8%AD%D8%A7%D8%B5%D9%84-%D8%A7%D9%84%D8%A7%D9%86%D8%AA%D8%AE%D8%A7%D8%A8%D9%8A"/>
    <x v="4"/>
    <x v="8"/>
    <s v="Mt. Lebanon 4"/>
    <n v="577800"/>
    <n v="300800"/>
    <n v="107860.55411228475"/>
    <n v="15179.575315402206"/>
    <n v="235495.54314515501"/>
    <n v="0"/>
    <n v="156397.80346281285"/>
    <n v="28762.814429942595"/>
    <n v="28762.814429942595"/>
    <n v="0"/>
    <n v="0"/>
    <n v="0"/>
    <n v="5340.8951044599662"/>
    <n v="0"/>
  </r>
  <r>
    <s v="LB51"/>
    <n v="1"/>
    <n v="4"/>
    <s v="https://web.archive.org/web/20190217142430/https://www.annahar.com/elections/district/1/%D8%AF%D8%A7%D8%A6%D8%B1%D8%A9-%D8%A7%D9%84%D8%B4%D9%85%D8%A7%D9%84-%D8%A7%D9%84%D8%A3%D9%88%D9%84%D9%89"/>
    <x v="5"/>
    <x v="9"/>
    <s v="North 1"/>
    <n v="324000"/>
    <n v="324000"/>
    <n v="218684.61532906283"/>
    <n v="3405.6864713401555"/>
    <n v="0"/>
    <n v="16104.182163516743"/>
    <n v="35341.455488232023"/>
    <n v="47506.459929659351"/>
    <n v="2000.5921903097444"/>
    <n v="0"/>
    <n v="0"/>
    <n v="0"/>
    <n v="957.00842787916429"/>
    <n v="0"/>
  </r>
  <r>
    <s v="LB55"/>
    <n v="1"/>
    <n v="10"/>
    <s v="https://web.archive.org/web/20190217142351/https://www.annahar.com/elections/district/2/%D8%AF%D8%A7%D8%A6%D8%B1%D8%A9-%D8%A7%D9%84%D8%B4%D9%85%D8%A7%D9%84-%D8%A7%D9%84%D8%AB%D8%A7%D9%86%D9%8A%D8%A9"/>
    <x v="6"/>
    <x v="10"/>
    <s v="North 2"/>
    <n v="384600"/>
    <n v="140800"/>
    <n v="318864.15243936214"/>
    <n v="0"/>
    <n v="0"/>
    <n v="23225.48526355371"/>
    <n v="13022.505035547614"/>
    <n v="23995.669574798652"/>
    <n v="0"/>
    <n v="1985.4387412151191"/>
    <n v="1234.3128481523693"/>
    <n v="0"/>
    <n v="2272.4360973704388"/>
    <n v="0"/>
  </r>
  <r>
    <s v="LB52"/>
    <n v="1"/>
    <n v="17"/>
    <s v="https://web.archive.org/web/20190217142432/https://www.annahar.com/elections/district/3/%D8%AF%D8%A7%D8%A6%D8%B1%D8%A9-%D8%A7%D9%84%D8%B4%D9%85%D8%A7%D9%84-%D8%A7%D9%84%D8%AB%D8%A7%D9%84%D8%AB%D8%A9"/>
    <x v="6"/>
    <x v="11"/>
    <s v="North 3"/>
    <n v="253300"/>
    <n v="58900"/>
    <n v="22656.343961336988"/>
    <n v="2366.1763513403935"/>
    <n v="0"/>
    <n v="616.19175816156076"/>
    <n v="172498.77475227453"/>
    <n v="52325.977116816139"/>
    <n v="1866.0340409659266"/>
    <n v="0"/>
    <n v="0"/>
    <n v="0"/>
    <n v="970.50201910445821"/>
    <n v="0"/>
  </r>
  <r>
    <s v="LB62"/>
    <n v="1"/>
    <n v="5"/>
    <s v="https://web.archive.org/web/20190217142420/https://www.annahar.com/elections/district/13/%D8%AF%D8%A7%D8%A6%D8%B1%D8%A9-%D9%84%D8%A8%D9%86%D8%A7%D9%86-%D8%A7%D9%84%D8%AC%D9%86%D9%88%D8%A8%D9%8A-%D8%A7%D9%84%D8%A7%D9%88%D9%84%D9%89"/>
    <x v="7"/>
    <x v="12"/>
    <s v="South 1"/>
    <n v="104300"/>
    <n v="32100"/>
    <n v="46144.534426365251"/>
    <n v="15752.309857988655"/>
    <n v="505.24158489628616"/>
    <n v="0"/>
    <n v="32140.27408603486"/>
    <n v="0"/>
    <n v="9058.9384341489676"/>
    <n v="0"/>
    <n v="0"/>
    <n v="0"/>
    <n v="698.70161056597522"/>
    <n v="0"/>
  </r>
  <r>
    <s v="LB63"/>
    <n v="1"/>
    <n v="13"/>
    <s v="https://web.archive.org/web/20190217142403/https://www.annahar.com/elections/district/14/%D8%AF%D8%A7%D8%A6%D8%B1%D8%A9-%D9%84%D8%A8%D9%86%D8%A7%D9%86-%D8%A7%D9%84%D8%AC%D9%86%D9%88%D8%A8%D9%8A-%D8%A7%D9%84%D8%AB%D8%A7%D9%86%D9%8A%D8%A9"/>
    <x v="7"/>
    <x v="13"/>
    <s v="South 2"/>
    <n v="480100"/>
    <n v="255700"/>
    <n v="29296.456811936929"/>
    <n v="390747.90324422735"/>
    <n v="0"/>
    <n v="0"/>
    <n v="21845.745016761954"/>
    <n v="0"/>
    <n v="32713.785446996622"/>
    <n v="0"/>
    <n v="0"/>
    <n v="0"/>
    <n v="5496.1094800771252"/>
    <n v="0"/>
  </r>
  <r>
    <s v="LB41"/>
    <n v="1"/>
    <n v="21"/>
    <s v="https://web.archive.org/web/20190217142355/https://www.annahar.com/elections/district/15/%D8%AF%D8%A7%D8%A6%D8%B1%D8%A9-%D9%84%D8%A8%D9%86%D8%A7%D9%86-%D8%A7%D9%84%D8%AC%D9%86%D9%88%D8%A8%D9%8A-%D8%A7%D9%84%D8%AB%D8%A7%D9%84%D8%AB%D8%A9"/>
    <x v="8"/>
    <x v="14"/>
    <s v="South 3"/>
    <n v="379100"/>
    <n v="96200"/>
    <n v="24060.174752714702"/>
    <n v="303656.66571997851"/>
    <n v="13842.759610733669"/>
    <n v="0"/>
    <n v="19967.993583229418"/>
    <n v="9282.0594460986831"/>
    <n v="6822.5450083648775"/>
    <n v="0"/>
    <n v="0"/>
    <n v="0"/>
    <n v="1467.8018788801271"/>
    <n v="0"/>
  </r>
  <r>
    <s v="LB24"/>
    <m/>
    <n v="8"/>
    <s v="https://web.archive.org/web/20190217142412/https://www.annahar.com/elections/district/5/%D8%AF%D8%A7%D8%A6%D8%B1%D8%A9-%D8%A7%D9%84%D8%A8%D9%82%D8%A7%D8%B9-%D8%A7%D9%84%D8%AB%D8%A7%D9%86%D9%8A%D8%A10"/>
    <x v="1"/>
    <x v="15"/>
    <s v="Bekaa 2"/>
    <m/>
    <n v="86400"/>
    <n v="0"/>
    <n v="0"/>
    <n v="0"/>
    <n v="0"/>
    <n v="0"/>
    <n v="0"/>
    <n v="0"/>
    <n v="0"/>
    <n v="0"/>
    <n v="0"/>
    <n v="0"/>
    <n v="0"/>
  </r>
  <r>
    <s v="LB22"/>
    <m/>
    <n v="15"/>
    <s v="https://web.archive.org/web/20190217142359/https://www.annahar.com/elections/district/6/%D8%AF%D8%A7%D8%A6%D8%B1%D8%A9-%D8%A7%D9%84%D8%A8%D9%82%D8%A7%D8%B9-%D8%A7%D9%84%D8%AB%D8%A7%D9%84%D8%AB%D8%A10"/>
    <x v="2"/>
    <x v="16"/>
    <s v="Bekaa 3"/>
    <m/>
    <n v="30500"/>
    <n v="0"/>
    <n v="0"/>
    <n v="0"/>
    <n v="0"/>
    <n v="0"/>
    <n v="0"/>
    <n v="0"/>
    <n v="0"/>
    <n v="0"/>
    <n v="0"/>
    <n v="0"/>
    <n v="0"/>
  </r>
  <r>
    <s v="LB34"/>
    <m/>
    <n v="2"/>
    <s v="https://web.archive.org/web/20190217142344/https://www.annahar.com/elections/district/7/%D8%AF%D8%A7%D8%A6%D8%B1%D8%A9-%D8%AC%D8%A8%D9%84-%D9%84%D8%A8%D9%86%D8%A7%D9%86-%D8%A7%D9%84%D8%A7%D9%88%D9%84%D9%88"/>
    <x v="3"/>
    <x v="17"/>
    <s v="Mt. Lebanon 1"/>
    <m/>
    <n v="129500"/>
    <n v="0"/>
    <n v="0"/>
    <n v="0"/>
    <n v="0"/>
    <n v="0"/>
    <n v="0"/>
    <n v="0"/>
    <n v="0"/>
    <n v="0"/>
    <n v="0"/>
    <n v="0"/>
    <n v="0"/>
  </r>
  <r>
    <s v="LB33"/>
    <m/>
    <n v="26"/>
    <s v="https://www.almodon.com/politics/2018/3/27/5-%D9%84%D9%88%D8%A7%D8%A6%D8%AD-%D9%81%D9%8A-%D8%A7%D9%84%D8%B4%D9%88%D9%81-%D8%B9%D8%A7%D9%84%D9%8A%D9%87-%D9%84%D8%B9%D8%A8%D8%A9-%D8%B1%D9%81%D8%B9-%D8%A7%D9%84%D8%AD%D8%A7%D8%B5%D9%84-%D8%A7%D9%84%D8%A7%D9%86%D8%AA%D8%AE%D8%A7%D8%A8%D9%8A"/>
    <x v="4"/>
    <x v="18"/>
    <s v="Mt. Lebanon 4"/>
    <m/>
    <n v="277000"/>
    <n v="0"/>
    <n v="0"/>
    <n v="0"/>
    <n v="0"/>
    <n v="0"/>
    <n v="0"/>
    <n v="0"/>
    <n v="0"/>
    <n v="0"/>
    <n v="0"/>
    <n v="0"/>
    <n v="0"/>
  </r>
  <r>
    <s v="LB56"/>
    <m/>
    <n v="11"/>
    <s v="https://web.archive.org/web/20190217142351/https://www.annahar.com/elections/district/2/%D8%AF%D8%A7%D8%A6%D8%B1%D8%A9-%D8%A7%D9%84%D8%B4%D9%85%D8%A7%D9%84-%D8%A7%D9%84%D8%AB%D8%A7%D9%86%D9%8A%D8%A10"/>
    <x v="6"/>
    <x v="19"/>
    <s v="North 2"/>
    <m/>
    <n v="243800"/>
    <n v="0"/>
    <n v="0"/>
    <n v="0"/>
    <n v="0"/>
    <n v="0"/>
    <n v="0"/>
    <n v="0"/>
    <n v="0"/>
    <n v="0"/>
    <n v="0"/>
    <n v="0"/>
    <n v="0"/>
  </r>
  <r>
    <s v="LB53"/>
    <m/>
    <n v="18"/>
    <s v="https://web.archive.org/web/20190217142432/https://www.annahar.com/elections/district/3/%D8%AF%D8%A7%D8%A6%D8%B1%D8%A9-%D8%A7%D9%84%D8%B4%D9%85%D8%A7%D9%84-%D8%A7%D9%84%D8%AB%D8%A7%D9%84%D8%AB%D8%A10"/>
    <x v="6"/>
    <x v="20"/>
    <s v="North 3"/>
    <m/>
    <n v="22100"/>
    <n v="0"/>
    <n v="0"/>
    <n v="0"/>
    <n v="0"/>
    <n v="0"/>
    <n v="0"/>
    <n v="0"/>
    <n v="0"/>
    <n v="0"/>
    <n v="0"/>
    <n v="0"/>
    <n v="0"/>
  </r>
  <r>
    <s v="LB54"/>
    <m/>
    <n v="19"/>
    <s v="https://web.archive.org/web/20190217142432/https://www.annahar.com/elections/district/3/%D8%AF%D8%A7%D8%A6%D8%B1%D8%A9-%D8%A7%D9%84%D8%B4%D9%85%D8%A7%D9%84-%D8%A7%D9%84%D8%AB%D8%A7%D9%84%D8%AB%D8%A11"/>
    <x v="6"/>
    <x v="21"/>
    <s v="North 3"/>
    <m/>
    <n v="84600"/>
    <n v="0"/>
    <n v="0"/>
    <n v="0"/>
    <n v="0"/>
    <n v="0"/>
    <n v="0"/>
    <n v="0"/>
    <n v="0"/>
    <n v="0"/>
    <n v="0"/>
    <n v="0"/>
    <n v="0"/>
  </r>
  <r>
    <s v="LB57"/>
    <m/>
    <n v="20"/>
    <s v="https://web.archive.org/web/20190217142432/https://www.annahar.com/elections/district/3/%D8%AF%D8%A7%D8%A6%D8%B1%D8%A9-%D8%A7%D9%84%D8%B4%D9%85%D8%A7%D9%84-%D8%A7%D9%84%D8%AB%D8%A7%D9%84%D8%AB%D8%A12"/>
    <x v="6"/>
    <x v="22"/>
    <s v="North 3"/>
    <m/>
    <n v="87700"/>
    <n v="0"/>
    <n v="0"/>
    <n v="0"/>
    <n v="0"/>
    <n v="0"/>
    <n v="0"/>
    <n v="0"/>
    <n v="0"/>
    <n v="0"/>
    <n v="0"/>
    <n v="0"/>
    <n v="0"/>
  </r>
  <r>
    <s v="LB61"/>
    <m/>
    <n v="6"/>
    <s v="https://web.archive.org/web/20190217142420/https://www.annahar.com/elections/district/13/%D8%AF%D8%A7%D8%A6%D8%B1%D8%A9-%D9%84%D8%A8%D9%86%D8%A7%D9%86-%D8%A7%D9%84%D8%AC%D9%86%D9%88%D8%A8%D9%8A-%D8%A7%D9%84%D8%A7%D9%88%D9%84%D9%89"/>
    <x v="7"/>
    <x v="23"/>
    <s v="South 1"/>
    <m/>
    <n v="72200"/>
    <n v="0"/>
    <n v="0"/>
    <n v="0"/>
    <n v="0"/>
    <n v="0"/>
    <n v="0"/>
    <n v="0"/>
    <n v="0"/>
    <n v="0"/>
    <n v="0"/>
    <n v="0"/>
    <n v="0"/>
  </r>
  <r>
    <s v="LB61"/>
    <m/>
    <n v="12"/>
    <s v="https://web.archive.org/web/20190217142403/https://www.annahar.com/elections/district/14/%D8%AF%D8%A7%D8%A6%D8%B1%D8%A9-%D9%84%D8%A8%D9%86%D8%A7%D9%86-%D8%A7%D9%84%D8%AC%D9%86%D9%88%D8%A8%D9%8A-%D8%A7%D9%84%D8%AB%D8%A7%D9%86%D9%8A%D8%A9"/>
    <x v="7"/>
    <x v="24"/>
    <s v="South 2"/>
    <m/>
    <n v="224400"/>
    <n v="0"/>
    <n v="0"/>
    <n v="0"/>
    <n v="0"/>
    <n v="0"/>
    <n v="0"/>
    <n v="0"/>
    <n v="0"/>
    <n v="0"/>
    <n v="0"/>
    <n v="0"/>
    <n v="0"/>
  </r>
  <r>
    <s v="LB42"/>
    <m/>
    <n v="22"/>
    <s v="https://web.archive.org/web/20190217142355/https://www.annahar.com/elections/district/15/%D8%AF%D8%A7%D8%A6%D8%B1%D8%A9-%D9%84%D8%A8%D9%86%D8%A7%D9%86-%D8%A7%D9%84%D8%AC%D9%86%D9%88%D8%A8%D9%8A-%D8%A7%D9%84%D8%AB%D8%A7%D9%84%D8%AB%D8%A10"/>
    <x v="8"/>
    <x v="25"/>
    <s v="South 3"/>
    <m/>
    <n v="28700"/>
    <n v="0"/>
    <n v="0"/>
    <n v="0"/>
    <n v="0"/>
    <n v="0"/>
    <n v="0"/>
    <n v="0"/>
    <n v="0"/>
    <n v="0"/>
    <n v="0"/>
    <n v="0"/>
    <n v="0"/>
  </r>
  <r>
    <s v="LB43"/>
    <m/>
    <n v="23"/>
    <s v="https://web.archive.org/web/20190217142355/https://www.annahar.com/elections/district/15/%D8%AF%D8%A7%D8%A6%D8%B1%D8%A9-%D9%84%D8%A8%D9%86%D8%A7%D9%86-%D8%A7%D9%84%D8%AC%D9%86%D9%88%D8%A8%D9%8A-%D8%A7%D9%84%D8%AB%D8%A7%D9%84%D8%AB%D8%A11"/>
    <x v="8"/>
    <x v="26"/>
    <s v="South 3"/>
    <m/>
    <n v="74000"/>
    <n v="0"/>
    <n v="0"/>
    <n v="0"/>
    <n v="0"/>
    <n v="0"/>
    <n v="0"/>
    <n v="0"/>
    <n v="0"/>
    <n v="0"/>
    <n v="0"/>
    <n v="0"/>
    <n v="0"/>
  </r>
  <r>
    <s v="LB44"/>
    <m/>
    <n v="24"/>
    <s v="https://web.archive.org/web/20190217142355/https://www.annahar.com/elections/district/15/%D8%AF%D8%A7%D8%A6%D8%B1%D8%A9-%D9%84%D8%A8%D9%86%D8%A7%D9%86-%D8%A7%D9%84%D8%AC%D9%86%D9%88%D8%A8%D9%8A-%D8%A7%D9%84%D8%AB%D8%A7%D9%84%D8%AB%D8%A12"/>
    <x v="8"/>
    <x v="27"/>
    <s v="South 3"/>
    <m/>
    <n v="180200"/>
    <n v="0"/>
    <n v="0"/>
    <n v="0"/>
    <n v="0"/>
    <n v="0"/>
    <n v="0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5AC0F1-3686-4326-8520-9254BAAE879B}" name="PivotTable1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33:D49" firstHeaderRow="1" firstDataRow="1" firstDataCol="1"/>
  <pivotFields count="19">
    <pivotField showAll="0"/>
    <pivotField showAll="0"/>
    <pivotField showAll="0"/>
    <pivotField showAll="0"/>
    <pivotField showAll="0"/>
    <pivotField dataField="1" showAll="0"/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Sum of Population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6B632F-B542-4252-8AA0-08D6D8AD19DA}" name="PivotTable5" cacheId="2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45:I83" firstHeaderRow="1" firstDataRow="1" firstDataCol="1"/>
  <pivotFields count="21">
    <pivotField showAll="0"/>
    <pivotField showAll="0"/>
    <pivotField showAll="0"/>
    <pivotField showAll="0"/>
    <pivotField axis="axisRow" showAll="0">
      <items count="10">
        <item x="5"/>
        <item x="2"/>
        <item x="0"/>
        <item x="1"/>
        <item x="8"/>
        <item x="3"/>
        <item x="4"/>
        <item x="6"/>
        <item x="7"/>
        <item t="default"/>
      </items>
    </pivotField>
    <pivotField axis="axisRow" showAll="0">
      <items count="29">
        <item x="9"/>
        <item x="8"/>
        <item x="7"/>
        <item x="4"/>
        <item x="11"/>
        <item x="0"/>
        <item x="1"/>
        <item x="14"/>
        <item x="20"/>
        <item x="17"/>
        <item x="18"/>
        <item x="25"/>
        <item x="16"/>
        <item x="12"/>
        <item x="5"/>
        <item x="21"/>
        <item x="26"/>
        <item x="6"/>
        <item x="10"/>
        <item x="27"/>
        <item x="3"/>
        <item x="23"/>
        <item x="19"/>
        <item x="13"/>
        <item x="15"/>
        <item x="2"/>
        <item x="24"/>
        <item x="22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4"/>
    <field x="5"/>
  </rowFields>
  <rowItems count="38">
    <i>
      <x/>
    </i>
    <i r="1">
      <x/>
    </i>
    <i>
      <x v="1"/>
    </i>
    <i r="1">
      <x v="3"/>
    </i>
    <i r="1">
      <x v="12"/>
    </i>
    <i>
      <x v="2"/>
    </i>
    <i r="1">
      <x v="5"/>
    </i>
    <i r="1">
      <x v="6"/>
    </i>
    <i>
      <x v="3"/>
    </i>
    <i r="1">
      <x v="20"/>
    </i>
    <i r="1">
      <x v="24"/>
    </i>
    <i r="1">
      <x v="25"/>
    </i>
    <i>
      <x v="4"/>
    </i>
    <i r="1">
      <x v="7"/>
    </i>
    <i r="1">
      <x v="11"/>
    </i>
    <i r="1">
      <x v="16"/>
    </i>
    <i r="1">
      <x v="19"/>
    </i>
    <i>
      <x v="5"/>
    </i>
    <i r="1">
      <x v="9"/>
    </i>
    <i r="1">
      <x v="14"/>
    </i>
    <i>
      <x v="6"/>
    </i>
    <i r="1">
      <x v="1"/>
    </i>
    <i r="1">
      <x v="2"/>
    </i>
    <i r="1">
      <x v="10"/>
    </i>
    <i r="1">
      <x v="17"/>
    </i>
    <i>
      <x v="7"/>
    </i>
    <i r="1">
      <x v="4"/>
    </i>
    <i r="1">
      <x v="8"/>
    </i>
    <i r="1">
      <x v="15"/>
    </i>
    <i r="1">
      <x v="18"/>
    </i>
    <i r="1">
      <x v="22"/>
    </i>
    <i r="1">
      <x v="27"/>
    </i>
    <i>
      <x v="8"/>
    </i>
    <i r="1">
      <x v="13"/>
    </i>
    <i r="1">
      <x v="21"/>
    </i>
    <i r="1">
      <x v="23"/>
    </i>
    <i r="1">
      <x v="26"/>
    </i>
    <i t="grand">
      <x/>
    </i>
  </rowItems>
  <colItems count="1">
    <i/>
  </colItems>
  <dataFields count="1">
    <dataField name="Sum of Population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E416D0-6B19-4163-B1BD-87A46E97DBA2}" name="Table1" displayName="Table1" ref="B1:AC30" totalsRowShown="0">
  <autoFilter ref="B1:AC30" xr:uid="{79E416D0-6B19-4163-B1BD-87A46E97DBA2}"/>
  <sortState xmlns:xlrd2="http://schemas.microsoft.com/office/spreadsheetml/2017/richdata2" ref="B2:AC30">
    <sortCondition ref="F1:F30"/>
  </sortState>
  <tableColumns count="28">
    <tableColumn id="1" xr3:uid="{829D749E-C203-4125-8047-8F3224EA1F96}" name="Governorate"/>
    <tableColumn id="2" xr3:uid="{5ACD0AA2-62A9-4098-998E-7440A360D14C}" name="District"/>
    <tableColumn id="3" xr3:uid="{5CF46EEF-13F1-45F1-ABEF-368C8C7C3986}" name="Population 2018-19"/>
    <tableColumn id="4" xr3:uid="{47D2F5B3-9005-408A-9ED8-0488A5F30B86}" name="Links" dataDxfId="58"/>
    <tableColumn id="5" xr3:uid="{15E709E5-DEB1-4919-9F89-DAF5071A4786}" name="Column1" dataDxfId="57"/>
    <tableColumn id="7" xr3:uid="{41F4A7B0-9F74-4101-95D5-430A738CE8AB}" name="Sunnis" dataDxfId="56" dataCellStyle="Comma"/>
    <tableColumn id="8" xr3:uid="{3B58CA97-EED1-44B9-94D9-981E8C304F83}" name="Shittes" dataDxfId="55" dataCellStyle="Comma"/>
    <tableColumn id="9" xr3:uid="{EE8BAD80-8C03-424F-AD04-4230D862692D}" name="Druze" dataDxfId="54" dataCellStyle="Comma"/>
    <tableColumn id="10" xr3:uid="{C1633C79-69A0-4BC1-B894-B0D17DDDF468}" name="Alawites" dataDxfId="53" dataCellStyle="Comma"/>
    <tableColumn id="11" xr3:uid="{2508A635-9B59-4290-A91D-41D03B87120A}" name="Maronite" dataDxfId="52" dataCellStyle="Comma"/>
    <tableColumn id="12" xr3:uid="{63FF0091-E120-408D-8505-7C4C5EFE17A9}" name="Orthodox" dataDxfId="51" dataCellStyle="Comma"/>
    <tableColumn id="13" xr3:uid="{0B8FDA47-9868-4668-BB0B-0CF454A056EC}" name="Catholics" dataDxfId="50" dataCellStyle="Comma"/>
    <tableColumn id="14" xr3:uid="{92CE9746-E337-442F-97F7-39485669E1FC}" name="Arm. Orthodox" dataDxfId="49" dataCellStyle="Comma"/>
    <tableColumn id="15" xr3:uid="{FC6DC21E-244C-4682-83D3-6FCA844EF4B3}" name="Arm. Cath." dataDxfId="48" dataCellStyle="Comma"/>
    <tableColumn id="16" xr3:uid="{6EA344B4-5889-4083-AF68-B99B1ABA39AF}" name="Evangelican" dataDxfId="47" dataCellStyle="Comma"/>
    <tableColumn id="17" xr3:uid="{65C4DE39-99F9-42B3-B2BE-82DC7201954F}" name="Other" dataDxfId="46" dataCellStyle="Comma"/>
    <tableColumn id="18" xr3:uid="{94BD3760-852A-48FF-A5FD-6E2B0D9CE337}" name="Column3"/>
    <tableColumn id="19" xr3:uid="{5AB2B19B-DB6B-45DC-86E0-BBB66188C3D5}" name="Sunnis4" dataCellStyle="Normal"/>
    <tableColumn id="20" xr3:uid="{6487ABDB-DC8C-4C56-AC9A-D2DBE34CC878}" name="Shittes5" dataCellStyle="Normal"/>
    <tableColumn id="21" xr3:uid="{B179683B-845D-4FB1-925A-0887CD682886}" name="Druze6" dataCellStyle="Normal"/>
    <tableColumn id="22" xr3:uid="{48CD5F54-BD99-4BF5-AB30-E02D01374E9C}" name="Alawites7" dataCellStyle="Normal"/>
    <tableColumn id="23" xr3:uid="{33668A7C-E60A-489C-AE6C-F1A48354A6FC}" name="Maronite8" dataCellStyle="Normal"/>
    <tableColumn id="24" xr3:uid="{7A8C89B6-3386-48A2-AE72-70D6A3FC7713}" name="Orthodox9" dataCellStyle="Normal"/>
    <tableColumn id="25" xr3:uid="{A9806432-A1AF-4E71-A3C5-3D3CE716326C}" name="Catholics10" dataCellStyle="Normal"/>
    <tableColumn id="26" xr3:uid="{AC771E16-DAC5-47F9-815E-7427AC500175}" name="Arm. Orthodox11" dataCellStyle="Normal"/>
    <tableColumn id="27" xr3:uid="{BAFEB64B-0162-4684-9412-5B8A86FBCBDD}" name="Arm. Cath.12" dataCellStyle="Normal"/>
    <tableColumn id="28" xr3:uid="{6EE1438B-54D8-45C8-A00A-282D7123EAC1}" name="Evangelican13" dataCellStyle="Normal"/>
    <tableColumn id="29" xr3:uid="{4516F688-7B1D-49B3-9C47-2235B018B2E9}" name="Other14" dataCellStyle="Normal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66F871-6531-4387-BCE2-598C5800AEE6}" name="Table2" displayName="Table2" ref="B2:Q31" totalsRowShown="0" dataDxfId="45" dataCellStyle="Comma">
  <autoFilter ref="B2:Q31" xr:uid="{D466F871-6531-4387-BCE2-598C5800AEE6}"/>
  <sortState xmlns:xlrd2="http://schemas.microsoft.com/office/spreadsheetml/2017/richdata2" ref="B3:Q31">
    <sortCondition ref="D2:D31"/>
  </sortState>
  <tableColumns count="16">
    <tableColumn id="1" xr3:uid="{93099721-67D6-46DA-BE4E-30A3E2955EC0}" name="Links"/>
    <tableColumn id="2" xr3:uid="{4C5AFDF3-883C-4286-A6CD-757A7E59EEB4}" name="type"/>
    <tableColumn id="3" xr3:uid="{4A01ABC3-C274-4AC8-8A02-F2BA4009FC16}" name="Governorate"/>
    <tableColumn id="4" xr3:uid="{B53D8D80-4A80-4A3D-8EC1-6C2F7992C388}" name="District"/>
    <tableColumn id="5" xr3:uid="{6B32B9C3-EC08-4384-AD9C-138FBC518912}" name="Population 2018-19" dataDxfId="44" dataCellStyle="Comma"/>
    <tableColumn id="6" xr3:uid="{5E691009-C91B-4CCC-86B7-1FEE73AA2F48}" name="Sunnis" dataDxfId="43" dataCellStyle="Comma"/>
    <tableColumn id="7" xr3:uid="{B8363D3E-6DE0-4DFD-A9EA-1840B9C94A9F}" name="Shittes" dataDxfId="42" dataCellStyle="Comma"/>
    <tableColumn id="8" xr3:uid="{5AE68C78-88B9-4E21-9891-BEFB3D40EA86}" name="Druze" dataDxfId="41" dataCellStyle="Comma"/>
    <tableColumn id="9" xr3:uid="{C8A86B00-37E3-42A8-81D2-3E8B96869453}" name="Alawites" dataDxfId="40" dataCellStyle="Comma"/>
    <tableColumn id="10" xr3:uid="{42B03B6F-69AE-4BE7-8970-3FA3459EF4A4}" name="Maronite" dataDxfId="39" dataCellStyle="Comma"/>
    <tableColumn id="11" xr3:uid="{CB8DAE1A-8062-421D-A315-8AD0044DF615}" name="Orthodox" dataDxfId="38" dataCellStyle="Comma"/>
    <tableColumn id="12" xr3:uid="{27260D81-DC37-41BE-85C1-959EDDE02863}" name="Catholics" dataDxfId="37" dataCellStyle="Comma"/>
    <tableColumn id="13" xr3:uid="{0F7EC22D-5D0B-44EE-B407-52627F160981}" name="Arm. Orthodox" dataDxfId="36" dataCellStyle="Comma"/>
    <tableColumn id="14" xr3:uid="{782CD5D3-213D-4D18-A32B-43CE6B016321}" name="Arm. Cath." dataDxfId="35" dataCellStyle="Comma"/>
    <tableColumn id="15" xr3:uid="{42BB5723-5F90-4AFD-B2D1-0322C282D824}" name="Evangelican" dataDxfId="34" dataCellStyle="Comma"/>
    <tableColumn id="16" xr3:uid="{E071A638-01E5-46BB-9499-C2D910A7B22E}" name="Other" dataDxfId="33" dataCellStyle="Comm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AC6D500-FE27-4795-9856-0214859AC441}" name="Table24" displayName="Table24" ref="B2:R28" totalsRowShown="0" dataDxfId="32" dataCellStyle="Comma">
  <autoFilter ref="B2:R28" xr:uid="{D466F871-6531-4387-BCE2-598C5800AEE6}"/>
  <sortState xmlns:xlrd2="http://schemas.microsoft.com/office/spreadsheetml/2017/richdata2" ref="B3:R28">
    <sortCondition ref="E2:E28"/>
  </sortState>
  <tableColumns count="17">
    <tableColumn id="1" xr3:uid="{9B566670-0F70-4FA1-B1BD-1286A899AD98}" name="Links"/>
    <tableColumn id="2" xr3:uid="{5ADB9728-D07D-4DEE-BE34-B4944CB0571B}" name="type"/>
    <tableColumn id="17" xr3:uid="{D27D70FC-54EB-4F3B-98D2-386AF0D39437}" name="Column1"/>
    <tableColumn id="3" xr3:uid="{C481AFCB-2893-4FCE-80CA-39B9AC9CB5DB}" name="Governorate"/>
    <tableColumn id="4" xr3:uid="{D117BCAF-BF77-4BC1-AC0C-4A849226CA5E}" name="District"/>
    <tableColumn id="5" xr3:uid="{AA3BE642-DD33-47CA-A6FE-CCB88C6E3EDF}" name="Population 2018-19" dataDxfId="31" dataCellStyle="Comma"/>
    <tableColumn id="6" xr3:uid="{E87081C4-2C04-475C-98CB-70A14BC475EB}" name="Sunnis" dataDxfId="30" dataCellStyle="Comma"/>
    <tableColumn id="7" xr3:uid="{A74BF7A3-3FB9-4719-AC69-0D4C8500DCD7}" name="Shittes" dataDxfId="29" dataCellStyle="Comma"/>
    <tableColumn id="8" xr3:uid="{0C568F1E-D2BB-4594-9928-4DBADB819230}" name="Druze" dataDxfId="28" dataCellStyle="Comma"/>
    <tableColumn id="9" xr3:uid="{70C4E4CE-EB1B-4EC0-927B-C4902C33E120}" name="Alawites" dataDxfId="27" dataCellStyle="Comma"/>
    <tableColumn id="10" xr3:uid="{A3FEB7D1-FFF9-4D3B-9DD2-BF8D889BF54C}" name="Maronite" dataDxfId="26" dataCellStyle="Comma"/>
    <tableColumn id="11" xr3:uid="{67BA69DF-5C5B-402C-9BE6-4CC3A6B9FA9B}" name="Orthodox" dataDxfId="25" dataCellStyle="Comma"/>
    <tableColumn id="12" xr3:uid="{31480E6D-44C0-4FC4-A7E3-D9EC5D1C3295}" name="Catholics" dataDxfId="24" dataCellStyle="Comma"/>
    <tableColumn id="13" xr3:uid="{ABC47EA6-CF6C-431C-AEA6-DE454878AEF6}" name="Arm. Orthodox" dataDxfId="23" dataCellStyle="Comma"/>
    <tableColumn id="14" xr3:uid="{8ED7966D-2E86-4878-8966-5A178BB0D087}" name="Arm. Cath." dataDxfId="22" dataCellStyle="Comma"/>
    <tableColumn id="15" xr3:uid="{3D64A1E4-687D-47DD-8BAF-D8189F6C13CB}" name="Evangelican" dataDxfId="21" dataCellStyle="Comma"/>
    <tableColumn id="16" xr3:uid="{940E35BB-2BF3-43AB-AC7C-9460E8A89A89}" name="Other" dataDxfId="20" dataCellStyle="Comm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E70FB33-7621-466B-A40E-6D7F945AB8BA}" name="Table5" displayName="Table5" ref="A1:S27" totalsRowShown="0" headerRowDxfId="19">
  <autoFilter ref="A1:S27" xr:uid="{BE70FB33-7621-466B-A40E-6D7F945AB8BA}"/>
  <sortState xmlns:xlrd2="http://schemas.microsoft.com/office/spreadsheetml/2017/richdata2" ref="A2:S27">
    <sortCondition ref="B1:B27"/>
  </sortState>
  <tableColumns count="19">
    <tableColumn id="1" xr3:uid="{2BADCE20-64FE-40C1-BB6C-1C4C218AC68A}" name="Map ID"/>
    <tableColumn id="2" xr3:uid="{7B75D3FF-8838-4A10-90B2-2180595DD6E2}" name="Governorate"/>
    <tableColumn id="3" xr3:uid="{4A6C851E-27B2-4910-BD3E-658306576511}" name="District"/>
    <tableColumn id="4" xr3:uid="{EB450750-5D69-4E3A-9483-B9123D3BAF74}" name="Population 2018-19"/>
    <tableColumn id="19" xr3:uid="{D27B506D-5E93-4D48-AAEC-13AE5259B83D}" name="Largest Group"/>
    <tableColumn id="18" xr3:uid="{E6364B45-856C-4D2D-94B9-17EDF6A85725}" name="Largest Group %" dataDxfId="18" dataCellStyle="Percent">
      <calculatedColumnFormula>Table5[[#This Row],[Sunni]]/Table5[[#This Row],[Population 2018-19]]</calculatedColumnFormula>
    </tableColumn>
    <tableColumn id="5" xr3:uid="{27E7A6D3-0660-4E42-B886-BD83E3E623EB}" name="Sunni"/>
    <tableColumn id="6" xr3:uid="{3CDF6414-0A65-4929-9126-D317437206C2}" name="Shia"/>
    <tableColumn id="7" xr3:uid="{D6590373-ECF7-4345-9C56-11DCB5C2A14C}" name="Druze"/>
    <tableColumn id="8" xr3:uid="{08543F41-71F2-430E-8F80-8652A729CE00}" name="Alawite"/>
    <tableColumn id="9" xr3:uid="{A404404E-24D7-4797-AB69-936CC9104916}" name="Maronite"/>
    <tableColumn id="10" xr3:uid="{70C0B65E-1141-497B-8154-425D003D96FB}" name="Orthodox"/>
    <tableColumn id="11" xr3:uid="{91049B86-8377-4E45-B6AD-41B12C0B9777}" name="Catholic"/>
    <tableColumn id="12" xr3:uid="{C080AD6C-7977-4D91-BFC2-3CA794C82CA9}" name="Armenian Orthodox"/>
    <tableColumn id="13" xr3:uid="{0DF3E6BD-F2C8-4313-AC2D-66CF715152A0}" name="Armenian Catholic"/>
    <tableColumn id="14" xr3:uid="{90B40668-3D2E-4460-A59D-E3A2C7281BCE}" name="Evangelical"/>
    <tableColumn id="15" xr3:uid="{8E491C3C-542C-471B-81C2-49FFCC20E429}" name="Others"/>
    <tableColumn id="16" xr3:uid="{C8844CAC-2EF1-411F-AB65-959A092B97B1}" name="Map district name"/>
    <tableColumn id="17" xr3:uid="{944D37C6-9C37-4613-B735-FEE76D591D0C}" name="Arabic name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D7B0B6-D739-4E19-AD80-C5382F5DA97C}" name="Table4" displayName="Table4" ref="A1:S29" totalsRowShown="0" headerRowDxfId="17">
  <autoFilter ref="A1:S29" xr:uid="{C2D7B0B6-D739-4E19-AD80-C5382F5DA97C}"/>
  <sortState xmlns:xlrd2="http://schemas.microsoft.com/office/spreadsheetml/2017/richdata2" ref="A2:S29">
    <sortCondition ref="G1:G29"/>
  </sortState>
  <tableColumns count="19">
    <tableColumn id="1" xr3:uid="{97501E37-D210-4385-8D9D-D81073E00908}" name="Map ID"/>
    <tableColumn id="19" xr3:uid="{33F1B6C5-4E36-4526-8A4C-AC4602D7209A}" name="Column3"/>
    <tableColumn id="2" xr3:uid="{1C9A5F69-4D06-45D6-8E5D-23900568B9CA}" name="Governorate"/>
    <tableColumn id="3" xr3:uid="{FBF9BE25-6F7E-49CE-B8D9-A88A263A1074}" name="District"/>
    <tableColumn id="4" xr3:uid="{167D4E9E-D2CE-4326-8734-105C7D70F656}" name="Column1"/>
    <tableColumn id="5" xr3:uid="{80115950-FF42-4165-99C7-2198188E38FE}" name="Population"/>
    <tableColumn id="6" xr3:uid="{80B8ABD3-E4DE-48CB-AE47-584BD07E0FDC}" name="Column2"/>
    <tableColumn id="7" xr3:uid="{A5AA33F2-9459-45A2-B054-42099B46E9E8}" name="Sunni"/>
    <tableColumn id="8" xr3:uid="{27AF03B0-EA6B-4780-AF58-C860CB69A8F4}" name="Shia"/>
    <tableColumn id="9" xr3:uid="{A8D4510B-9D78-40AE-8271-BADBF67EFE88}" name="Druze"/>
    <tableColumn id="10" xr3:uid="{7D812D47-C163-43E0-B3AD-29DD8A86E3E3}" name="Alawite"/>
    <tableColumn id="11" xr3:uid="{6BE9F0CC-1357-4E22-8F44-714B49D3963C}" name="Maronite"/>
    <tableColumn id="12" xr3:uid="{5EA946A8-077A-4D84-B1FE-D3903D71E963}" name="Orthodox"/>
    <tableColumn id="13" xr3:uid="{D4897860-7C3C-4204-B0E9-9FCA2C5B2D9B}" name="Catholic"/>
    <tableColumn id="14" xr3:uid="{3EE07AFE-7AFC-4810-AB38-9E6B835F9926}" name="Armenian Orthodox"/>
    <tableColumn id="15" xr3:uid="{BE987178-1053-4A5A-BB62-E7AB2C7FBB3D}" name="Armenian Catholic"/>
    <tableColumn id="16" xr3:uid="{AA05D529-F59C-4988-B04D-DE5839E54C6B}" name="Evangelical"/>
    <tableColumn id="17" xr3:uid="{E20073D8-5654-41AC-AA09-2BC58DC98F81}" name="Other Christians"/>
    <tableColumn id="18" xr3:uid="{4C805D5C-0F2B-4304-9A52-536F8F342FBA}" name="Israeli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0CDE014-BA7A-49AC-BBFD-459608501D7B}" name="Table7" displayName="Table7" ref="A1:U29" totalsRowShown="0">
  <autoFilter ref="A1:U29" xr:uid="{40CDE014-BA7A-49AC-BBFD-459608501D7B}"/>
  <sortState xmlns:xlrd2="http://schemas.microsoft.com/office/spreadsheetml/2017/richdata2" ref="A2:U29">
    <sortCondition ref="B1:B29"/>
  </sortState>
  <tableColumns count="21">
    <tableColumn id="1" xr3:uid="{08DE89DF-2024-4B45-B1E2-2C176EA70419}" name="Map ID"/>
    <tableColumn id="21" xr3:uid="{B24B255D-05CE-4734-8781-AF402147F93C}" name="Column3"/>
    <tableColumn id="2" xr3:uid="{92054254-805A-4524-A1B7-971A8E306CEF}" name="Column4"/>
    <tableColumn id="3" xr3:uid="{8DDA8D93-A2FB-44B3-9807-93B4A3876CFF}" name="Column1"/>
    <tableColumn id="4" xr3:uid="{BE1EF035-048B-4989-880A-ED006F55E4C4}" name="Governorate"/>
    <tableColumn id="5" xr3:uid="{6E850D13-D187-4CC6-82C2-98FAF3CFC773}" name="District"/>
    <tableColumn id="6" xr3:uid="{7D7FB09F-DDB8-4551-B960-D8645AFD83F4}" name="Column2"/>
    <tableColumn id="7" xr3:uid="{8E7A672C-0EBD-47F9-B3E6-117F9EB53151}" name="Population"/>
    <tableColumn id="8" xr3:uid="{47F6FE7B-9D4F-469B-AC10-8AC48B7A240F}" name="Population4"/>
    <tableColumn id="9" xr3:uid="{B0E9BB00-B567-40D5-AA9A-9C2D1B57CADB}" name="Sunni"/>
    <tableColumn id="10" xr3:uid="{9B0C314D-B24E-4442-8B30-8EABE0A62F1A}" name="Shia"/>
    <tableColumn id="11" xr3:uid="{0D19BA91-F6F2-4919-BC9B-4E2FFE6FE82D}" name="Druze"/>
    <tableColumn id="12" xr3:uid="{DADD3B66-918C-4CC6-9F80-D8D7E7454E92}" name="Alawite"/>
    <tableColumn id="13" xr3:uid="{3BCCCD08-8203-41AB-9226-9CA5DAB700D9}" name="Maronite"/>
    <tableColumn id="14" xr3:uid="{08A64802-9464-42B0-976D-1313AC922ECE}" name="Orthodox"/>
    <tableColumn id="15" xr3:uid="{D485BB70-C6D4-4A45-89E2-E2B4ACB8A344}" name="Catholic"/>
    <tableColumn id="16" xr3:uid="{E30BA7B3-0DA8-48F8-BECE-9198A79EBFE0}" name="Armenian Orthodox"/>
    <tableColumn id="17" xr3:uid="{88B5DCA8-A893-4746-AA74-2FA893933E8C}" name="Armenian Catholic"/>
    <tableColumn id="18" xr3:uid="{442C6A34-F9FA-4E8D-9C6B-D753727AA02A}" name="Evangelical"/>
    <tableColumn id="19" xr3:uid="{CA9A02DF-295B-4E3C-A9CF-70C9F23BB33F}" name="Other Christians"/>
    <tableColumn id="20" xr3:uid="{17008198-889B-4DE7-B781-3548A2E6DF4B}" name="Israeli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06292B6-B48E-4172-AAC7-AB853C08365D}" name="Table17" displayName="Table17" ref="B1:AF30" totalsRowShown="0">
  <autoFilter ref="B1:AF30" xr:uid="{79E416D0-6B19-4163-B1BD-87A46E97DBA2}"/>
  <sortState xmlns:xlrd2="http://schemas.microsoft.com/office/spreadsheetml/2017/richdata2" ref="B2:AF30">
    <sortCondition ref="F1:F30"/>
  </sortState>
  <tableColumns count="31">
    <tableColumn id="4" xr3:uid="{807C45F6-1FDE-4D3F-9786-BE5B296EE789}" name="2009 Link" dataDxfId="16"/>
    <tableColumn id="6" xr3:uid="{894D1A5D-FB41-4042-9FF4-7ED21BC7E5FC}" name="2018 Link" dataDxfId="15"/>
    <tableColumn id="30" xr3:uid="{663C119A-82DB-4A65-BE15-D031B6D9A3BF}" name="Column4" dataDxfId="14"/>
    <tableColumn id="31" xr3:uid="{04A2410F-0880-4933-8A20-D4573378E3C9}" name="Election District" dataDxfId="13"/>
    <tableColumn id="1" xr3:uid="{5E81A7D2-AAA5-4AA3-B655-16197431E18C}" name="Governorate" dataDxfId="12"/>
    <tableColumn id="2" xr3:uid="{033D0A99-6D45-44A2-93FC-128A17C5BACD}" name="District"/>
    <tableColumn id="3" xr3:uid="{3AA6D92B-826C-45CF-9681-A9C99DC54960}" name="Population 2018-19"/>
    <tableColumn id="5" xr3:uid="{86EE0231-A828-4119-84F8-ECDC4931A6ED}" name="Column1" dataDxfId="11"/>
    <tableColumn id="7" xr3:uid="{D647482E-C8A3-490F-A611-018957108A64}" name="Sunnis" dataDxfId="10" dataCellStyle="Comma"/>
    <tableColumn id="8" xr3:uid="{D264D961-31BC-4FE4-876D-E11356AE7B08}" name="Shittes" dataDxfId="9" dataCellStyle="Comma"/>
    <tableColumn id="9" xr3:uid="{B8067AA5-CCA8-470F-9977-EFC2B9CFCCBD}" name="Druze" dataDxfId="8" dataCellStyle="Comma"/>
    <tableColumn id="10" xr3:uid="{69309EC7-39FA-4975-B4DF-72FAFA42165B}" name="Alawites" dataDxfId="7" dataCellStyle="Comma"/>
    <tableColumn id="11" xr3:uid="{D8B2D8CA-6A6F-4A5E-A1ED-6F04F0166BA1}" name="Maronite" dataDxfId="6" dataCellStyle="Comma"/>
    <tableColumn id="12" xr3:uid="{2EE6E710-DBEE-4B2B-9026-3E1323E8F632}" name="Orthodox" dataDxfId="5" dataCellStyle="Comma"/>
    <tableColumn id="13" xr3:uid="{9D546C9F-9B96-406E-BE8F-DBB97B3E67CA}" name="Catholics" dataDxfId="4" dataCellStyle="Comma"/>
    <tableColumn id="14" xr3:uid="{85ECBE77-3D62-4EE8-ADE9-BE77C9656D98}" name="Arm. Orthodox" dataDxfId="3" dataCellStyle="Comma"/>
    <tableColumn id="15" xr3:uid="{DECD73F5-BA41-4E62-A38B-E7BD14691884}" name="Arm. Cath." dataDxfId="2" dataCellStyle="Comma"/>
    <tableColumn id="16" xr3:uid="{113DD588-08F5-4DE9-A67B-E38717784F73}" name="Evangelican" dataDxfId="1" dataCellStyle="Comma"/>
    <tableColumn id="17" xr3:uid="{109B482B-1D5F-4EA8-AED8-B5246ED62911}" name="Other" dataDxfId="0" dataCellStyle="Comma"/>
    <tableColumn id="18" xr3:uid="{612F9AA7-3A90-4699-93F0-D1857CC610A3}" name="Column3"/>
    <tableColumn id="19" xr3:uid="{D161D600-71FE-4CED-AE3F-941F32885C71}" name="Sunnis4" dataCellStyle="Normal"/>
    <tableColumn id="20" xr3:uid="{E4561BA1-6432-416B-96C1-F67CE28DC261}" name="Shittes5" dataCellStyle="Normal"/>
    <tableColumn id="21" xr3:uid="{88DE1193-F96D-4B41-81CA-F5B78EE801D3}" name="Druze6" dataCellStyle="Normal"/>
    <tableColumn id="22" xr3:uid="{85D5459C-A39A-4CA7-BBB0-22D5A72B5E98}" name="Alawites7" dataCellStyle="Normal"/>
    <tableColumn id="23" xr3:uid="{B2C863E7-1B20-49FA-8179-327AE4762238}" name="Maronite8" dataCellStyle="Normal"/>
    <tableColumn id="24" xr3:uid="{0F54B79A-FAA8-45A1-8725-D26CAB37FCAF}" name="Orthodox9" dataCellStyle="Normal"/>
    <tableColumn id="25" xr3:uid="{9680FFF0-0C76-4F51-83E3-3D48CE8F61EA}" name="Catholics10" dataCellStyle="Normal"/>
    <tableColumn id="26" xr3:uid="{A8C6FED6-4DDF-4776-8E8C-923282AE350B}" name="Arm. Orthodox11" dataCellStyle="Normal"/>
    <tableColumn id="27" xr3:uid="{AFCA4327-14BD-4873-A91E-16E8AE7B73E6}" name="Arm. Cath.12" dataCellStyle="Normal"/>
    <tableColumn id="28" xr3:uid="{9CEB9CF6-67F3-44DF-BA52-655BB3BC159F}" name="Evangelican13" dataCellStyle="Normal"/>
    <tableColumn id="29" xr3:uid="{289AF845-1B6D-4FEE-9F36-815C2654E5CB}" name="Other14" dataCellStyle="Normal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ivotTable" Target="../pivotTables/pivotTable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ivotTable" Target="../pivotTables/pivotTable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E667D-2868-422D-AF02-DEA5A443C549}">
  <dimension ref="A1:R34"/>
  <sheetViews>
    <sheetView zoomScale="103" zoomScaleNormal="100" workbookViewId="0">
      <pane ySplit="1" topLeftCell="A4" activePane="bottomLeft" state="frozen"/>
      <selection pane="bottomLeft" activeCell="C33" sqref="C33"/>
    </sheetView>
  </sheetViews>
  <sheetFormatPr defaultRowHeight="14.4" x14ac:dyDescent="0.3"/>
  <cols>
    <col min="6" max="6" width="0.77734375" customWidth="1"/>
    <col min="7" max="7" width="6.77734375" customWidth="1"/>
  </cols>
  <sheetData>
    <row r="1" spans="1:18" x14ac:dyDescent="0.3">
      <c r="B1" s="1" t="s">
        <v>1</v>
      </c>
      <c r="C1" s="1" t="s">
        <v>0</v>
      </c>
      <c r="D1" s="1" t="s">
        <v>35</v>
      </c>
      <c r="E1" s="1" t="s">
        <v>43</v>
      </c>
      <c r="F1" s="1"/>
      <c r="G1" s="1"/>
      <c r="H1" s="1" t="s">
        <v>37</v>
      </c>
      <c r="I1" s="1" t="s">
        <v>36</v>
      </c>
      <c r="J1" s="1" t="s">
        <v>38</v>
      </c>
      <c r="K1" s="1" t="s">
        <v>39</v>
      </c>
      <c r="L1" s="1" t="s">
        <v>41</v>
      </c>
      <c r="M1" s="1" t="s">
        <v>48</v>
      </c>
      <c r="N1" s="1" t="s">
        <v>47</v>
      </c>
      <c r="O1" s="1" t="s">
        <v>79</v>
      </c>
      <c r="P1" s="1" t="s">
        <v>52</v>
      </c>
      <c r="Q1" s="1" t="s">
        <v>50</v>
      </c>
      <c r="R1" s="1" t="s">
        <v>42</v>
      </c>
    </row>
    <row r="2" spans="1:18" x14ac:dyDescent="0.3">
      <c r="B2" t="s">
        <v>2</v>
      </c>
      <c r="C2" t="s">
        <v>2</v>
      </c>
      <c r="D2">
        <v>324000</v>
      </c>
      <c r="E2" t="s">
        <v>61</v>
      </c>
      <c r="F2">
        <v>1</v>
      </c>
      <c r="H2">
        <v>67.7</v>
      </c>
      <c r="I2">
        <v>1.1000000000000001</v>
      </c>
      <c r="K2">
        <v>5</v>
      </c>
      <c r="L2">
        <v>10.8</v>
      </c>
      <c r="M2">
        <v>14.5</v>
      </c>
      <c r="N2">
        <v>0.6</v>
      </c>
      <c r="Q2">
        <v>0.3</v>
      </c>
    </row>
    <row r="3" spans="1:18" x14ac:dyDescent="0.3">
      <c r="B3" t="s">
        <v>5</v>
      </c>
      <c r="C3" t="s">
        <v>3</v>
      </c>
      <c r="D3">
        <v>214600</v>
      </c>
      <c r="E3" t="s">
        <v>62</v>
      </c>
      <c r="F3">
        <v>1</v>
      </c>
      <c r="G3">
        <v>1</v>
      </c>
      <c r="H3">
        <v>13.3</v>
      </c>
      <c r="I3">
        <v>73.3</v>
      </c>
      <c r="L3">
        <v>7.3</v>
      </c>
      <c r="M3">
        <v>0.7</v>
      </c>
      <c r="N3">
        <v>5.3</v>
      </c>
      <c r="R3">
        <v>0.1</v>
      </c>
    </row>
    <row r="4" spans="1:18" x14ac:dyDescent="0.3">
      <c r="B4" t="s">
        <v>5</v>
      </c>
      <c r="C4" t="s">
        <v>4</v>
      </c>
      <c r="D4">
        <v>30500</v>
      </c>
      <c r="E4" s="34" t="s">
        <v>63</v>
      </c>
      <c r="F4">
        <v>1</v>
      </c>
      <c r="G4">
        <v>1</v>
      </c>
      <c r="H4">
        <v>13.3</v>
      </c>
      <c r="I4">
        <v>73.3</v>
      </c>
      <c r="L4">
        <v>7.3</v>
      </c>
      <c r="M4">
        <v>0.7</v>
      </c>
      <c r="N4">
        <v>5.3</v>
      </c>
      <c r="R4">
        <v>0.1</v>
      </c>
    </row>
    <row r="5" spans="1:18" x14ac:dyDescent="0.3">
      <c r="B5" t="s">
        <v>6</v>
      </c>
      <c r="C5" t="s">
        <v>66</v>
      </c>
      <c r="D5">
        <v>341700</v>
      </c>
      <c r="E5" t="s">
        <v>68</v>
      </c>
      <c r="F5">
        <v>1</v>
      </c>
      <c r="H5">
        <v>9.9</v>
      </c>
      <c r="I5">
        <v>2</v>
      </c>
      <c r="J5">
        <v>0.2</v>
      </c>
      <c r="K5">
        <v>0.1</v>
      </c>
      <c r="L5">
        <v>13.2</v>
      </c>
      <c r="M5">
        <v>19.2</v>
      </c>
      <c r="N5">
        <v>9.8000000000000007</v>
      </c>
      <c r="O5">
        <v>28.1</v>
      </c>
      <c r="P5">
        <v>5.6</v>
      </c>
      <c r="Q5">
        <v>2.9</v>
      </c>
      <c r="R5">
        <v>9</v>
      </c>
    </row>
    <row r="6" spans="1:18" x14ac:dyDescent="0.3">
      <c r="B6" t="s">
        <v>6</v>
      </c>
      <c r="C6" t="s">
        <v>67</v>
      </c>
      <c r="D6" s="34" t="s">
        <v>65</v>
      </c>
      <c r="E6" t="s">
        <v>69</v>
      </c>
      <c r="F6">
        <v>1</v>
      </c>
      <c r="H6">
        <v>62.3</v>
      </c>
      <c r="I6">
        <v>20.7</v>
      </c>
      <c r="J6">
        <v>1.6</v>
      </c>
      <c r="L6">
        <v>1.8</v>
      </c>
      <c r="M6">
        <v>4.9000000000000004</v>
      </c>
      <c r="N6">
        <v>1.6</v>
      </c>
      <c r="O6">
        <v>1.6</v>
      </c>
      <c r="P6">
        <v>0.5</v>
      </c>
      <c r="Q6">
        <v>0.8</v>
      </c>
      <c r="R6">
        <v>4.2</v>
      </c>
    </row>
    <row r="7" spans="1:18" x14ac:dyDescent="0.3">
      <c r="B7" t="s">
        <v>10</v>
      </c>
      <c r="C7" t="s">
        <v>7</v>
      </c>
      <c r="D7">
        <v>33800</v>
      </c>
      <c r="E7" s="34" t="s">
        <v>71</v>
      </c>
      <c r="F7">
        <v>1</v>
      </c>
      <c r="G7">
        <v>2</v>
      </c>
      <c r="H7">
        <v>48.7</v>
      </c>
      <c r="I7">
        <v>14.7</v>
      </c>
      <c r="J7">
        <v>14.7</v>
      </c>
      <c r="L7">
        <v>7.1</v>
      </c>
      <c r="M7">
        <v>7</v>
      </c>
      <c r="N7">
        <v>7.3</v>
      </c>
      <c r="Q7">
        <v>0.3</v>
      </c>
      <c r="R7">
        <v>0.2</v>
      </c>
    </row>
    <row r="8" spans="1:18" x14ac:dyDescent="0.3">
      <c r="B8" t="s">
        <v>10</v>
      </c>
      <c r="C8" t="s">
        <v>8</v>
      </c>
      <c r="D8">
        <v>86400</v>
      </c>
      <c r="E8" t="s">
        <v>72</v>
      </c>
      <c r="F8">
        <v>1</v>
      </c>
      <c r="G8">
        <v>2</v>
      </c>
      <c r="H8">
        <v>48.7</v>
      </c>
      <c r="I8">
        <v>14.7</v>
      </c>
      <c r="J8">
        <v>14.7</v>
      </c>
      <c r="L8">
        <v>7.1</v>
      </c>
      <c r="M8">
        <v>7</v>
      </c>
      <c r="N8">
        <v>7.3</v>
      </c>
      <c r="Q8">
        <v>0.3</v>
      </c>
      <c r="R8">
        <v>0.2</v>
      </c>
    </row>
    <row r="9" spans="1:18" x14ac:dyDescent="0.3">
      <c r="B9" t="s">
        <v>10</v>
      </c>
      <c r="C9" t="s">
        <v>9</v>
      </c>
      <c r="D9">
        <v>177400</v>
      </c>
      <c r="E9" t="s">
        <v>70</v>
      </c>
      <c r="F9">
        <v>1</v>
      </c>
      <c r="H9">
        <v>28.6</v>
      </c>
      <c r="I9">
        <v>16</v>
      </c>
      <c r="J9">
        <v>0.5</v>
      </c>
      <c r="L9">
        <v>15.6</v>
      </c>
      <c r="M9">
        <v>9.5</v>
      </c>
      <c r="N9">
        <v>18.600000000000001</v>
      </c>
      <c r="O9">
        <v>4.9000000000000004</v>
      </c>
      <c r="P9">
        <v>1.1000000000000001</v>
      </c>
      <c r="Q9">
        <v>0.8</v>
      </c>
      <c r="R9">
        <v>4.4000000000000004</v>
      </c>
    </row>
    <row r="10" spans="1:18" x14ac:dyDescent="0.3">
      <c r="A10" t="s">
        <v>45</v>
      </c>
      <c r="B10" t="s">
        <v>13</v>
      </c>
      <c r="C10" t="s">
        <v>11</v>
      </c>
      <c r="D10">
        <v>129500</v>
      </c>
      <c r="E10" t="s">
        <v>44</v>
      </c>
      <c r="F10">
        <v>1</v>
      </c>
      <c r="H10">
        <v>2.6</v>
      </c>
      <c r="I10">
        <v>21.2</v>
      </c>
      <c r="L10">
        <v>71.5</v>
      </c>
      <c r="M10">
        <v>3.1</v>
      </c>
      <c r="N10">
        <v>0.4</v>
      </c>
      <c r="O10">
        <v>0.8</v>
      </c>
      <c r="P10">
        <v>0.1</v>
      </c>
      <c r="Q10">
        <v>0.1</v>
      </c>
      <c r="R10">
        <v>0.2</v>
      </c>
    </row>
    <row r="11" spans="1:18" x14ac:dyDescent="0.3">
      <c r="B11" t="s">
        <v>13</v>
      </c>
      <c r="C11" t="s">
        <v>12</v>
      </c>
      <c r="D11">
        <v>260500</v>
      </c>
      <c r="E11" t="s">
        <v>44</v>
      </c>
      <c r="F11">
        <v>1</v>
      </c>
      <c r="H11">
        <v>0.3</v>
      </c>
      <c r="I11">
        <v>1.8</v>
      </c>
      <c r="L11">
        <v>92.1</v>
      </c>
      <c r="M11">
        <v>0.9</v>
      </c>
      <c r="N11">
        <v>2.1</v>
      </c>
      <c r="O11">
        <v>0.7</v>
      </c>
      <c r="P11">
        <v>0.7</v>
      </c>
      <c r="Q11">
        <v>0.1</v>
      </c>
      <c r="R11">
        <v>1.3</v>
      </c>
    </row>
    <row r="12" spans="1:18" x14ac:dyDescent="0.3">
      <c r="B12" t="s">
        <v>15</v>
      </c>
      <c r="C12" t="s">
        <v>14</v>
      </c>
      <c r="D12">
        <v>300800</v>
      </c>
      <c r="E12" t="s">
        <v>46</v>
      </c>
      <c r="F12">
        <v>1</v>
      </c>
      <c r="H12">
        <v>1.3</v>
      </c>
      <c r="I12">
        <v>3.3</v>
      </c>
      <c r="J12">
        <v>54.6</v>
      </c>
      <c r="L12">
        <v>23.5</v>
      </c>
      <c r="M12">
        <v>12.6</v>
      </c>
      <c r="N12">
        <v>3</v>
      </c>
      <c r="O12">
        <v>0.5</v>
      </c>
      <c r="P12">
        <v>0.1</v>
      </c>
      <c r="Q12">
        <v>0.7</v>
      </c>
      <c r="R12">
        <v>0.4</v>
      </c>
    </row>
    <row r="13" spans="1:18" x14ac:dyDescent="0.3">
      <c r="B13" t="s">
        <v>15</v>
      </c>
      <c r="C13" t="s">
        <v>16</v>
      </c>
      <c r="D13">
        <v>553800</v>
      </c>
      <c r="E13" t="s">
        <v>51</v>
      </c>
      <c r="F13">
        <v>1</v>
      </c>
      <c r="H13">
        <v>6.1</v>
      </c>
      <c r="I13">
        <v>25.2</v>
      </c>
      <c r="J13">
        <v>17.399999999999999</v>
      </c>
      <c r="L13">
        <v>36.299999999999997</v>
      </c>
      <c r="M13">
        <v>7.5</v>
      </c>
      <c r="N13">
        <v>4.5</v>
      </c>
      <c r="O13">
        <v>0.9</v>
      </c>
      <c r="P13">
        <v>0.4</v>
      </c>
      <c r="Q13">
        <v>0.3</v>
      </c>
      <c r="R13">
        <v>1.4</v>
      </c>
    </row>
    <row r="14" spans="1:18" x14ac:dyDescent="0.3">
      <c r="B14" t="s">
        <v>15</v>
      </c>
      <c r="C14" t="s">
        <v>17</v>
      </c>
      <c r="D14">
        <v>277000</v>
      </c>
      <c r="E14" t="s">
        <v>53</v>
      </c>
      <c r="F14">
        <v>1</v>
      </c>
      <c r="H14">
        <v>29.7</v>
      </c>
      <c r="I14">
        <v>2.2000000000000002</v>
      </c>
      <c r="J14">
        <v>31.6</v>
      </c>
      <c r="L14">
        <v>28.9</v>
      </c>
      <c r="M14">
        <v>0.4</v>
      </c>
      <c r="N14">
        <v>6.5</v>
      </c>
      <c r="O14">
        <v>0.3</v>
      </c>
      <c r="Q14">
        <v>0.3</v>
      </c>
      <c r="R14">
        <v>0.1</v>
      </c>
    </row>
    <row r="15" spans="1:18" x14ac:dyDescent="0.3">
      <c r="B15" t="s">
        <v>15</v>
      </c>
      <c r="C15" t="s">
        <v>18</v>
      </c>
      <c r="D15">
        <v>511000</v>
      </c>
      <c r="E15" t="s">
        <v>54</v>
      </c>
      <c r="F15">
        <v>1</v>
      </c>
      <c r="H15">
        <v>2</v>
      </c>
      <c r="I15">
        <v>2.9</v>
      </c>
      <c r="J15">
        <v>1.4</v>
      </c>
      <c r="K15">
        <v>0.1</v>
      </c>
      <c r="L15">
        <v>45</v>
      </c>
      <c r="M15">
        <v>14.6</v>
      </c>
      <c r="N15">
        <v>9.9</v>
      </c>
      <c r="O15">
        <v>14.1</v>
      </c>
      <c r="P15">
        <v>3.8</v>
      </c>
      <c r="Q15">
        <v>1.6</v>
      </c>
      <c r="R15">
        <v>4.5999999999999996</v>
      </c>
    </row>
    <row r="16" spans="1:18" x14ac:dyDescent="0.3">
      <c r="B16" t="s">
        <v>22</v>
      </c>
      <c r="C16" t="s">
        <v>19</v>
      </c>
      <c r="D16">
        <v>96200</v>
      </c>
      <c r="E16" t="s">
        <v>55</v>
      </c>
      <c r="F16">
        <v>1</v>
      </c>
      <c r="H16">
        <v>0.1</v>
      </c>
      <c r="I16">
        <v>88.5</v>
      </c>
      <c r="L16">
        <v>8.6999999999999993</v>
      </c>
      <c r="N16">
        <v>2.2000000000000002</v>
      </c>
      <c r="O16">
        <v>0.4</v>
      </c>
      <c r="R16">
        <v>0.1</v>
      </c>
    </row>
    <row r="17" spans="2:18" x14ac:dyDescent="0.3">
      <c r="B17" t="s">
        <v>22</v>
      </c>
      <c r="C17" t="s">
        <v>20</v>
      </c>
      <c r="D17">
        <v>28700</v>
      </c>
      <c r="E17" t="s">
        <v>55</v>
      </c>
      <c r="F17">
        <v>1</v>
      </c>
      <c r="G17">
        <v>3</v>
      </c>
      <c r="H17">
        <v>17.2</v>
      </c>
      <c r="I17">
        <v>58</v>
      </c>
      <c r="J17">
        <v>10.3</v>
      </c>
      <c r="L17">
        <v>4.2</v>
      </c>
      <c r="M17">
        <v>6.7</v>
      </c>
      <c r="N17">
        <v>2.2999999999999998</v>
      </c>
      <c r="O17">
        <v>0.4</v>
      </c>
      <c r="Q17">
        <v>0.8</v>
      </c>
      <c r="R17">
        <v>0.1</v>
      </c>
    </row>
    <row r="18" spans="2:18" x14ac:dyDescent="0.3">
      <c r="B18" t="s">
        <v>22</v>
      </c>
      <c r="C18" t="s">
        <v>21</v>
      </c>
      <c r="D18">
        <v>74000</v>
      </c>
      <c r="E18" s="34" t="s">
        <v>56</v>
      </c>
      <c r="F18">
        <v>1</v>
      </c>
      <c r="G18">
        <v>3</v>
      </c>
      <c r="H18">
        <v>17.2</v>
      </c>
      <c r="I18">
        <v>58</v>
      </c>
      <c r="J18">
        <v>10.3</v>
      </c>
      <c r="L18">
        <v>4.2</v>
      </c>
      <c r="M18">
        <v>6.7</v>
      </c>
      <c r="N18">
        <v>2.2999999999999998</v>
      </c>
      <c r="O18">
        <v>0.4</v>
      </c>
      <c r="Q18">
        <v>0.8</v>
      </c>
      <c r="R18">
        <v>0.1</v>
      </c>
    </row>
    <row r="19" spans="2:18" x14ac:dyDescent="0.3">
      <c r="B19" t="s">
        <v>22</v>
      </c>
      <c r="C19" t="s">
        <v>22</v>
      </c>
      <c r="D19">
        <v>180200</v>
      </c>
      <c r="E19" t="s">
        <v>55</v>
      </c>
      <c r="F19">
        <v>1</v>
      </c>
      <c r="H19">
        <v>0.7</v>
      </c>
      <c r="I19">
        <v>95.3</v>
      </c>
      <c r="L19">
        <v>2.8</v>
      </c>
      <c r="N19">
        <v>0.7</v>
      </c>
      <c r="O19">
        <v>0.4</v>
      </c>
      <c r="R19">
        <v>0.1</v>
      </c>
    </row>
    <row r="20" spans="2:18" x14ac:dyDescent="0.3">
      <c r="B20" t="s">
        <v>29</v>
      </c>
      <c r="C20" t="s">
        <v>23</v>
      </c>
      <c r="D20">
        <v>58900</v>
      </c>
      <c r="E20" s="34" t="s">
        <v>78</v>
      </c>
      <c r="F20">
        <v>1</v>
      </c>
      <c r="G20">
        <v>4</v>
      </c>
      <c r="H20">
        <v>8.9</v>
      </c>
      <c r="I20">
        <v>0.9</v>
      </c>
      <c r="K20">
        <v>0.2</v>
      </c>
      <c r="L20">
        <v>67.900000000000006</v>
      </c>
      <c r="M20">
        <v>20.6</v>
      </c>
      <c r="N20">
        <v>0.7</v>
      </c>
      <c r="O20">
        <v>0.2</v>
      </c>
      <c r="P20">
        <v>0.1</v>
      </c>
      <c r="R20">
        <v>0.5</v>
      </c>
    </row>
    <row r="21" spans="2:18" x14ac:dyDescent="0.3">
      <c r="B21" t="s">
        <v>29</v>
      </c>
      <c r="C21" t="s">
        <v>24</v>
      </c>
      <c r="D21">
        <v>22100</v>
      </c>
      <c r="E21" s="34" t="s">
        <v>78</v>
      </c>
      <c r="F21">
        <v>1</v>
      </c>
      <c r="G21">
        <v>4</v>
      </c>
      <c r="H21">
        <v>8.9</v>
      </c>
      <c r="I21">
        <v>0.9</v>
      </c>
      <c r="K21">
        <v>0.2</v>
      </c>
      <c r="L21">
        <v>67.900000000000006</v>
      </c>
      <c r="M21">
        <v>20.6</v>
      </c>
      <c r="N21">
        <v>0.7</v>
      </c>
      <c r="O21">
        <v>0.2</v>
      </c>
      <c r="P21">
        <v>0.1</v>
      </c>
      <c r="R21">
        <v>0.5</v>
      </c>
    </row>
    <row r="22" spans="2:18" x14ac:dyDescent="0.3">
      <c r="B22" t="s">
        <v>29</v>
      </c>
      <c r="C22" t="s">
        <v>25</v>
      </c>
      <c r="D22">
        <v>84600</v>
      </c>
      <c r="E22" s="34" t="s">
        <v>78</v>
      </c>
      <c r="F22">
        <v>1</v>
      </c>
      <c r="G22">
        <v>4</v>
      </c>
      <c r="H22">
        <v>8.9</v>
      </c>
      <c r="I22">
        <v>0.9</v>
      </c>
      <c r="K22">
        <v>0.2</v>
      </c>
      <c r="L22">
        <v>67.900000000000006</v>
      </c>
      <c r="M22">
        <v>20.6</v>
      </c>
      <c r="N22">
        <v>0.7</v>
      </c>
      <c r="O22">
        <v>0.2</v>
      </c>
      <c r="P22">
        <v>0.1</v>
      </c>
      <c r="R22">
        <v>0.5</v>
      </c>
    </row>
    <row r="23" spans="2:18" x14ac:dyDescent="0.3">
      <c r="B23" t="s">
        <v>29</v>
      </c>
      <c r="C23" t="s">
        <v>59</v>
      </c>
      <c r="D23">
        <v>140800</v>
      </c>
      <c r="E23" t="s">
        <v>57</v>
      </c>
      <c r="F23">
        <v>1</v>
      </c>
      <c r="H23">
        <v>80.7</v>
      </c>
      <c r="I23">
        <v>0.1</v>
      </c>
      <c r="L23">
        <v>10.199999999999999</v>
      </c>
      <c r="M23">
        <v>8</v>
      </c>
      <c r="O23">
        <v>1</v>
      </c>
    </row>
    <row r="24" spans="2:18" x14ac:dyDescent="0.3">
      <c r="B24" t="s">
        <v>29</v>
      </c>
      <c r="C24" t="s">
        <v>60</v>
      </c>
      <c r="D24" s="34" t="s">
        <v>58</v>
      </c>
      <c r="E24" t="s">
        <v>57</v>
      </c>
      <c r="F24">
        <v>1</v>
      </c>
      <c r="H24">
        <v>90.3</v>
      </c>
      <c r="L24">
        <v>0.8</v>
      </c>
      <c r="M24">
        <v>7.4</v>
      </c>
      <c r="O24">
        <v>1.5</v>
      </c>
    </row>
    <row r="25" spans="2:18" x14ac:dyDescent="0.3">
      <c r="B25" t="s">
        <v>29</v>
      </c>
      <c r="C25" t="s">
        <v>27</v>
      </c>
      <c r="D25">
        <v>243800</v>
      </c>
      <c r="E25" t="s">
        <v>57</v>
      </c>
      <c r="F25">
        <v>1</v>
      </c>
      <c r="H25">
        <v>82.2</v>
      </c>
      <c r="I25">
        <v>0.4</v>
      </c>
      <c r="K25">
        <v>8.5</v>
      </c>
      <c r="L25">
        <v>1.8</v>
      </c>
      <c r="M25">
        <v>5.3</v>
      </c>
      <c r="N25">
        <v>0.5</v>
      </c>
      <c r="O25">
        <v>0.3</v>
      </c>
      <c r="P25">
        <v>0.2</v>
      </c>
      <c r="Q25">
        <v>0.3</v>
      </c>
      <c r="R25">
        <v>0.5</v>
      </c>
    </row>
    <row r="26" spans="2:18" x14ac:dyDescent="0.3">
      <c r="B26" t="s">
        <v>29</v>
      </c>
      <c r="C26" t="s">
        <v>28</v>
      </c>
      <c r="D26">
        <v>87700</v>
      </c>
      <c r="E26" t="s">
        <v>77</v>
      </c>
      <c r="F26">
        <v>1</v>
      </c>
      <c r="H26">
        <v>8.9</v>
      </c>
      <c r="I26">
        <v>0.9</v>
      </c>
      <c r="K26">
        <v>0.2</v>
      </c>
      <c r="L26">
        <v>67.900000000000006</v>
      </c>
      <c r="M26">
        <v>20.6</v>
      </c>
      <c r="N26">
        <v>0.7</v>
      </c>
      <c r="O26">
        <v>0.2</v>
      </c>
      <c r="P26">
        <v>0.1</v>
      </c>
      <c r="R26">
        <v>0.5</v>
      </c>
    </row>
    <row r="27" spans="2:18" x14ac:dyDescent="0.3">
      <c r="B27" t="s">
        <v>33</v>
      </c>
      <c r="C27" t="s">
        <v>30</v>
      </c>
      <c r="D27">
        <v>296600</v>
      </c>
      <c r="E27" t="s">
        <v>73</v>
      </c>
      <c r="F27">
        <v>1</v>
      </c>
      <c r="H27">
        <v>84.2</v>
      </c>
      <c r="I27">
        <v>9.1</v>
      </c>
      <c r="L27">
        <v>2</v>
      </c>
      <c r="M27">
        <v>0.3</v>
      </c>
      <c r="N27">
        <v>2.8</v>
      </c>
      <c r="O27">
        <v>1.1000000000000001</v>
      </c>
      <c r="Q27">
        <v>0.2</v>
      </c>
      <c r="R27">
        <v>0.3</v>
      </c>
    </row>
    <row r="28" spans="2:18" x14ac:dyDescent="0.3">
      <c r="B28" t="s">
        <v>33</v>
      </c>
      <c r="C28" t="s">
        <v>76</v>
      </c>
      <c r="D28" s="34" t="s">
        <v>74</v>
      </c>
      <c r="E28" t="s">
        <v>75</v>
      </c>
      <c r="F28">
        <v>1</v>
      </c>
      <c r="H28">
        <v>3</v>
      </c>
      <c r="I28">
        <v>74</v>
      </c>
      <c r="J28">
        <v>0.1</v>
      </c>
      <c r="L28">
        <v>9.6999999999999993</v>
      </c>
      <c r="M28">
        <v>0.2</v>
      </c>
      <c r="N28">
        <v>11.8</v>
      </c>
      <c r="O28">
        <v>0.6</v>
      </c>
      <c r="Q28">
        <v>0.5</v>
      </c>
      <c r="R28">
        <v>0.1</v>
      </c>
    </row>
    <row r="29" spans="2:18" x14ac:dyDescent="0.3">
      <c r="B29" t="s">
        <v>33</v>
      </c>
      <c r="C29" t="s">
        <v>31</v>
      </c>
      <c r="D29">
        <v>32100</v>
      </c>
      <c r="E29" t="s">
        <v>73</v>
      </c>
      <c r="F29">
        <v>1</v>
      </c>
      <c r="H29">
        <v>1.8</v>
      </c>
      <c r="I29">
        <v>21.3</v>
      </c>
      <c r="J29">
        <v>0.9</v>
      </c>
      <c r="L29">
        <v>59.9</v>
      </c>
      <c r="M29">
        <v>0.2</v>
      </c>
      <c r="N29">
        <v>14.7</v>
      </c>
      <c r="O29">
        <v>1.1000000000000001</v>
      </c>
      <c r="R29">
        <v>0.1</v>
      </c>
    </row>
    <row r="30" spans="2:18" x14ac:dyDescent="0.3">
      <c r="B30" t="s">
        <v>33</v>
      </c>
      <c r="C30" t="s">
        <v>32</v>
      </c>
      <c r="D30">
        <v>255700</v>
      </c>
      <c r="E30" t="s">
        <v>75</v>
      </c>
      <c r="F30">
        <v>1</v>
      </c>
      <c r="H30">
        <v>8</v>
      </c>
      <c r="I30">
        <v>85.9</v>
      </c>
      <c r="L30">
        <v>1.2</v>
      </c>
      <c r="M30">
        <v>0.3</v>
      </c>
      <c r="N30">
        <v>3.7</v>
      </c>
      <c r="O30">
        <v>0.4</v>
      </c>
      <c r="P30">
        <v>0.1</v>
      </c>
      <c r="Q30">
        <v>0.3</v>
      </c>
      <c r="R30">
        <v>0.1</v>
      </c>
    </row>
    <row r="32" spans="2:18" x14ac:dyDescent="0.3">
      <c r="B32" t="s">
        <v>40</v>
      </c>
      <c r="D32">
        <f>SUM(D2:D30)</f>
        <v>4842400</v>
      </c>
    </row>
    <row r="33" spans="2:3" x14ac:dyDescent="0.3">
      <c r="C33" t="s">
        <v>34</v>
      </c>
    </row>
    <row r="34" spans="2:3" x14ac:dyDescent="0.3">
      <c r="B34" t="s">
        <v>64</v>
      </c>
      <c r="C34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8876E-F701-45A7-939F-344EA0FED837}">
  <dimension ref="A1:AC52"/>
  <sheetViews>
    <sheetView zoomScale="82" zoomScaleNormal="100" workbookViewId="0">
      <pane ySplit="1" topLeftCell="A2" activePane="bottomLeft" state="frozen"/>
      <selection pane="bottomLeft" activeCell="I35" sqref="I35"/>
    </sheetView>
  </sheetViews>
  <sheetFormatPr defaultRowHeight="14.4" x14ac:dyDescent="0.3"/>
  <cols>
    <col min="2" max="6" width="10.33203125" customWidth="1"/>
    <col min="7" max="9" width="10.21875" customWidth="1"/>
    <col min="10" max="29" width="11.33203125" customWidth="1"/>
  </cols>
  <sheetData>
    <row r="1" spans="1:29" x14ac:dyDescent="0.3">
      <c r="B1" s="1" t="s">
        <v>1</v>
      </c>
      <c r="C1" s="1" t="s">
        <v>0</v>
      </c>
      <c r="D1" s="1" t="s">
        <v>35</v>
      </c>
      <c r="E1" s="1" t="s">
        <v>43</v>
      </c>
      <c r="F1" s="1" t="s">
        <v>80</v>
      </c>
      <c r="G1" t="s">
        <v>37</v>
      </c>
      <c r="H1" t="s">
        <v>36</v>
      </c>
      <c r="I1" t="s">
        <v>38</v>
      </c>
      <c r="J1" t="s">
        <v>39</v>
      </c>
      <c r="K1" t="s">
        <v>41</v>
      </c>
      <c r="L1" t="s">
        <v>48</v>
      </c>
      <c r="M1" t="s">
        <v>47</v>
      </c>
      <c r="N1" t="s">
        <v>79</v>
      </c>
      <c r="O1" t="s">
        <v>52</v>
      </c>
      <c r="P1" t="s">
        <v>50</v>
      </c>
      <c r="Q1" t="s">
        <v>42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</row>
    <row r="2" spans="1:29" x14ac:dyDescent="0.3">
      <c r="B2" t="s">
        <v>2</v>
      </c>
      <c r="C2" t="s">
        <v>2</v>
      </c>
      <c r="D2">
        <v>324000</v>
      </c>
      <c r="E2" t="s">
        <v>61</v>
      </c>
      <c r="F2">
        <v>1</v>
      </c>
      <c r="G2" s="6">
        <v>219348.00000000003</v>
      </c>
      <c r="H2" s="6">
        <v>3564.0000000000005</v>
      </c>
      <c r="I2" s="6">
        <v>0</v>
      </c>
      <c r="J2" s="6">
        <v>16200</v>
      </c>
      <c r="K2" s="6">
        <v>34992.000000000007</v>
      </c>
      <c r="L2" s="6">
        <v>46980</v>
      </c>
      <c r="M2" s="6">
        <v>1944</v>
      </c>
      <c r="N2" s="6">
        <v>0</v>
      </c>
      <c r="O2" s="6">
        <v>0</v>
      </c>
      <c r="P2" s="6">
        <v>972</v>
      </c>
      <c r="Q2" s="6">
        <v>0</v>
      </c>
      <c r="S2">
        <v>67.7</v>
      </c>
      <c r="T2">
        <v>1.1000000000000001</v>
      </c>
      <c r="V2">
        <v>5</v>
      </c>
      <c r="W2">
        <v>10.8</v>
      </c>
      <c r="X2">
        <v>14.5</v>
      </c>
      <c r="Y2">
        <v>0.6</v>
      </c>
      <c r="AB2">
        <v>0.3</v>
      </c>
    </row>
    <row r="3" spans="1:29" x14ac:dyDescent="0.3">
      <c r="B3" t="s">
        <v>10</v>
      </c>
      <c r="C3" t="s">
        <v>9</v>
      </c>
      <c r="D3">
        <v>177400</v>
      </c>
      <c r="E3" t="s">
        <v>70</v>
      </c>
      <c r="F3">
        <v>1</v>
      </c>
      <c r="G3" s="6">
        <v>50736.400000000009</v>
      </c>
      <c r="H3" s="6">
        <v>28384</v>
      </c>
      <c r="I3" s="6">
        <v>887</v>
      </c>
      <c r="J3" s="6">
        <v>0</v>
      </c>
      <c r="K3" s="6">
        <v>27674.400000000001</v>
      </c>
      <c r="L3" s="6">
        <v>16853</v>
      </c>
      <c r="M3" s="6">
        <v>32996.400000000001</v>
      </c>
      <c r="N3" s="6">
        <v>8692.6</v>
      </c>
      <c r="O3" s="6">
        <v>1951.4</v>
      </c>
      <c r="P3" s="6">
        <v>1419.2</v>
      </c>
      <c r="Q3" s="6">
        <v>7805.6</v>
      </c>
      <c r="S3">
        <v>28.6</v>
      </c>
      <c r="T3">
        <v>16</v>
      </c>
      <c r="U3">
        <v>0.5</v>
      </c>
      <c r="W3">
        <v>15.6</v>
      </c>
      <c r="X3">
        <v>9.5</v>
      </c>
      <c r="Y3">
        <v>18.600000000000001</v>
      </c>
      <c r="Z3">
        <v>4.9000000000000004</v>
      </c>
      <c r="AA3">
        <v>1.1000000000000001</v>
      </c>
      <c r="AB3">
        <v>0.8</v>
      </c>
      <c r="AC3">
        <v>4.4000000000000004</v>
      </c>
    </row>
    <row r="4" spans="1:29" x14ac:dyDescent="0.3">
      <c r="B4" t="s">
        <v>13</v>
      </c>
      <c r="C4" t="s">
        <v>11</v>
      </c>
      <c r="D4">
        <v>129500</v>
      </c>
      <c r="E4" t="s">
        <v>44</v>
      </c>
      <c r="F4">
        <v>1</v>
      </c>
      <c r="G4" s="6">
        <v>3367.0000000000005</v>
      </c>
      <c r="H4" s="6">
        <v>27454</v>
      </c>
      <c r="I4" s="6">
        <v>0</v>
      </c>
      <c r="J4" s="6">
        <v>0</v>
      </c>
      <c r="K4" s="6">
        <v>92592.5</v>
      </c>
      <c r="L4" s="6">
        <v>4014.5</v>
      </c>
      <c r="M4" s="6">
        <v>518</v>
      </c>
      <c r="N4" s="6">
        <v>1036</v>
      </c>
      <c r="O4" s="6">
        <v>129.5</v>
      </c>
      <c r="P4" s="6">
        <v>129.5</v>
      </c>
      <c r="Q4" s="6">
        <v>259</v>
      </c>
      <c r="S4">
        <v>2.6</v>
      </c>
      <c r="T4">
        <v>21.2</v>
      </c>
      <c r="W4">
        <v>71.5</v>
      </c>
      <c r="X4">
        <v>3.1</v>
      </c>
      <c r="Y4">
        <v>0.4</v>
      </c>
      <c r="Z4">
        <v>0.8</v>
      </c>
      <c r="AA4">
        <v>0.1</v>
      </c>
      <c r="AB4">
        <v>0.1</v>
      </c>
      <c r="AC4">
        <v>0.2</v>
      </c>
    </row>
    <row r="5" spans="1:29" x14ac:dyDescent="0.3">
      <c r="B5" t="s">
        <v>13</v>
      </c>
      <c r="C5" t="s">
        <v>12</v>
      </c>
      <c r="D5">
        <v>260500</v>
      </c>
      <c r="E5" t="s">
        <v>44</v>
      </c>
      <c r="F5">
        <v>1</v>
      </c>
      <c r="G5" s="6">
        <v>781.5</v>
      </c>
      <c r="H5" s="6">
        <v>4689.0000000000009</v>
      </c>
      <c r="I5" s="6">
        <v>0</v>
      </c>
      <c r="J5" s="6">
        <v>0</v>
      </c>
      <c r="K5" s="6">
        <v>239920.49999999997</v>
      </c>
      <c r="L5" s="6">
        <v>2344.5000000000005</v>
      </c>
      <c r="M5" s="6">
        <v>5470.5</v>
      </c>
      <c r="N5" s="6">
        <v>1823.4999999999998</v>
      </c>
      <c r="O5" s="6">
        <v>1823.4999999999998</v>
      </c>
      <c r="P5" s="6">
        <v>260.5</v>
      </c>
      <c r="Q5" s="6">
        <v>3386.5000000000005</v>
      </c>
      <c r="S5">
        <v>0.3</v>
      </c>
      <c r="T5">
        <v>1.8</v>
      </c>
      <c r="W5">
        <v>92.1</v>
      </c>
      <c r="X5">
        <v>0.9</v>
      </c>
      <c r="Y5">
        <v>2.1</v>
      </c>
      <c r="Z5">
        <v>0.7</v>
      </c>
      <c r="AA5">
        <v>0.7</v>
      </c>
      <c r="AB5">
        <v>0.1</v>
      </c>
      <c r="AC5">
        <v>1.3</v>
      </c>
    </row>
    <row r="6" spans="1:29" x14ac:dyDescent="0.3">
      <c r="B6" t="s">
        <v>15</v>
      </c>
      <c r="C6" t="s">
        <v>14</v>
      </c>
      <c r="D6">
        <v>300800</v>
      </c>
      <c r="E6" t="s">
        <v>46</v>
      </c>
      <c r="F6">
        <v>1</v>
      </c>
      <c r="G6" s="6">
        <v>3910.4000000000005</v>
      </c>
      <c r="H6" s="6">
        <v>9926.4</v>
      </c>
      <c r="I6" s="6">
        <v>164236.80000000002</v>
      </c>
      <c r="J6" s="6">
        <v>0</v>
      </c>
      <c r="K6" s="6">
        <v>70688</v>
      </c>
      <c r="L6" s="6">
        <v>37900.800000000003</v>
      </c>
      <c r="M6" s="6">
        <v>9024</v>
      </c>
      <c r="N6" s="6">
        <v>1504</v>
      </c>
      <c r="O6" s="6">
        <v>300.8</v>
      </c>
      <c r="P6" s="6">
        <v>2105.6</v>
      </c>
      <c r="Q6" s="6">
        <v>1203.2</v>
      </c>
      <c r="S6">
        <v>1.3</v>
      </c>
      <c r="T6">
        <v>3.3</v>
      </c>
      <c r="U6">
        <v>54.6</v>
      </c>
      <c r="W6">
        <v>23.5</v>
      </c>
      <c r="X6">
        <v>12.6</v>
      </c>
      <c r="Y6">
        <v>3</v>
      </c>
      <c r="Z6">
        <v>0.5</v>
      </c>
      <c r="AA6">
        <v>0.1</v>
      </c>
      <c r="AB6">
        <v>0.7</v>
      </c>
      <c r="AC6">
        <v>0.4</v>
      </c>
    </row>
    <row r="7" spans="1:29" x14ac:dyDescent="0.3">
      <c r="B7" t="s">
        <v>15</v>
      </c>
      <c r="C7" t="s">
        <v>16</v>
      </c>
      <c r="D7">
        <v>553800</v>
      </c>
      <c r="E7" t="s">
        <v>51</v>
      </c>
      <c r="F7">
        <v>1</v>
      </c>
      <c r="G7" s="6">
        <v>33781.799999999996</v>
      </c>
      <c r="H7" s="6">
        <v>139557.6</v>
      </c>
      <c r="I7" s="6">
        <v>96361.2</v>
      </c>
      <c r="J7" s="6">
        <v>0</v>
      </c>
      <c r="K7" s="6">
        <v>201029.4</v>
      </c>
      <c r="L7" s="6">
        <v>41535</v>
      </c>
      <c r="M7" s="6">
        <v>24921</v>
      </c>
      <c r="N7" s="6">
        <v>4984.2000000000007</v>
      </c>
      <c r="O7" s="6">
        <v>2215.2000000000003</v>
      </c>
      <c r="P7" s="6">
        <v>1661.4</v>
      </c>
      <c r="Q7" s="6">
        <v>7753.1999999999989</v>
      </c>
      <c r="S7">
        <v>6.1</v>
      </c>
      <c r="T7">
        <v>25.2</v>
      </c>
      <c r="U7">
        <v>17.399999999999999</v>
      </c>
      <c r="W7">
        <v>36.299999999999997</v>
      </c>
      <c r="X7">
        <v>7.5</v>
      </c>
      <c r="Y7">
        <v>4.5</v>
      </c>
      <c r="Z7">
        <v>0.9</v>
      </c>
      <c r="AA7">
        <v>0.4</v>
      </c>
      <c r="AB7">
        <v>0.3</v>
      </c>
      <c r="AC7">
        <v>1.4</v>
      </c>
    </row>
    <row r="8" spans="1:29" x14ac:dyDescent="0.3">
      <c r="B8" t="s">
        <v>15</v>
      </c>
      <c r="C8" t="s">
        <v>17</v>
      </c>
      <c r="D8">
        <v>277000</v>
      </c>
      <c r="E8" t="s">
        <v>53</v>
      </c>
      <c r="F8">
        <v>1</v>
      </c>
      <c r="G8" s="6">
        <v>82269</v>
      </c>
      <c r="H8" s="6">
        <v>6094.0000000000009</v>
      </c>
      <c r="I8" s="6">
        <v>87532</v>
      </c>
      <c r="J8" s="6">
        <v>0</v>
      </c>
      <c r="K8" s="6">
        <v>80053</v>
      </c>
      <c r="L8" s="6">
        <v>1108</v>
      </c>
      <c r="M8" s="6">
        <v>18005</v>
      </c>
      <c r="N8" s="6">
        <v>831</v>
      </c>
      <c r="O8" s="6">
        <v>0</v>
      </c>
      <c r="P8" s="6">
        <v>831</v>
      </c>
      <c r="Q8" s="6">
        <v>277</v>
      </c>
      <c r="S8">
        <v>29.7</v>
      </c>
      <c r="T8">
        <v>2.2000000000000002</v>
      </c>
      <c r="U8">
        <v>31.6</v>
      </c>
      <c r="W8">
        <v>28.9</v>
      </c>
      <c r="X8">
        <v>0.4</v>
      </c>
      <c r="Y8">
        <v>6.5</v>
      </c>
      <c r="Z8">
        <v>0.3</v>
      </c>
      <c r="AB8">
        <v>0.3</v>
      </c>
      <c r="AC8">
        <v>0.1</v>
      </c>
    </row>
    <row r="9" spans="1:29" x14ac:dyDescent="0.3">
      <c r="A9" t="s">
        <v>45</v>
      </c>
      <c r="B9" t="s">
        <v>15</v>
      </c>
      <c r="C9" t="s">
        <v>18</v>
      </c>
      <c r="D9">
        <v>511000</v>
      </c>
      <c r="E9" t="s">
        <v>54</v>
      </c>
      <c r="F9">
        <v>1</v>
      </c>
      <c r="G9" s="6">
        <v>10220</v>
      </c>
      <c r="H9" s="6">
        <v>14818.999999999998</v>
      </c>
      <c r="I9" s="6">
        <v>7153.9999999999991</v>
      </c>
      <c r="J9" s="6">
        <v>511</v>
      </c>
      <c r="K9" s="6">
        <v>229950</v>
      </c>
      <c r="L9" s="6">
        <v>74606</v>
      </c>
      <c r="M9" s="6">
        <v>50589</v>
      </c>
      <c r="N9" s="6">
        <v>72051</v>
      </c>
      <c r="O9" s="6">
        <v>19418</v>
      </c>
      <c r="P9" s="6">
        <v>8176</v>
      </c>
      <c r="Q9" s="6">
        <v>23506</v>
      </c>
      <c r="S9">
        <v>2</v>
      </c>
      <c r="T9">
        <v>2.9</v>
      </c>
      <c r="U9">
        <v>1.4</v>
      </c>
      <c r="V9">
        <v>0.1</v>
      </c>
      <c r="W9">
        <v>45</v>
      </c>
      <c r="X9">
        <v>14.6</v>
      </c>
      <c r="Y9">
        <v>9.9</v>
      </c>
      <c r="Z9">
        <v>14.1</v>
      </c>
      <c r="AA9">
        <v>3.8</v>
      </c>
      <c r="AB9">
        <v>1.6</v>
      </c>
      <c r="AC9">
        <v>4.5999999999999996</v>
      </c>
    </row>
    <row r="10" spans="1:29" x14ac:dyDescent="0.3">
      <c r="B10" t="s">
        <v>22</v>
      </c>
      <c r="C10" t="s">
        <v>19</v>
      </c>
      <c r="D10">
        <v>96200</v>
      </c>
      <c r="E10" t="s">
        <v>55</v>
      </c>
      <c r="F10">
        <v>1</v>
      </c>
      <c r="G10" s="6">
        <v>96.2</v>
      </c>
      <c r="H10" s="6">
        <v>85137</v>
      </c>
      <c r="I10" s="6">
        <v>0</v>
      </c>
      <c r="J10" s="6">
        <v>0</v>
      </c>
      <c r="K10" s="6">
        <v>8369.4</v>
      </c>
      <c r="L10" s="6">
        <v>0</v>
      </c>
      <c r="M10" s="6">
        <v>2116.4</v>
      </c>
      <c r="N10" s="6">
        <v>384.8</v>
      </c>
      <c r="O10" s="6">
        <v>0</v>
      </c>
      <c r="P10" s="6">
        <v>0</v>
      </c>
      <c r="Q10" s="6">
        <v>96.2</v>
      </c>
      <c r="S10">
        <v>0.1</v>
      </c>
      <c r="T10">
        <v>88.5</v>
      </c>
      <c r="W10">
        <v>8.6999999999999993</v>
      </c>
      <c r="Y10">
        <v>2.2000000000000002</v>
      </c>
      <c r="Z10">
        <v>0.4</v>
      </c>
      <c r="AC10">
        <v>0.1</v>
      </c>
    </row>
    <row r="11" spans="1:29" x14ac:dyDescent="0.3">
      <c r="B11" t="s">
        <v>22</v>
      </c>
      <c r="C11" t="s">
        <v>22</v>
      </c>
      <c r="D11">
        <v>180200</v>
      </c>
      <c r="E11" t="s">
        <v>55</v>
      </c>
      <c r="F11">
        <v>1</v>
      </c>
      <c r="G11" s="6">
        <v>1261.3999999999999</v>
      </c>
      <c r="H11" s="6">
        <v>171730.6</v>
      </c>
      <c r="I11" s="6">
        <v>0</v>
      </c>
      <c r="J11" s="6">
        <v>0</v>
      </c>
      <c r="K11" s="6">
        <v>5045.5999999999995</v>
      </c>
      <c r="L11" s="6">
        <v>0</v>
      </c>
      <c r="M11" s="6">
        <v>1261.3999999999999</v>
      </c>
      <c r="N11" s="6">
        <v>720.80000000000007</v>
      </c>
      <c r="O11" s="6">
        <v>0</v>
      </c>
      <c r="P11" s="6">
        <v>0</v>
      </c>
      <c r="Q11" s="6">
        <v>180.20000000000002</v>
      </c>
      <c r="S11">
        <v>0.7</v>
      </c>
      <c r="T11">
        <v>95.3</v>
      </c>
      <c r="W11">
        <v>2.8</v>
      </c>
      <c r="Y11">
        <v>0.7</v>
      </c>
      <c r="Z11">
        <v>0.4</v>
      </c>
      <c r="AC11">
        <v>0.1</v>
      </c>
    </row>
    <row r="12" spans="1:29" x14ac:dyDescent="0.3">
      <c r="B12" t="s">
        <v>29</v>
      </c>
      <c r="C12" t="s">
        <v>27</v>
      </c>
      <c r="D12">
        <v>243800</v>
      </c>
      <c r="E12" t="s">
        <v>57</v>
      </c>
      <c r="F12">
        <v>1</v>
      </c>
      <c r="G12" s="6">
        <v>200403.6</v>
      </c>
      <c r="H12" s="6">
        <v>975.2</v>
      </c>
      <c r="I12" s="6">
        <v>0</v>
      </c>
      <c r="J12" s="6">
        <v>20723</v>
      </c>
      <c r="K12" s="6">
        <v>4388.4000000000005</v>
      </c>
      <c r="L12" s="6">
        <v>12921.4</v>
      </c>
      <c r="M12" s="6">
        <v>1219</v>
      </c>
      <c r="N12" s="6">
        <v>731.4</v>
      </c>
      <c r="O12" s="6">
        <v>487.6</v>
      </c>
      <c r="P12" s="6">
        <v>731.4</v>
      </c>
      <c r="Q12" s="6">
        <v>1219</v>
      </c>
      <c r="S12">
        <v>82.2</v>
      </c>
      <c r="T12">
        <v>0.4</v>
      </c>
      <c r="V12">
        <v>8.5</v>
      </c>
      <c r="W12">
        <v>1.8</v>
      </c>
      <c r="X12">
        <v>5.3</v>
      </c>
      <c r="Y12">
        <v>0.5</v>
      </c>
      <c r="Z12">
        <v>0.3</v>
      </c>
      <c r="AA12">
        <v>0.2</v>
      </c>
      <c r="AB12">
        <v>0.3</v>
      </c>
      <c r="AC12">
        <v>0.5</v>
      </c>
    </row>
    <row r="13" spans="1:29" x14ac:dyDescent="0.3">
      <c r="B13" t="s">
        <v>33</v>
      </c>
      <c r="C13" t="s">
        <v>31</v>
      </c>
      <c r="D13">
        <v>32100</v>
      </c>
      <c r="E13" t="s">
        <v>73</v>
      </c>
      <c r="F13">
        <v>1</v>
      </c>
      <c r="G13" s="6">
        <v>577.80000000000007</v>
      </c>
      <c r="H13" s="6">
        <v>6837.3</v>
      </c>
      <c r="I13" s="6">
        <v>288.90000000000003</v>
      </c>
      <c r="J13" s="6">
        <v>0</v>
      </c>
      <c r="K13" s="6">
        <v>19227.899999999998</v>
      </c>
      <c r="L13" s="6">
        <v>64.2</v>
      </c>
      <c r="M13" s="6">
        <v>4718.7</v>
      </c>
      <c r="N13" s="6">
        <v>353.1</v>
      </c>
      <c r="O13" s="6">
        <v>0</v>
      </c>
      <c r="P13" s="6">
        <v>0</v>
      </c>
      <c r="Q13" s="6">
        <v>32.1</v>
      </c>
      <c r="S13">
        <v>1.8</v>
      </c>
      <c r="T13">
        <v>21.3</v>
      </c>
      <c r="U13">
        <v>0.9</v>
      </c>
      <c r="W13">
        <v>59.9</v>
      </c>
      <c r="X13">
        <v>0.2</v>
      </c>
      <c r="Y13">
        <v>14.7</v>
      </c>
      <c r="Z13">
        <v>1.1000000000000001</v>
      </c>
      <c r="AC13">
        <v>0.1</v>
      </c>
    </row>
    <row r="14" spans="1:29" x14ac:dyDescent="0.3">
      <c r="B14" t="s">
        <v>33</v>
      </c>
      <c r="C14" t="s">
        <v>32</v>
      </c>
      <c r="D14">
        <v>255700</v>
      </c>
      <c r="E14" t="s">
        <v>75</v>
      </c>
      <c r="F14">
        <v>1</v>
      </c>
      <c r="G14" s="6">
        <v>20456</v>
      </c>
      <c r="H14" s="6">
        <v>219646.30000000002</v>
      </c>
      <c r="I14" s="6">
        <v>0</v>
      </c>
      <c r="J14" s="6">
        <v>0</v>
      </c>
      <c r="K14" s="6">
        <v>3068.4</v>
      </c>
      <c r="L14" s="6">
        <v>767.1</v>
      </c>
      <c r="M14" s="6">
        <v>9460.9000000000015</v>
      </c>
      <c r="N14" s="6">
        <v>1022.8000000000001</v>
      </c>
      <c r="O14" s="6">
        <v>255.70000000000002</v>
      </c>
      <c r="P14" s="6">
        <v>767.1</v>
      </c>
      <c r="Q14" s="6">
        <v>255.70000000000002</v>
      </c>
      <c r="S14">
        <v>8</v>
      </c>
      <c r="T14">
        <v>85.9</v>
      </c>
      <c r="W14">
        <v>1.2</v>
      </c>
      <c r="X14">
        <v>0.3</v>
      </c>
      <c r="Y14">
        <v>3.7</v>
      </c>
      <c r="Z14">
        <v>0.4</v>
      </c>
      <c r="AA14">
        <v>0.1</v>
      </c>
      <c r="AB14">
        <v>0.3</v>
      </c>
      <c r="AC14">
        <v>0.1</v>
      </c>
    </row>
    <row r="15" spans="1:29" x14ac:dyDescent="0.3">
      <c r="B15" t="s">
        <v>5</v>
      </c>
      <c r="C15" t="s">
        <v>3</v>
      </c>
      <c r="D15">
        <v>214600</v>
      </c>
      <c r="E15" t="s">
        <v>62</v>
      </c>
      <c r="F15">
        <v>2</v>
      </c>
      <c r="G15" s="6">
        <v>28541.800000000003</v>
      </c>
      <c r="H15" s="6">
        <v>157301.79999999999</v>
      </c>
      <c r="I15" s="6">
        <v>0</v>
      </c>
      <c r="J15" s="6">
        <v>0</v>
      </c>
      <c r="K15" s="6">
        <v>15665.8</v>
      </c>
      <c r="L15" s="6">
        <v>1502.1999999999998</v>
      </c>
      <c r="M15" s="6">
        <v>11373.8</v>
      </c>
      <c r="N15" s="6">
        <v>0</v>
      </c>
      <c r="O15" s="6">
        <v>0</v>
      </c>
      <c r="P15" s="6">
        <v>0</v>
      </c>
      <c r="Q15" s="6">
        <v>214.6</v>
      </c>
      <c r="S15">
        <v>13.3</v>
      </c>
      <c r="T15">
        <v>73.3</v>
      </c>
      <c r="W15">
        <v>7.3</v>
      </c>
      <c r="X15">
        <v>0.7</v>
      </c>
      <c r="Y15">
        <v>5.3</v>
      </c>
      <c r="AC15">
        <v>0.1</v>
      </c>
    </row>
    <row r="16" spans="1:29" x14ac:dyDescent="0.3">
      <c r="B16" t="s">
        <v>5</v>
      </c>
      <c r="C16" t="s">
        <v>4</v>
      </c>
      <c r="D16">
        <v>30500</v>
      </c>
      <c r="E16" t="s">
        <v>63</v>
      </c>
      <c r="F16">
        <v>2</v>
      </c>
      <c r="G16" s="6">
        <v>4056.5</v>
      </c>
      <c r="H16" s="6">
        <v>22356.5</v>
      </c>
      <c r="I16" s="6">
        <v>0</v>
      </c>
      <c r="J16" s="6">
        <v>0</v>
      </c>
      <c r="K16" s="6">
        <v>2226.5</v>
      </c>
      <c r="L16" s="6">
        <v>213.49999999999997</v>
      </c>
      <c r="M16" s="6">
        <v>1616.5</v>
      </c>
      <c r="N16" s="6">
        <v>0</v>
      </c>
      <c r="O16" s="6">
        <v>0</v>
      </c>
      <c r="P16" s="6">
        <v>0</v>
      </c>
      <c r="Q16" s="6">
        <v>30.5</v>
      </c>
      <c r="S16">
        <v>13.3</v>
      </c>
      <c r="T16">
        <v>73.3</v>
      </c>
      <c r="W16">
        <v>7.3</v>
      </c>
      <c r="X16">
        <v>0.7</v>
      </c>
      <c r="Y16">
        <v>5.3</v>
      </c>
      <c r="AC16">
        <v>0.1</v>
      </c>
    </row>
    <row r="17" spans="2:29" x14ac:dyDescent="0.3">
      <c r="B17" t="s">
        <v>10</v>
      </c>
      <c r="C17" t="s">
        <v>7</v>
      </c>
      <c r="D17">
        <v>33800</v>
      </c>
      <c r="E17" t="s">
        <v>71</v>
      </c>
      <c r="F17">
        <v>2</v>
      </c>
      <c r="G17" s="6">
        <v>16460.600000000002</v>
      </c>
      <c r="H17" s="6">
        <v>4968.5999999999995</v>
      </c>
      <c r="I17" s="6">
        <v>4968.5999999999995</v>
      </c>
      <c r="J17" s="6">
        <v>0</v>
      </c>
      <c r="K17" s="6">
        <v>2399.7999999999997</v>
      </c>
      <c r="L17" s="6">
        <v>2366</v>
      </c>
      <c r="M17" s="6">
        <v>2467.3999999999996</v>
      </c>
      <c r="N17" s="6">
        <v>0</v>
      </c>
      <c r="O17" s="6">
        <v>0</v>
      </c>
      <c r="P17" s="6">
        <v>101.4</v>
      </c>
      <c r="Q17" s="6">
        <v>67.599999999999994</v>
      </c>
      <c r="S17">
        <v>48.7</v>
      </c>
      <c r="T17">
        <v>14.7</v>
      </c>
      <c r="U17">
        <v>14.7</v>
      </c>
      <c r="W17">
        <v>7.1</v>
      </c>
      <c r="X17">
        <v>7</v>
      </c>
      <c r="Y17">
        <v>7.3</v>
      </c>
      <c r="AB17">
        <v>0.3</v>
      </c>
      <c r="AC17">
        <v>0.2</v>
      </c>
    </row>
    <row r="18" spans="2:29" x14ac:dyDescent="0.3">
      <c r="B18" t="s">
        <v>10</v>
      </c>
      <c r="C18" t="s">
        <v>8</v>
      </c>
      <c r="D18">
        <v>86400</v>
      </c>
      <c r="E18" t="s">
        <v>72</v>
      </c>
      <c r="F18">
        <v>2</v>
      </c>
      <c r="G18" s="6">
        <v>42076.800000000003</v>
      </c>
      <c r="H18" s="6">
        <v>12700.8</v>
      </c>
      <c r="I18" s="6">
        <v>12700.8</v>
      </c>
      <c r="J18" s="6">
        <v>0</v>
      </c>
      <c r="K18" s="6">
        <v>6134.4</v>
      </c>
      <c r="L18" s="6">
        <v>6048.0000000000009</v>
      </c>
      <c r="M18" s="6">
        <v>6307.2</v>
      </c>
      <c r="N18" s="6">
        <v>0</v>
      </c>
      <c r="O18" s="6">
        <v>0</v>
      </c>
      <c r="P18" s="6">
        <v>259.2</v>
      </c>
      <c r="Q18" s="6">
        <v>172.8</v>
      </c>
      <c r="S18">
        <v>48.7</v>
      </c>
      <c r="T18">
        <v>14.7</v>
      </c>
      <c r="U18">
        <v>14.7</v>
      </c>
      <c r="W18">
        <v>7.1</v>
      </c>
      <c r="X18">
        <v>7</v>
      </c>
      <c r="Y18">
        <v>7.3</v>
      </c>
      <c r="AB18">
        <v>0.3</v>
      </c>
      <c r="AC18">
        <v>0.2</v>
      </c>
    </row>
    <row r="19" spans="2:29" x14ac:dyDescent="0.3">
      <c r="B19" t="s">
        <v>22</v>
      </c>
      <c r="C19" t="s">
        <v>20</v>
      </c>
      <c r="D19">
        <v>28700</v>
      </c>
      <c r="E19" t="s">
        <v>55</v>
      </c>
      <c r="F19">
        <v>2</v>
      </c>
      <c r="G19" s="6">
        <v>4936.3999999999996</v>
      </c>
      <c r="H19" s="6">
        <v>16646</v>
      </c>
      <c r="I19" s="6">
        <v>2956.1000000000004</v>
      </c>
      <c r="J19" s="6">
        <v>0</v>
      </c>
      <c r="K19" s="6">
        <v>1205.4000000000001</v>
      </c>
      <c r="L19" s="6">
        <v>1922.9</v>
      </c>
      <c r="M19" s="6">
        <v>660.1</v>
      </c>
      <c r="N19" s="6">
        <v>114.8</v>
      </c>
      <c r="O19" s="6">
        <v>0</v>
      </c>
      <c r="P19" s="6">
        <v>229.6</v>
      </c>
      <c r="Q19" s="6">
        <v>28.7</v>
      </c>
      <c r="S19">
        <v>17.2</v>
      </c>
      <c r="T19">
        <v>58</v>
      </c>
      <c r="U19">
        <v>10.3</v>
      </c>
      <c r="W19">
        <v>4.2</v>
      </c>
      <c r="X19">
        <v>6.7</v>
      </c>
      <c r="Y19">
        <v>2.2999999999999998</v>
      </c>
      <c r="Z19">
        <v>0.4</v>
      </c>
      <c r="AB19">
        <v>0.8</v>
      </c>
      <c r="AC19">
        <v>0.1</v>
      </c>
    </row>
    <row r="20" spans="2:29" x14ac:dyDescent="0.3">
      <c r="B20" t="s">
        <v>22</v>
      </c>
      <c r="C20" t="s">
        <v>21</v>
      </c>
      <c r="D20">
        <v>74000</v>
      </c>
      <c r="E20" t="s">
        <v>56</v>
      </c>
      <c r="F20">
        <v>2</v>
      </c>
      <c r="G20" s="6">
        <v>12727.999999999998</v>
      </c>
      <c r="H20" s="6">
        <v>42920</v>
      </c>
      <c r="I20" s="6">
        <v>7622.0000000000009</v>
      </c>
      <c r="J20" s="6">
        <v>0</v>
      </c>
      <c r="K20" s="6">
        <v>3108</v>
      </c>
      <c r="L20" s="6">
        <v>4958</v>
      </c>
      <c r="M20" s="6">
        <v>1702</v>
      </c>
      <c r="N20" s="6">
        <v>296</v>
      </c>
      <c r="O20" s="6">
        <v>0</v>
      </c>
      <c r="P20" s="6">
        <v>592</v>
      </c>
      <c r="Q20" s="6">
        <v>74</v>
      </c>
      <c r="S20">
        <v>17.2</v>
      </c>
      <c r="T20">
        <v>58</v>
      </c>
      <c r="U20">
        <v>10.3</v>
      </c>
      <c r="W20">
        <v>4.2</v>
      </c>
      <c r="X20">
        <v>6.7</v>
      </c>
      <c r="Y20">
        <v>2.2999999999999998</v>
      </c>
      <c r="Z20">
        <v>0.4</v>
      </c>
      <c r="AB20">
        <v>0.8</v>
      </c>
      <c r="AC20">
        <v>0.1</v>
      </c>
    </row>
    <row r="21" spans="2:29" x14ac:dyDescent="0.3">
      <c r="B21" t="s">
        <v>29</v>
      </c>
      <c r="C21" t="s">
        <v>23</v>
      </c>
      <c r="D21">
        <v>58900</v>
      </c>
      <c r="E21" t="s">
        <v>78</v>
      </c>
      <c r="F21">
        <v>2</v>
      </c>
      <c r="G21" s="6">
        <v>5242.1000000000004</v>
      </c>
      <c r="H21" s="6">
        <v>530.1</v>
      </c>
      <c r="I21" s="6">
        <v>0</v>
      </c>
      <c r="J21" s="6">
        <v>117.8</v>
      </c>
      <c r="K21" s="6">
        <v>39993.100000000006</v>
      </c>
      <c r="L21" s="6">
        <v>12133.400000000001</v>
      </c>
      <c r="M21" s="6">
        <v>412.29999999999995</v>
      </c>
      <c r="N21" s="6">
        <v>117.8</v>
      </c>
      <c r="O21" s="6">
        <v>58.9</v>
      </c>
      <c r="P21" s="6">
        <v>0</v>
      </c>
      <c r="Q21" s="6">
        <v>294.5</v>
      </c>
      <c r="S21">
        <v>8.9</v>
      </c>
      <c r="T21">
        <v>0.9</v>
      </c>
      <c r="V21">
        <v>0.2</v>
      </c>
      <c r="W21">
        <v>67.900000000000006</v>
      </c>
      <c r="X21">
        <v>20.6</v>
      </c>
      <c r="Y21">
        <v>0.7</v>
      </c>
      <c r="Z21">
        <v>0.2</v>
      </c>
      <c r="AA21">
        <v>0.1</v>
      </c>
      <c r="AC21">
        <v>0.5</v>
      </c>
    </row>
    <row r="22" spans="2:29" x14ac:dyDescent="0.3">
      <c r="B22" t="s">
        <v>29</v>
      </c>
      <c r="C22" t="s">
        <v>24</v>
      </c>
      <c r="D22">
        <v>22100</v>
      </c>
      <c r="E22" t="s">
        <v>78</v>
      </c>
      <c r="F22">
        <v>2</v>
      </c>
      <c r="G22" s="6">
        <v>1966.9000000000003</v>
      </c>
      <c r="H22" s="6">
        <v>198.90000000000003</v>
      </c>
      <c r="I22" s="6">
        <v>0</v>
      </c>
      <c r="J22" s="6">
        <v>44.2</v>
      </c>
      <c r="K22" s="6">
        <v>15005.900000000001</v>
      </c>
      <c r="L22" s="6">
        <v>4552.6000000000004</v>
      </c>
      <c r="M22" s="6">
        <v>154.69999999999999</v>
      </c>
      <c r="N22" s="6">
        <v>44.2</v>
      </c>
      <c r="O22" s="6">
        <v>22.1</v>
      </c>
      <c r="P22" s="6">
        <v>0</v>
      </c>
      <c r="Q22" s="6">
        <v>110.5</v>
      </c>
      <c r="S22">
        <v>8.9</v>
      </c>
      <c r="T22">
        <v>0.9</v>
      </c>
      <c r="V22">
        <v>0.2</v>
      </c>
      <c r="W22">
        <v>67.900000000000006</v>
      </c>
      <c r="X22">
        <v>20.6</v>
      </c>
      <c r="Y22">
        <v>0.7</v>
      </c>
      <c r="Z22">
        <v>0.2</v>
      </c>
      <c r="AA22">
        <v>0.1</v>
      </c>
      <c r="AC22">
        <v>0.5</v>
      </c>
    </row>
    <row r="23" spans="2:29" x14ac:dyDescent="0.3">
      <c r="B23" t="s">
        <v>29</v>
      </c>
      <c r="C23" t="s">
        <v>25</v>
      </c>
      <c r="D23">
        <v>84600</v>
      </c>
      <c r="E23" t="s">
        <v>78</v>
      </c>
      <c r="F23">
        <v>2</v>
      </c>
      <c r="G23" s="6">
        <v>7529.4000000000005</v>
      </c>
      <c r="H23" s="6">
        <v>761.40000000000009</v>
      </c>
      <c r="I23" s="6">
        <v>0</v>
      </c>
      <c r="J23" s="6">
        <v>169.20000000000002</v>
      </c>
      <c r="K23" s="6">
        <v>57443.4</v>
      </c>
      <c r="L23" s="6">
        <v>17427.600000000002</v>
      </c>
      <c r="M23" s="6">
        <v>592.19999999999993</v>
      </c>
      <c r="N23" s="6">
        <v>169.20000000000002</v>
      </c>
      <c r="O23" s="6">
        <v>84.600000000000009</v>
      </c>
      <c r="P23" s="6">
        <v>0</v>
      </c>
      <c r="Q23" s="6">
        <v>423</v>
      </c>
      <c r="S23">
        <v>8.9</v>
      </c>
      <c r="T23">
        <v>0.9</v>
      </c>
      <c r="V23">
        <v>0.2</v>
      </c>
      <c r="W23">
        <v>67.900000000000006</v>
      </c>
      <c r="X23">
        <v>20.6</v>
      </c>
      <c r="Y23">
        <v>0.7</v>
      </c>
      <c r="Z23">
        <v>0.2</v>
      </c>
      <c r="AA23">
        <v>0.1</v>
      </c>
      <c r="AC23">
        <v>0.5</v>
      </c>
    </row>
    <row r="24" spans="2:29" x14ac:dyDescent="0.3">
      <c r="B24" t="s">
        <v>29</v>
      </c>
      <c r="C24" t="s">
        <v>28</v>
      </c>
      <c r="D24">
        <v>87700</v>
      </c>
      <c r="E24" t="s">
        <v>77</v>
      </c>
      <c r="F24">
        <v>2</v>
      </c>
      <c r="G24" s="6">
        <v>7805.3000000000011</v>
      </c>
      <c r="H24" s="6">
        <v>789.30000000000007</v>
      </c>
      <c r="I24" s="6">
        <v>0</v>
      </c>
      <c r="J24" s="6">
        <v>175.4</v>
      </c>
      <c r="K24" s="6">
        <v>59548.3</v>
      </c>
      <c r="L24" s="6">
        <v>18066.2</v>
      </c>
      <c r="M24" s="6">
        <v>613.9</v>
      </c>
      <c r="N24" s="6">
        <v>175.4</v>
      </c>
      <c r="O24" s="6">
        <v>87.7</v>
      </c>
      <c r="P24" s="6">
        <v>0</v>
      </c>
      <c r="Q24" s="6">
        <v>438.5</v>
      </c>
      <c r="S24">
        <v>8.9</v>
      </c>
      <c r="T24">
        <v>0.9</v>
      </c>
      <c r="V24">
        <v>0.2</v>
      </c>
      <c r="W24">
        <v>67.900000000000006</v>
      </c>
      <c r="X24">
        <v>20.6</v>
      </c>
      <c r="Y24">
        <v>0.7</v>
      </c>
      <c r="Z24">
        <v>0.2</v>
      </c>
      <c r="AA24">
        <v>0.1</v>
      </c>
      <c r="AC24">
        <v>0.5</v>
      </c>
    </row>
    <row r="25" spans="2:29" x14ac:dyDescent="0.3">
      <c r="B25" t="s">
        <v>6</v>
      </c>
      <c r="C25" t="s">
        <v>66</v>
      </c>
      <c r="D25">
        <v>120173</v>
      </c>
      <c r="E25" t="s">
        <v>68</v>
      </c>
      <c r="F25">
        <v>3</v>
      </c>
      <c r="G25" s="6">
        <f>Table1[[#This Row],[Sunnis4]]/100*Table1[[#This Row],[Population 2018-19]]</f>
        <v>11897.127</v>
      </c>
      <c r="H25" s="6">
        <f>Table1[[#This Row],[Shittes5]]/100*Table1[[#This Row],[Population 2018-19]]</f>
        <v>2403.46</v>
      </c>
      <c r="I25" s="6">
        <f>Table1[[#This Row],[Druze6]]/100*Table1[[#This Row],[Population 2018-19]]</f>
        <v>240.346</v>
      </c>
      <c r="J25" s="6">
        <f>Table1[[#This Row],[Alawites7]]/100*Table1[[#This Row],[Population 2018-19]]</f>
        <v>120.173</v>
      </c>
      <c r="K25" s="6">
        <f>Table1[[#This Row],[Maronite8]]/100*Table1[[#This Row],[Population 2018-19]]</f>
        <v>15862.836000000001</v>
      </c>
      <c r="L25" s="6">
        <f>Table1[[#This Row],[Orthodox9]]/100*Table1[[#This Row],[Population 2018-19]]</f>
        <v>23073.216</v>
      </c>
      <c r="M25" s="6">
        <f>Table1[[#This Row],[Catholics10]]/100*Table1[[#This Row],[Population 2018-19]]</f>
        <v>11776.954</v>
      </c>
      <c r="N25" s="6">
        <f>Table1[[#This Row],[Arm. Orthodox11]]/100*Table1[[#This Row],[Population 2018-19]]</f>
        <v>33768.613000000005</v>
      </c>
      <c r="O25" s="6">
        <f>Table1[[#This Row],[Arm. Cath.12]]/100*Table1[[#This Row],[Population 2018-19]]</f>
        <v>6729.6879999999992</v>
      </c>
      <c r="P25" s="6">
        <f>Table1[[#This Row],[Evangelican13]]/100*Table1[[#This Row],[Population 2018-19]]</f>
        <v>3485.0169999999998</v>
      </c>
      <c r="Q25" s="6">
        <f>Table1[[#This Row],[Other14]]/100*Table1[[#This Row],[Population 2018-19]]</f>
        <v>10815.57</v>
      </c>
      <c r="S25">
        <v>9.9</v>
      </c>
      <c r="T25">
        <v>2</v>
      </c>
      <c r="U25">
        <v>0.2</v>
      </c>
      <c r="V25">
        <v>0.1</v>
      </c>
      <c r="W25">
        <v>13.2</v>
      </c>
      <c r="X25">
        <v>19.2</v>
      </c>
      <c r="Y25">
        <v>9.8000000000000007</v>
      </c>
      <c r="Z25">
        <v>28.1</v>
      </c>
      <c r="AA25">
        <v>5.6</v>
      </c>
      <c r="AB25">
        <v>2.9</v>
      </c>
      <c r="AC25">
        <v>9</v>
      </c>
    </row>
    <row r="26" spans="2:29" x14ac:dyDescent="0.3">
      <c r="B26" t="s">
        <v>6</v>
      </c>
      <c r="C26" t="s">
        <v>67</v>
      </c>
      <c r="D26">
        <v>221527</v>
      </c>
      <c r="E26" t="s">
        <v>69</v>
      </c>
      <c r="F26">
        <v>3</v>
      </c>
      <c r="G26" s="6">
        <f>Table1[[#This Row],[Sunnis4]]/100*Table1[[#This Row],[Population 2018-19]]</f>
        <v>138011.321</v>
      </c>
      <c r="H26" s="6">
        <f>Table1[[#This Row],[Shittes5]]/100*Table1[[#This Row],[Population 2018-19]]</f>
        <v>45856.089</v>
      </c>
      <c r="I26" s="6">
        <f>Table1[[#This Row],[Druze6]]/100*Table1[[#This Row],[Population 2018-19]]</f>
        <v>3544.4320000000002</v>
      </c>
      <c r="J26" s="6">
        <f>Table1[[#This Row],[Alawites7]]/100*Table1[[#This Row],[Population 2018-19]]</f>
        <v>0</v>
      </c>
      <c r="K26" s="6">
        <f>Table1[[#This Row],[Maronite8]]/100*Table1[[#This Row],[Population 2018-19]]</f>
        <v>3987.4860000000003</v>
      </c>
      <c r="L26" s="6">
        <f>Table1[[#This Row],[Orthodox9]]/100*Table1[[#This Row],[Population 2018-19]]</f>
        <v>10854.823</v>
      </c>
      <c r="M26" s="6">
        <f>Table1[[#This Row],[Catholics10]]/100*Table1[[#This Row],[Population 2018-19]]</f>
        <v>3544.4320000000002</v>
      </c>
      <c r="N26" s="6">
        <f>Table1[[#This Row],[Arm. Orthodox11]]/100*Table1[[#This Row],[Population 2018-19]]</f>
        <v>3544.4320000000002</v>
      </c>
      <c r="O26" s="6">
        <f>Table1[[#This Row],[Arm. Cath.12]]/100*Table1[[#This Row],[Population 2018-19]]</f>
        <v>1107.635</v>
      </c>
      <c r="P26" s="6">
        <f>Table1[[#This Row],[Evangelican13]]/100*Table1[[#This Row],[Population 2018-19]]</f>
        <v>1772.2160000000001</v>
      </c>
      <c r="Q26" s="6">
        <f>Table1[[#This Row],[Other14]]/100*Table1[[#This Row],[Population 2018-19]]</f>
        <v>9304.134</v>
      </c>
      <c r="S26">
        <v>62.3</v>
      </c>
      <c r="T26">
        <v>20.7</v>
      </c>
      <c r="U26">
        <v>1.6</v>
      </c>
      <c r="W26">
        <v>1.8</v>
      </c>
      <c r="X26">
        <v>4.9000000000000004</v>
      </c>
      <c r="Y26">
        <v>1.6</v>
      </c>
      <c r="Z26">
        <v>1.6</v>
      </c>
      <c r="AA26">
        <v>0.5</v>
      </c>
      <c r="AB26">
        <v>0.8</v>
      </c>
      <c r="AC26">
        <v>4.2</v>
      </c>
    </row>
    <row r="27" spans="2:29" x14ac:dyDescent="0.3">
      <c r="B27" t="s">
        <v>29</v>
      </c>
      <c r="C27" t="s">
        <v>59</v>
      </c>
      <c r="D27">
        <v>85338</v>
      </c>
      <c r="E27" t="s">
        <v>57</v>
      </c>
      <c r="F27">
        <v>3</v>
      </c>
      <c r="G27" s="6">
        <f>Table1[[#This Row],[Sunnis4]]/100*Table1[[#This Row],[Population 2018-19]]</f>
        <v>68867.766000000003</v>
      </c>
      <c r="H27" s="6">
        <f>Table1[[#This Row],[Shittes5]]/100*Table1[[#This Row],[Population 2018-19]]</f>
        <v>85.338000000000008</v>
      </c>
      <c r="I27" s="6">
        <f>Table1[[#This Row],[Druze6]]/100*Table1[[#This Row],[Population 2018-19]]</f>
        <v>0</v>
      </c>
      <c r="J27" s="6">
        <f>Table1[[#This Row],[Alawites7]]/100*Table1[[#This Row],[Population 2018-19]]</f>
        <v>0</v>
      </c>
      <c r="K27" s="6">
        <f>Table1[[#This Row],[Maronite8]]/100*Table1[[#This Row],[Population 2018-19]]</f>
        <v>8704.4759999999987</v>
      </c>
      <c r="L27" s="6">
        <f>Table1[[#This Row],[Orthodox9]]/100*Table1[[#This Row],[Population 2018-19]]</f>
        <v>6827.04</v>
      </c>
      <c r="M27" s="6">
        <f>Table1[[#This Row],[Catholics10]]/100*Table1[[#This Row],[Population 2018-19]]</f>
        <v>0</v>
      </c>
      <c r="N27" s="6">
        <f>Table1[[#This Row],[Arm. Orthodox11]]/100*Table1[[#This Row],[Population 2018-19]]</f>
        <v>853.38</v>
      </c>
      <c r="O27" s="6">
        <f>Table1[[#This Row],[Arm. Cath.12]]/100*Table1[[#This Row],[Population 2018-19]]</f>
        <v>0</v>
      </c>
      <c r="P27" s="6">
        <f>Table1[[#This Row],[Evangelican13]]/100*Table1[[#This Row],[Population 2018-19]]</f>
        <v>0</v>
      </c>
      <c r="Q27" s="6">
        <f>Table1[[#This Row],[Other14]]/100*Table1[[#This Row],[Population 2018-19]]</f>
        <v>0</v>
      </c>
      <c r="S27">
        <v>80.7</v>
      </c>
      <c r="T27">
        <v>0.1</v>
      </c>
      <c r="W27">
        <v>10.199999999999999</v>
      </c>
      <c r="X27">
        <v>8</v>
      </c>
      <c r="Z27">
        <v>1</v>
      </c>
    </row>
    <row r="28" spans="2:29" x14ac:dyDescent="0.3">
      <c r="B28" t="s">
        <v>29</v>
      </c>
      <c r="C28" t="s">
        <v>60</v>
      </c>
      <c r="D28">
        <v>55462</v>
      </c>
      <c r="E28" t="s">
        <v>57</v>
      </c>
      <c r="F28">
        <v>3</v>
      </c>
      <c r="G28" s="6">
        <f>Table1[[#This Row],[Sunnis4]]/100*Table1[[#This Row],[Population 2018-19]]</f>
        <v>50082.186000000002</v>
      </c>
      <c r="H28" s="6">
        <f>Table1[[#This Row],[Shittes5]]/100*Table1[[#This Row],[Population 2018-19]]</f>
        <v>0</v>
      </c>
      <c r="I28" s="6">
        <f>Table1[[#This Row],[Druze6]]/100*Table1[[#This Row],[Population 2018-19]]</f>
        <v>0</v>
      </c>
      <c r="J28" s="6">
        <f>Table1[[#This Row],[Alawites7]]/100*Table1[[#This Row],[Population 2018-19]]</f>
        <v>0</v>
      </c>
      <c r="K28" s="6">
        <f>Table1[[#This Row],[Maronite8]]/100*Table1[[#This Row],[Population 2018-19]]</f>
        <v>443.69600000000003</v>
      </c>
      <c r="L28" s="6">
        <f>Table1[[#This Row],[Orthodox9]]/100*Table1[[#This Row],[Population 2018-19]]</f>
        <v>4104.188000000001</v>
      </c>
      <c r="M28" s="6">
        <f>Table1[[#This Row],[Catholics10]]/100*Table1[[#This Row],[Population 2018-19]]</f>
        <v>0</v>
      </c>
      <c r="N28" s="6">
        <f>Table1[[#This Row],[Arm. Orthodox11]]/100*Table1[[#This Row],[Population 2018-19]]</f>
        <v>831.93</v>
      </c>
      <c r="O28" s="6">
        <f>Table1[[#This Row],[Arm. Cath.12]]/100*Table1[[#This Row],[Population 2018-19]]</f>
        <v>0</v>
      </c>
      <c r="P28" s="6">
        <f>Table1[[#This Row],[Evangelican13]]/100*Table1[[#This Row],[Population 2018-19]]</f>
        <v>0</v>
      </c>
      <c r="Q28" s="6">
        <f>Table1[[#This Row],[Other14]]/100*Table1[[#This Row],[Population 2018-19]]</f>
        <v>0</v>
      </c>
      <c r="S28">
        <v>90.3</v>
      </c>
      <c r="W28">
        <v>0.8</v>
      </c>
      <c r="X28">
        <v>7.4</v>
      </c>
      <c r="Z28">
        <v>1.5</v>
      </c>
    </row>
    <row r="29" spans="2:29" x14ac:dyDescent="0.3">
      <c r="B29" t="s">
        <v>33</v>
      </c>
      <c r="C29" t="s">
        <v>76</v>
      </c>
      <c r="D29">
        <v>224395</v>
      </c>
      <c r="E29" t="s">
        <v>75</v>
      </c>
      <c r="F29">
        <v>3</v>
      </c>
      <c r="G29" s="6">
        <f>Table1[[#This Row],[Sunnis4]]/100*Table1[[#This Row],[Population 2018-19]]</f>
        <v>6731.8499999999995</v>
      </c>
      <c r="H29" s="6">
        <f>Table1[[#This Row],[Shittes5]]/100*Table1[[#This Row],[Population 2018-19]]</f>
        <v>166052.29999999999</v>
      </c>
      <c r="I29" s="6">
        <f>Table1[[#This Row],[Druze6]]/100*Table1[[#This Row],[Population 2018-19]]</f>
        <v>224.39500000000001</v>
      </c>
      <c r="J29" s="6">
        <f>Table1[[#This Row],[Alawites7]]/100*Table1[[#This Row],[Population 2018-19]]</f>
        <v>0</v>
      </c>
      <c r="K29" s="6">
        <f>Table1[[#This Row],[Maronite8]]/100*Table1[[#This Row],[Population 2018-19]]</f>
        <v>21766.314999999999</v>
      </c>
      <c r="L29" s="6">
        <f>Table1[[#This Row],[Orthodox9]]/100*Table1[[#This Row],[Population 2018-19]]</f>
        <v>448.79</v>
      </c>
      <c r="M29" s="6">
        <f>Table1[[#This Row],[Catholics10]]/100*Table1[[#This Row],[Population 2018-19]]</f>
        <v>26478.61</v>
      </c>
      <c r="N29" s="6">
        <f>Table1[[#This Row],[Arm. Orthodox11]]/100*Table1[[#This Row],[Population 2018-19]]</f>
        <v>1346.3700000000001</v>
      </c>
      <c r="O29" s="6">
        <f>Table1[[#This Row],[Arm. Cath.12]]/100*Table1[[#This Row],[Population 2018-19]]</f>
        <v>0</v>
      </c>
      <c r="P29" s="6">
        <f>Table1[[#This Row],[Evangelican13]]/100*Table1[[#This Row],[Population 2018-19]]</f>
        <v>1121.9750000000001</v>
      </c>
      <c r="Q29" s="6">
        <f>Table1[[#This Row],[Other14]]/100*Table1[[#This Row],[Population 2018-19]]</f>
        <v>224.39500000000001</v>
      </c>
      <c r="S29">
        <v>3</v>
      </c>
      <c r="T29">
        <v>74</v>
      </c>
      <c r="U29">
        <v>0.1</v>
      </c>
      <c r="W29">
        <v>9.6999999999999993</v>
      </c>
      <c r="X29">
        <v>0.2</v>
      </c>
      <c r="Y29">
        <v>11.8</v>
      </c>
      <c r="Z29">
        <v>0.6</v>
      </c>
      <c r="AB29">
        <v>0.5</v>
      </c>
      <c r="AC29">
        <v>0.1</v>
      </c>
    </row>
    <row r="30" spans="2:29" x14ac:dyDescent="0.3">
      <c r="B30" t="s">
        <v>33</v>
      </c>
      <c r="C30" t="s">
        <v>30</v>
      </c>
      <c r="D30">
        <v>72205</v>
      </c>
      <c r="E30" t="s">
        <v>73</v>
      </c>
      <c r="F30">
        <v>3</v>
      </c>
      <c r="G30" s="6">
        <f>Table1[[#This Row],[Sunnis4]]/100*Table1[[#This Row],[Population 2018-19]]</f>
        <v>60796.610000000008</v>
      </c>
      <c r="H30" s="6">
        <f>Table1[[#This Row],[Shittes5]]/100*Table1[[#This Row],[Population 2018-19]]</f>
        <v>6570.6549999999997</v>
      </c>
      <c r="I30" s="6">
        <f>Table1[[#This Row],[Druze6]]/100*Table1[[#This Row],[Population 2018-19]]</f>
        <v>0</v>
      </c>
      <c r="J30" s="6">
        <f>Table1[[#This Row],[Alawites7]]/100*Table1[[#This Row],[Population 2018-19]]</f>
        <v>0</v>
      </c>
      <c r="K30" s="6">
        <f>Table1[[#This Row],[Maronite8]]/100*Table1[[#This Row],[Population 2018-19]]</f>
        <v>1444.1000000000001</v>
      </c>
      <c r="L30" s="6">
        <f>Table1[[#This Row],[Orthodox9]]/100*Table1[[#This Row],[Population 2018-19]]</f>
        <v>216.61500000000001</v>
      </c>
      <c r="M30" s="6">
        <f>Table1[[#This Row],[Catholics10]]/100*Table1[[#This Row],[Population 2018-19]]</f>
        <v>2021.7399999999998</v>
      </c>
      <c r="N30" s="6">
        <f>Table1[[#This Row],[Arm. Orthodox11]]/100*Table1[[#This Row],[Population 2018-19]]</f>
        <v>794.25500000000011</v>
      </c>
      <c r="O30" s="6">
        <f>Table1[[#This Row],[Arm. Cath.12]]/100*Table1[[#This Row],[Population 2018-19]]</f>
        <v>0</v>
      </c>
      <c r="P30" s="6">
        <f>Table1[[#This Row],[Evangelican13]]/100*Table1[[#This Row],[Population 2018-19]]</f>
        <v>144.41</v>
      </c>
      <c r="Q30" s="6">
        <f>Table1[[#This Row],[Other14]]/100*Table1[[#This Row],[Population 2018-19]]</f>
        <v>216.61500000000001</v>
      </c>
      <c r="S30">
        <v>84.2</v>
      </c>
      <c r="T30">
        <v>9.1</v>
      </c>
      <c r="W30">
        <v>2</v>
      </c>
      <c r="X30">
        <v>0.3</v>
      </c>
      <c r="Y30">
        <v>2.8</v>
      </c>
      <c r="Z30">
        <v>1.1000000000000001</v>
      </c>
      <c r="AB30">
        <v>0.2</v>
      </c>
      <c r="AC30">
        <v>0.3</v>
      </c>
    </row>
    <row r="31" spans="2:29" x14ac:dyDescent="0.3">
      <c r="B31" t="s">
        <v>40</v>
      </c>
      <c r="D31">
        <f>SUM(D2:D30)</f>
        <v>4842400</v>
      </c>
    </row>
    <row r="33" spans="2:7" x14ac:dyDescent="0.3">
      <c r="B33" t="s">
        <v>34</v>
      </c>
      <c r="C33" t="s">
        <v>99</v>
      </c>
    </row>
    <row r="34" spans="2:7" x14ac:dyDescent="0.3">
      <c r="B34" t="s">
        <v>93</v>
      </c>
    </row>
    <row r="36" spans="2:7" x14ac:dyDescent="0.3">
      <c r="B36" s="5" t="s">
        <v>102</v>
      </c>
    </row>
    <row r="37" spans="2:7" x14ac:dyDescent="0.3">
      <c r="B37" s="1" t="s">
        <v>94</v>
      </c>
      <c r="D37" t="s">
        <v>97</v>
      </c>
      <c r="F37" t="s">
        <v>98</v>
      </c>
    </row>
    <row r="38" spans="2:7" x14ac:dyDescent="0.3">
      <c r="D38">
        <f>D39+D40</f>
        <v>380958</v>
      </c>
      <c r="F38" s="2">
        <v>341700</v>
      </c>
    </row>
    <row r="39" spans="2:7" x14ac:dyDescent="0.3">
      <c r="B39" t="s">
        <v>96</v>
      </c>
      <c r="C39" t="s">
        <v>66</v>
      </c>
      <c r="D39">
        <v>133980</v>
      </c>
      <c r="E39">
        <f>D39/D38</f>
        <v>0.35169231253839006</v>
      </c>
      <c r="F39">
        <f>E39*F38</f>
        <v>120173.26319436789</v>
      </c>
      <c r="G39" s="1">
        <v>120173</v>
      </c>
    </row>
    <row r="40" spans="2:7" x14ac:dyDescent="0.3">
      <c r="B40" t="s">
        <v>95</v>
      </c>
      <c r="C40" t="s">
        <v>67</v>
      </c>
      <c r="D40">
        <v>246978</v>
      </c>
      <c r="E40">
        <f>D40/D38</f>
        <v>0.64830768746160994</v>
      </c>
      <c r="F40">
        <f>E40*F38</f>
        <v>221526.73680563213</v>
      </c>
      <c r="G40" s="1">
        <v>221527</v>
      </c>
    </row>
    <row r="43" spans="2:7" x14ac:dyDescent="0.3">
      <c r="B43" s="1" t="s">
        <v>100</v>
      </c>
      <c r="D43" t="s">
        <v>97</v>
      </c>
      <c r="F43" t="s">
        <v>98</v>
      </c>
    </row>
    <row r="44" spans="2:7" x14ac:dyDescent="0.3">
      <c r="D44">
        <f>D45+D46</f>
        <v>112761</v>
      </c>
      <c r="F44" s="2">
        <v>140800</v>
      </c>
    </row>
    <row r="45" spans="2:7" x14ac:dyDescent="0.3">
      <c r="B45" s="2" t="s">
        <v>57</v>
      </c>
      <c r="C45" s="2" t="s">
        <v>60</v>
      </c>
      <c r="D45">
        <v>44417</v>
      </c>
      <c r="E45">
        <f>D45/D44</f>
        <v>0.39390392068179603</v>
      </c>
      <c r="F45">
        <f>E45*F44</f>
        <v>55461.672031996881</v>
      </c>
      <c r="G45" s="1">
        <v>55462</v>
      </c>
    </row>
    <row r="46" spans="2:7" x14ac:dyDescent="0.3">
      <c r="B46" s="2" t="s">
        <v>57</v>
      </c>
      <c r="C46" s="2" t="s">
        <v>59</v>
      </c>
      <c r="D46">
        <v>68344</v>
      </c>
      <c r="E46">
        <f>D46/D44</f>
        <v>0.60609607931820397</v>
      </c>
      <c r="F46">
        <f>E46*F44</f>
        <v>85338.327968003126</v>
      </c>
      <c r="G46" s="1">
        <v>85338</v>
      </c>
    </row>
    <row r="49" spans="2:7" x14ac:dyDescent="0.3">
      <c r="B49" s="1" t="s">
        <v>101</v>
      </c>
      <c r="D49" t="s">
        <v>97</v>
      </c>
      <c r="F49" t="s">
        <v>98</v>
      </c>
    </row>
    <row r="50" spans="2:7" x14ac:dyDescent="0.3">
      <c r="D50">
        <f>D51+D52</f>
        <v>251547</v>
      </c>
      <c r="F50" s="3">
        <v>296600</v>
      </c>
    </row>
    <row r="51" spans="2:7" x14ac:dyDescent="0.3">
      <c r="B51" s="3" t="s">
        <v>73</v>
      </c>
      <c r="C51" s="3" t="s">
        <v>30</v>
      </c>
      <c r="D51">
        <v>61237</v>
      </c>
      <c r="E51">
        <f>D51/D50</f>
        <v>0.24344158348141698</v>
      </c>
      <c r="F51">
        <f>E51*F50</f>
        <v>72204.773660588282</v>
      </c>
      <c r="G51" s="1">
        <v>72205</v>
      </c>
    </row>
    <row r="52" spans="2:7" x14ac:dyDescent="0.3">
      <c r="B52" s="2" t="s">
        <v>75</v>
      </c>
      <c r="C52" s="2" t="s">
        <v>76</v>
      </c>
      <c r="D52">
        <v>190310</v>
      </c>
      <c r="E52">
        <f>D52/D50</f>
        <v>0.75655841651858302</v>
      </c>
      <c r="F52">
        <f>E52*F50</f>
        <v>224395.22633941172</v>
      </c>
      <c r="G52" s="1">
        <v>224395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3BB68-3DB5-401B-9C1F-A2950D8E390D}">
  <dimension ref="B2:Q43"/>
  <sheetViews>
    <sheetView workbookViewId="0">
      <selection activeCell="D31" sqref="B3:Q31"/>
    </sheetView>
  </sheetViews>
  <sheetFormatPr defaultRowHeight="14.4" x14ac:dyDescent="0.3"/>
  <cols>
    <col min="2" max="3" width="7" customWidth="1"/>
    <col min="4" max="5" width="16.109375" customWidth="1"/>
    <col min="6" max="17" width="11.109375" customWidth="1"/>
  </cols>
  <sheetData>
    <row r="2" spans="2:17" x14ac:dyDescent="0.3">
      <c r="B2" t="s">
        <v>43</v>
      </c>
      <c r="C2" t="s">
        <v>103</v>
      </c>
      <c r="D2" t="s">
        <v>1</v>
      </c>
      <c r="E2" t="s">
        <v>0</v>
      </c>
      <c r="F2" t="s">
        <v>35</v>
      </c>
      <c r="G2" t="s">
        <v>37</v>
      </c>
      <c r="H2" t="s">
        <v>36</v>
      </c>
      <c r="I2" t="s">
        <v>38</v>
      </c>
      <c r="J2" t="s">
        <v>39</v>
      </c>
      <c r="K2" t="s">
        <v>41</v>
      </c>
      <c r="L2" t="s">
        <v>48</v>
      </c>
      <c r="M2" t="s">
        <v>47</v>
      </c>
      <c r="N2" t="s">
        <v>79</v>
      </c>
      <c r="O2" t="s">
        <v>52</v>
      </c>
      <c r="P2" t="s">
        <v>50</v>
      </c>
      <c r="Q2" t="s">
        <v>42</v>
      </c>
    </row>
    <row r="3" spans="2:17" x14ac:dyDescent="0.3">
      <c r="B3" t="s">
        <v>61</v>
      </c>
      <c r="C3">
        <v>1</v>
      </c>
      <c r="D3" t="s">
        <v>2</v>
      </c>
      <c r="E3" t="s">
        <v>2</v>
      </c>
      <c r="F3" s="6">
        <v>324000</v>
      </c>
      <c r="G3" s="6">
        <v>219348</v>
      </c>
      <c r="H3" s="6">
        <v>3564</v>
      </c>
      <c r="I3" s="6">
        <v>0</v>
      </c>
      <c r="J3" s="6">
        <v>16200</v>
      </c>
      <c r="K3" s="6">
        <v>34992</v>
      </c>
      <c r="L3" s="6">
        <v>46980</v>
      </c>
      <c r="M3" s="6">
        <v>1944</v>
      </c>
      <c r="N3" s="6">
        <v>0</v>
      </c>
      <c r="O3" s="6">
        <v>0</v>
      </c>
      <c r="P3" s="6">
        <v>972</v>
      </c>
      <c r="Q3" s="6">
        <v>0</v>
      </c>
    </row>
    <row r="4" spans="2:17" x14ac:dyDescent="0.3">
      <c r="B4" t="s">
        <v>62</v>
      </c>
      <c r="C4">
        <v>2</v>
      </c>
      <c r="D4" t="s">
        <v>5</v>
      </c>
      <c r="E4" t="s">
        <v>3</v>
      </c>
      <c r="F4" s="6">
        <v>214600</v>
      </c>
      <c r="G4" s="6">
        <v>28542</v>
      </c>
      <c r="H4" s="6">
        <v>157302</v>
      </c>
      <c r="I4" s="6">
        <v>0</v>
      </c>
      <c r="J4" s="6">
        <v>0</v>
      </c>
      <c r="K4" s="6">
        <v>15666</v>
      </c>
      <c r="L4" s="6">
        <v>1502</v>
      </c>
      <c r="M4" s="6">
        <v>11374</v>
      </c>
      <c r="N4" s="6">
        <v>0</v>
      </c>
      <c r="O4" s="6">
        <v>0</v>
      </c>
      <c r="P4" s="6">
        <v>0</v>
      </c>
      <c r="Q4" s="6">
        <v>215</v>
      </c>
    </row>
    <row r="5" spans="2:17" x14ac:dyDescent="0.3">
      <c r="B5" t="s">
        <v>63</v>
      </c>
      <c r="C5">
        <v>2</v>
      </c>
      <c r="D5" t="s">
        <v>5</v>
      </c>
      <c r="E5" t="s">
        <v>4</v>
      </c>
      <c r="F5" s="6">
        <v>30500</v>
      </c>
      <c r="G5" s="6">
        <v>4057</v>
      </c>
      <c r="H5" s="6">
        <v>22357</v>
      </c>
      <c r="I5" s="6">
        <v>0</v>
      </c>
      <c r="J5" s="6">
        <v>0</v>
      </c>
      <c r="K5" s="6">
        <v>2227</v>
      </c>
      <c r="L5" s="6">
        <v>214</v>
      </c>
      <c r="M5" s="6">
        <v>1617</v>
      </c>
      <c r="N5" s="6">
        <v>0</v>
      </c>
      <c r="O5" s="6">
        <v>0</v>
      </c>
      <c r="P5" s="6">
        <v>0</v>
      </c>
      <c r="Q5" s="6">
        <v>31</v>
      </c>
    </row>
    <row r="6" spans="2:17" x14ac:dyDescent="0.3">
      <c r="B6" t="s">
        <v>68</v>
      </c>
      <c r="C6">
        <v>3</v>
      </c>
      <c r="D6" t="s">
        <v>6</v>
      </c>
      <c r="E6" t="s">
        <v>66</v>
      </c>
      <c r="F6" s="6">
        <v>120173</v>
      </c>
      <c r="G6" s="6">
        <v>11897</v>
      </c>
      <c r="H6" s="6">
        <v>2403</v>
      </c>
      <c r="I6" s="6">
        <v>240</v>
      </c>
      <c r="J6" s="6">
        <v>120</v>
      </c>
      <c r="K6" s="6">
        <v>15863</v>
      </c>
      <c r="L6" s="6">
        <v>23073</v>
      </c>
      <c r="M6" s="6">
        <v>11777</v>
      </c>
      <c r="N6" s="6">
        <v>33769</v>
      </c>
      <c r="O6" s="6">
        <v>6730</v>
      </c>
      <c r="P6" s="6">
        <v>3485</v>
      </c>
      <c r="Q6" s="6">
        <v>10816</v>
      </c>
    </row>
    <row r="7" spans="2:17" x14ac:dyDescent="0.3">
      <c r="B7" t="s">
        <v>69</v>
      </c>
      <c r="C7">
        <v>3</v>
      </c>
      <c r="D7" t="s">
        <v>6</v>
      </c>
      <c r="E7" t="s">
        <v>67</v>
      </c>
      <c r="F7" s="6">
        <v>221527</v>
      </c>
      <c r="G7" s="6">
        <v>138011</v>
      </c>
      <c r="H7" s="6">
        <v>45856</v>
      </c>
      <c r="I7" s="6">
        <v>3544</v>
      </c>
      <c r="J7" s="6">
        <v>0</v>
      </c>
      <c r="K7" s="6">
        <v>3987</v>
      </c>
      <c r="L7" s="6">
        <v>10855</v>
      </c>
      <c r="M7" s="6">
        <v>3544</v>
      </c>
      <c r="N7" s="6">
        <v>3544</v>
      </c>
      <c r="O7" s="6">
        <v>1108</v>
      </c>
      <c r="P7" s="6">
        <v>1772</v>
      </c>
      <c r="Q7" s="6">
        <v>9304</v>
      </c>
    </row>
    <row r="8" spans="2:17" x14ac:dyDescent="0.3">
      <c r="B8" t="s">
        <v>71</v>
      </c>
      <c r="C8">
        <v>2</v>
      </c>
      <c r="D8" t="s">
        <v>10</v>
      </c>
      <c r="E8" t="s">
        <v>7</v>
      </c>
      <c r="F8" s="6">
        <v>33800</v>
      </c>
      <c r="G8" s="6">
        <v>16461</v>
      </c>
      <c r="H8" s="6">
        <v>4969</v>
      </c>
      <c r="I8" s="6">
        <v>4969</v>
      </c>
      <c r="J8" s="6">
        <v>0</v>
      </c>
      <c r="K8" s="6">
        <v>2400</v>
      </c>
      <c r="L8" s="6">
        <v>2366</v>
      </c>
      <c r="M8" s="6">
        <v>2467</v>
      </c>
      <c r="N8" s="6">
        <v>0</v>
      </c>
      <c r="O8" s="6">
        <v>0</v>
      </c>
      <c r="P8" s="6">
        <v>101</v>
      </c>
      <c r="Q8" s="6">
        <v>68</v>
      </c>
    </row>
    <row r="9" spans="2:17" x14ac:dyDescent="0.3">
      <c r="B9" t="s">
        <v>72</v>
      </c>
      <c r="C9">
        <v>2</v>
      </c>
      <c r="D9" t="s">
        <v>10</v>
      </c>
      <c r="E9" t="s">
        <v>8</v>
      </c>
      <c r="F9" s="6">
        <v>86400</v>
      </c>
      <c r="G9" s="6">
        <v>42077</v>
      </c>
      <c r="H9" s="6">
        <v>12701</v>
      </c>
      <c r="I9" s="6">
        <v>12701</v>
      </c>
      <c r="J9" s="6">
        <v>0</v>
      </c>
      <c r="K9" s="6">
        <v>6134</v>
      </c>
      <c r="L9" s="6">
        <v>6048</v>
      </c>
      <c r="M9" s="6">
        <v>6307</v>
      </c>
      <c r="N9" s="6">
        <v>0</v>
      </c>
      <c r="O9" s="6">
        <v>0</v>
      </c>
      <c r="P9" s="6">
        <v>259</v>
      </c>
      <c r="Q9" s="6">
        <v>173</v>
      </c>
    </row>
    <row r="10" spans="2:17" x14ac:dyDescent="0.3">
      <c r="B10" t="s">
        <v>70</v>
      </c>
      <c r="C10">
        <v>1</v>
      </c>
      <c r="D10" t="s">
        <v>10</v>
      </c>
      <c r="E10" t="s">
        <v>9</v>
      </c>
      <c r="F10" s="6">
        <v>177400</v>
      </c>
      <c r="G10" s="6">
        <v>50736</v>
      </c>
      <c r="H10" s="6">
        <v>28384</v>
      </c>
      <c r="I10" s="6">
        <v>887</v>
      </c>
      <c r="J10" s="6">
        <v>0</v>
      </c>
      <c r="K10" s="6">
        <v>27674</v>
      </c>
      <c r="L10" s="6">
        <v>16853</v>
      </c>
      <c r="M10" s="6">
        <v>32996</v>
      </c>
      <c r="N10" s="6">
        <v>8693</v>
      </c>
      <c r="O10" s="6">
        <v>1951</v>
      </c>
      <c r="P10" s="6">
        <v>1419</v>
      </c>
      <c r="Q10" s="6">
        <v>7806</v>
      </c>
    </row>
    <row r="11" spans="2:17" x14ac:dyDescent="0.3">
      <c r="B11" t="s">
        <v>44</v>
      </c>
      <c r="C11">
        <v>1</v>
      </c>
      <c r="D11" t="s">
        <v>13</v>
      </c>
      <c r="E11" t="s">
        <v>11</v>
      </c>
      <c r="F11" s="6">
        <v>129500</v>
      </c>
      <c r="G11" s="6">
        <v>3367</v>
      </c>
      <c r="H11" s="6">
        <v>27454</v>
      </c>
      <c r="I11" s="6">
        <v>0</v>
      </c>
      <c r="J11" s="6">
        <v>0</v>
      </c>
      <c r="K11" s="6">
        <v>92593</v>
      </c>
      <c r="L11" s="6">
        <v>4015</v>
      </c>
      <c r="M11" s="6">
        <v>518</v>
      </c>
      <c r="N11" s="6">
        <v>1036</v>
      </c>
      <c r="O11" s="6">
        <v>130</v>
      </c>
      <c r="P11" s="6">
        <v>130</v>
      </c>
      <c r="Q11" s="6">
        <v>259</v>
      </c>
    </row>
    <row r="12" spans="2:17" x14ac:dyDescent="0.3">
      <c r="B12" t="s">
        <v>44</v>
      </c>
      <c r="C12">
        <v>1</v>
      </c>
      <c r="D12" t="s">
        <v>13</v>
      </c>
      <c r="E12" t="s">
        <v>12</v>
      </c>
      <c r="F12" s="6">
        <v>260500</v>
      </c>
      <c r="G12" s="6">
        <v>782</v>
      </c>
      <c r="H12" s="6">
        <v>4689</v>
      </c>
      <c r="I12" s="6">
        <v>0</v>
      </c>
      <c r="J12" s="6">
        <v>0</v>
      </c>
      <c r="K12" s="6">
        <v>239921</v>
      </c>
      <c r="L12" s="6">
        <v>2345</v>
      </c>
      <c r="M12" s="6">
        <v>5471</v>
      </c>
      <c r="N12" s="6">
        <v>1824</v>
      </c>
      <c r="O12" s="6">
        <v>1824</v>
      </c>
      <c r="P12" s="6">
        <v>261</v>
      </c>
      <c r="Q12" s="6">
        <v>3387</v>
      </c>
    </row>
    <row r="13" spans="2:17" x14ac:dyDescent="0.3">
      <c r="B13" t="s">
        <v>46</v>
      </c>
      <c r="C13">
        <v>1</v>
      </c>
      <c r="D13" t="s">
        <v>15</v>
      </c>
      <c r="E13" t="s">
        <v>14</v>
      </c>
      <c r="F13" s="6">
        <v>300800</v>
      </c>
      <c r="G13" s="6">
        <v>3910</v>
      </c>
      <c r="H13" s="6">
        <v>9926</v>
      </c>
      <c r="I13" s="6">
        <v>164237</v>
      </c>
      <c r="J13" s="6">
        <v>0</v>
      </c>
      <c r="K13" s="6">
        <v>70688</v>
      </c>
      <c r="L13" s="6">
        <v>37901</v>
      </c>
      <c r="M13" s="6">
        <v>9024</v>
      </c>
      <c r="N13" s="6">
        <v>1504</v>
      </c>
      <c r="O13" s="6">
        <v>301</v>
      </c>
      <c r="P13" s="6">
        <v>2106</v>
      </c>
      <c r="Q13" s="6">
        <v>1203</v>
      </c>
    </row>
    <row r="14" spans="2:17" x14ac:dyDescent="0.3">
      <c r="B14" t="s">
        <v>51</v>
      </c>
      <c r="C14">
        <v>1</v>
      </c>
      <c r="D14" t="s">
        <v>15</v>
      </c>
      <c r="E14" t="s">
        <v>16</v>
      </c>
      <c r="F14" s="6">
        <v>553800</v>
      </c>
      <c r="G14" s="6">
        <v>33782</v>
      </c>
      <c r="H14" s="6">
        <v>139558</v>
      </c>
      <c r="I14" s="6">
        <v>96361</v>
      </c>
      <c r="J14" s="6">
        <v>0</v>
      </c>
      <c r="K14" s="6">
        <v>201029</v>
      </c>
      <c r="L14" s="6">
        <v>41535</v>
      </c>
      <c r="M14" s="6">
        <v>24921</v>
      </c>
      <c r="N14" s="6">
        <v>4984</v>
      </c>
      <c r="O14" s="6">
        <v>2215</v>
      </c>
      <c r="P14" s="6">
        <v>1661</v>
      </c>
      <c r="Q14" s="6">
        <v>7753</v>
      </c>
    </row>
    <row r="15" spans="2:17" x14ac:dyDescent="0.3">
      <c r="B15" t="s">
        <v>53</v>
      </c>
      <c r="C15">
        <v>1</v>
      </c>
      <c r="D15" t="s">
        <v>15</v>
      </c>
      <c r="E15" t="s">
        <v>17</v>
      </c>
      <c r="F15" s="6">
        <v>277000</v>
      </c>
      <c r="G15" s="6">
        <v>82269</v>
      </c>
      <c r="H15" s="6">
        <v>6094</v>
      </c>
      <c r="I15" s="6">
        <v>87532</v>
      </c>
      <c r="J15" s="6">
        <v>0</v>
      </c>
      <c r="K15" s="6">
        <v>80053</v>
      </c>
      <c r="L15" s="6">
        <v>1108</v>
      </c>
      <c r="M15" s="6">
        <v>18005</v>
      </c>
      <c r="N15" s="6">
        <v>831</v>
      </c>
      <c r="O15" s="6">
        <v>0</v>
      </c>
      <c r="P15" s="6">
        <v>831</v>
      </c>
      <c r="Q15" s="6">
        <v>277</v>
      </c>
    </row>
    <row r="16" spans="2:17" x14ac:dyDescent="0.3">
      <c r="B16" t="s">
        <v>54</v>
      </c>
      <c r="C16">
        <v>1</v>
      </c>
      <c r="D16" t="s">
        <v>15</v>
      </c>
      <c r="E16" t="s">
        <v>18</v>
      </c>
      <c r="F16" s="6">
        <v>511000</v>
      </c>
      <c r="G16" s="6">
        <v>10220</v>
      </c>
      <c r="H16" s="6">
        <v>14819</v>
      </c>
      <c r="I16" s="6">
        <v>7154</v>
      </c>
      <c r="J16" s="6">
        <v>511</v>
      </c>
      <c r="K16" s="6">
        <v>229950</v>
      </c>
      <c r="L16" s="6">
        <v>74606</v>
      </c>
      <c r="M16" s="6">
        <v>50589</v>
      </c>
      <c r="N16" s="6">
        <v>72051</v>
      </c>
      <c r="O16" s="6">
        <v>19418</v>
      </c>
      <c r="P16" s="6">
        <v>8176</v>
      </c>
      <c r="Q16" s="6">
        <v>23506</v>
      </c>
    </row>
    <row r="17" spans="2:17" x14ac:dyDescent="0.3">
      <c r="B17" t="s">
        <v>55</v>
      </c>
      <c r="C17">
        <v>1</v>
      </c>
      <c r="D17" t="s">
        <v>22</v>
      </c>
      <c r="E17" t="s">
        <v>19</v>
      </c>
      <c r="F17" s="6">
        <v>96200</v>
      </c>
      <c r="G17" s="6">
        <v>96</v>
      </c>
      <c r="H17" s="6">
        <v>85137</v>
      </c>
      <c r="I17" s="6">
        <v>0</v>
      </c>
      <c r="J17" s="6">
        <v>0</v>
      </c>
      <c r="K17" s="6">
        <v>8369</v>
      </c>
      <c r="L17" s="6">
        <v>0</v>
      </c>
      <c r="M17" s="6">
        <v>2116</v>
      </c>
      <c r="N17" s="6">
        <v>385</v>
      </c>
      <c r="O17" s="6">
        <v>0</v>
      </c>
      <c r="P17" s="6">
        <v>0</v>
      </c>
      <c r="Q17" s="6">
        <v>96</v>
      </c>
    </row>
    <row r="18" spans="2:17" x14ac:dyDescent="0.3">
      <c r="B18" t="s">
        <v>55</v>
      </c>
      <c r="C18">
        <v>2</v>
      </c>
      <c r="D18" t="s">
        <v>22</v>
      </c>
      <c r="E18" t="s">
        <v>20</v>
      </c>
      <c r="F18" s="6">
        <v>28700</v>
      </c>
      <c r="G18" s="6">
        <v>4936</v>
      </c>
      <c r="H18" s="6">
        <v>16646</v>
      </c>
      <c r="I18" s="6">
        <v>2956</v>
      </c>
      <c r="J18" s="6">
        <v>0</v>
      </c>
      <c r="K18" s="6">
        <v>1205</v>
      </c>
      <c r="L18" s="6">
        <v>1923</v>
      </c>
      <c r="M18" s="6">
        <v>660</v>
      </c>
      <c r="N18" s="6">
        <v>115</v>
      </c>
      <c r="O18" s="6">
        <v>0</v>
      </c>
      <c r="P18" s="6">
        <v>230</v>
      </c>
      <c r="Q18" s="6">
        <v>29</v>
      </c>
    </row>
    <row r="19" spans="2:17" x14ac:dyDescent="0.3">
      <c r="B19" t="s">
        <v>56</v>
      </c>
      <c r="C19">
        <v>2</v>
      </c>
      <c r="D19" t="s">
        <v>22</v>
      </c>
      <c r="E19" t="s">
        <v>21</v>
      </c>
      <c r="F19" s="6">
        <v>74000</v>
      </c>
      <c r="G19" s="6">
        <v>12728</v>
      </c>
      <c r="H19" s="6">
        <v>42920</v>
      </c>
      <c r="I19" s="6">
        <v>7622</v>
      </c>
      <c r="J19" s="6">
        <v>0</v>
      </c>
      <c r="K19" s="6">
        <v>3108</v>
      </c>
      <c r="L19" s="6">
        <v>4958</v>
      </c>
      <c r="M19" s="6">
        <v>1702</v>
      </c>
      <c r="N19" s="6">
        <v>296</v>
      </c>
      <c r="O19" s="6">
        <v>0</v>
      </c>
      <c r="P19" s="6">
        <v>592</v>
      </c>
      <c r="Q19" s="6">
        <v>74</v>
      </c>
    </row>
    <row r="20" spans="2:17" x14ac:dyDescent="0.3">
      <c r="B20" t="s">
        <v>55</v>
      </c>
      <c r="C20">
        <v>1</v>
      </c>
      <c r="D20" t="s">
        <v>22</v>
      </c>
      <c r="E20" t="s">
        <v>22</v>
      </c>
      <c r="F20" s="6">
        <v>180200</v>
      </c>
      <c r="G20" s="6">
        <v>1261</v>
      </c>
      <c r="H20" s="6">
        <v>171731</v>
      </c>
      <c r="I20" s="6">
        <v>0</v>
      </c>
      <c r="J20" s="6">
        <v>0</v>
      </c>
      <c r="K20" s="6">
        <v>5046</v>
      </c>
      <c r="L20" s="6">
        <v>0</v>
      </c>
      <c r="M20" s="6">
        <v>1261</v>
      </c>
      <c r="N20" s="6">
        <v>721</v>
      </c>
      <c r="O20" s="6">
        <v>0</v>
      </c>
      <c r="P20" s="6">
        <v>0</v>
      </c>
      <c r="Q20" s="6">
        <v>180</v>
      </c>
    </row>
    <row r="21" spans="2:17" x14ac:dyDescent="0.3">
      <c r="B21" t="s">
        <v>78</v>
      </c>
      <c r="C21">
        <v>2</v>
      </c>
      <c r="D21" t="s">
        <v>29</v>
      </c>
      <c r="E21" t="s">
        <v>23</v>
      </c>
      <c r="F21" s="6">
        <v>58900</v>
      </c>
      <c r="G21" s="6">
        <v>5242</v>
      </c>
      <c r="H21" s="6">
        <v>530</v>
      </c>
      <c r="I21" s="6">
        <v>0</v>
      </c>
      <c r="J21" s="6">
        <v>118</v>
      </c>
      <c r="K21" s="6">
        <v>39993</v>
      </c>
      <c r="L21" s="6">
        <v>12133</v>
      </c>
      <c r="M21" s="6">
        <v>412</v>
      </c>
      <c r="N21" s="6">
        <v>118</v>
      </c>
      <c r="O21" s="6">
        <v>59</v>
      </c>
      <c r="P21" s="6">
        <v>0</v>
      </c>
      <c r="Q21" s="6">
        <v>295</v>
      </c>
    </row>
    <row r="22" spans="2:17" x14ac:dyDescent="0.3">
      <c r="B22" t="s">
        <v>78</v>
      </c>
      <c r="C22">
        <v>2</v>
      </c>
      <c r="D22" t="s">
        <v>29</v>
      </c>
      <c r="E22" t="s">
        <v>24</v>
      </c>
      <c r="F22" s="6">
        <v>22100</v>
      </c>
      <c r="G22" s="6">
        <v>1967</v>
      </c>
      <c r="H22" s="6">
        <v>199</v>
      </c>
      <c r="I22" s="6">
        <v>0</v>
      </c>
      <c r="J22" s="6">
        <v>44</v>
      </c>
      <c r="K22" s="6">
        <v>15006</v>
      </c>
      <c r="L22" s="6">
        <v>4553</v>
      </c>
      <c r="M22" s="6">
        <v>155</v>
      </c>
      <c r="N22" s="6">
        <v>44</v>
      </c>
      <c r="O22" s="6">
        <v>22</v>
      </c>
      <c r="P22" s="6">
        <v>0</v>
      </c>
      <c r="Q22" s="6">
        <v>111</v>
      </c>
    </row>
    <row r="23" spans="2:17" x14ac:dyDescent="0.3">
      <c r="B23" t="s">
        <v>57</v>
      </c>
      <c r="C23">
        <v>3</v>
      </c>
      <c r="D23" t="s">
        <v>29</v>
      </c>
      <c r="E23" t="s">
        <v>59</v>
      </c>
      <c r="F23" s="6">
        <v>85338</v>
      </c>
      <c r="G23" s="6">
        <v>68868</v>
      </c>
      <c r="H23" s="6">
        <v>85</v>
      </c>
      <c r="I23" s="6">
        <v>0</v>
      </c>
      <c r="J23" s="6">
        <v>0</v>
      </c>
      <c r="K23" s="6">
        <v>8704</v>
      </c>
      <c r="L23" s="6">
        <v>6827</v>
      </c>
      <c r="M23" s="6">
        <v>0</v>
      </c>
      <c r="N23" s="6">
        <v>853</v>
      </c>
      <c r="O23" s="6">
        <v>0</v>
      </c>
      <c r="P23" s="6">
        <v>0</v>
      </c>
      <c r="Q23" s="6">
        <v>0</v>
      </c>
    </row>
    <row r="24" spans="2:17" x14ac:dyDescent="0.3">
      <c r="B24" t="s">
        <v>78</v>
      </c>
      <c r="C24">
        <v>2</v>
      </c>
      <c r="D24" t="s">
        <v>29</v>
      </c>
      <c r="E24" t="s">
        <v>25</v>
      </c>
      <c r="F24" s="6">
        <v>84600</v>
      </c>
      <c r="G24" s="6">
        <v>7529</v>
      </c>
      <c r="H24" s="6">
        <v>761</v>
      </c>
      <c r="I24" s="6">
        <v>0</v>
      </c>
      <c r="J24" s="6">
        <v>169</v>
      </c>
      <c r="K24" s="6">
        <v>57443</v>
      </c>
      <c r="L24" s="6">
        <v>17428</v>
      </c>
      <c r="M24" s="6">
        <v>592</v>
      </c>
      <c r="N24" s="6">
        <v>169</v>
      </c>
      <c r="O24" s="6">
        <v>85</v>
      </c>
      <c r="P24" s="6">
        <v>0</v>
      </c>
      <c r="Q24" s="6">
        <v>423</v>
      </c>
    </row>
    <row r="25" spans="2:17" x14ac:dyDescent="0.3">
      <c r="B25" t="s">
        <v>57</v>
      </c>
      <c r="C25">
        <v>3</v>
      </c>
      <c r="D25" t="s">
        <v>29</v>
      </c>
      <c r="E25" t="s">
        <v>60</v>
      </c>
      <c r="F25" s="6">
        <v>55462</v>
      </c>
      <c r="G25" s="6">
        <v>50082</v>
      </c>
      <c r="H25" s="6">
        <v>0</v>
      </c>
      <c r="I25" s="6">
        <v>0</v>
      </c>
      <c r="J25" s="6">
        <v>0</v>
      </c>
      <c r="K25" s="6">
        <v>444</v>
      </c>
      <c r="L25" s="6">
        <v>4104</v>
      </c>
      <c r="M25" s="6">
        <v>0</v>
      </c>
      <c r="N25" s="6">
        <v>832</v>
      </c>
      <c r="O25" s="6">
        <v>0</v>
      </c>
      <c r="P25" s="6">
        <v>0</v>
      </c>
      <c r="Q25" s="6">
        <v>0</v>
      </c>
    </row>
    <row r="26" spans="2:17" x14ac:dyDescent="0.3">
      <c r="B26" t="s">
        <v>57</v>
      </c>
      <c r="C26">
        <v>1</v>
      </c>
      <c r="D26" t="s">
        <v>29</v>
      </c>
      <c r="E26" t="s">
        <v>27</v>
      </c>
      <c r="F26" s="6">
        <v>243800</v>
      </c>
      <c r="G26" s="6">
        <v>200404</v>
      </c>
      <c r="H26" s="6">
        <v>975</v>
      </c>
      <c r="I26" s="6">
        <v>0</v>
      </c>
      <c r="J26" s="6">
        <v>20723</v>
      </c>
      <c r="K26" s="6">
        <v>4388</v>
      </c>
      <c r="L26" s="6">
        <v>12921</v>
      </c>
      <c r="M26" s="6">
        <v>1219</v>
      </c>
      <c r="N26" s="6">
        <v>731</v>
      </c>
      <c r="O26" s="6">
        <v>488</v>
      </c>
      <c r="P26" s="6">
        <v>731</v>
      </c>
      <c r="Q26" s="6">
        <v>1219</v>
      </c>
    </row>
    <row r="27" spans="2:17" x14ac:dyDescent="0.3">
      <c r="B27" t="s">
        <v>77</v>
      </c>
      <c r="C27">
        <v>2</v>
      </c>
      <c r="D27" t="s">
        <v>29</v>
      </c>
      <c r="E27" t="s">
        <v>28</v>
      </c>
      <c r="F27" s="6">
        <v>87700</v>
      </c>
      <c r="G27" s="6">
        <v>7805</v>
      </c>
      <c r="H27" s="6">
        <v>789</v>
      </c>
      <c r="I27" s="6">
        <v>0</v>
      </c>
      <c r="J27" s="6">
        <v>175</v>
      </c>
      <c r="K27" s="6">
        <v>59548</v>
      </c>
      <c r="L27" s="6">
        <v>18066</v>
      </c>
      <c r="M27" s="6">
        <v>614</v>
      </c>
      <c r="N27" s="6">
        <v>175</v>
      </c>
      <c r="O27" s="6">
        <v>88</v>
      </c>
      <c r="P27" s="6">
        <v>0</v>
      </c>
      <c r="Q27" s="6">
        <v>439</v>
      </c>
    </row>
    <row r="28" spans="2:17" x14ac:dyDescent="0.3">
      <c r="B28" t="s">
        <v>73</v>
      </c>
      <c r="C28">
        <v>1</v>
      </c>
      <c r="D28" t="s">
        <v>33</v>
      </c>
      <c r="E28" t="s">
        <v>31</v>
      </c>
      <c r="F28" s="6">
        <v>32100</v>
      </c>
      <c r="G28" s="6">
        <v>578</v>
      </c>
      <c r="H28" s="6">
        <v>6837</v>
      </c>
      <c r="I28" s="6">
        <v>289</v>
      </c>
      <c r="J28" s="6">
        <v>0</v>
      </c>
      <c r="K28" s="6">
        <v>19228</v>
      </c>
      <c r="L28" s="6">
        <v>64</v>
      </c>
      <c r="M28" s="6">
        <v>4719</v>
      </c>
      <c r="N28" s="6">
        <v>353</v>
      </c>
      <c r="O28" s="6">
        <v>0</v>
      </c>
      <c r="P28" s="6">
        <v>0</v>
      </c>
      <c r="Q28" s="6">
        <v>32</v>
      </c>
    </row>
    <row r="29" spans="2:17" x14ac:dyDescent="0.3">
      <c r="B29" t="s">
        <v>73</v>
      </c>
      <c r="C29">
        <v>3</v>
      </c>
      <c r="D29" t="s">
        <v>33</v>
      </c>
      <c r="E29" t="s">
        <v>30</v>
      </c>
      <c r="F29" s="6">
        <v>72205</v>
      </c>
      <c r="G29" s="6">
        <v>60797</v>
      </c>
      <c r="H29" s="6">
        <v>6571</v>
      </c>
      <c r="I29" s="6">
        <v>0</v>
      </c>
      <c r="J29" s="6">
        <v>0</v>
      </c>
      <c r="K29" s="6">
        <v>1444</v>
      </c>
      <c r="L29" s="6">
        <v>217</v>
      </c>
      <c r="M29" s="6">
        <v>2022</v>
      </c>
      <c r="N29" s="6">
        <v>794</v>
      </c>
      <c r="O29" s="6">
        <v>0</v>
      </c>
      <c r="P29" s="6">
        <v>144</v>
      </c>
      <c r="Q29" s="6">
        <v>217</v>
      </c>
    </row>
    <row r="30" spans="2:17" x14ac:dyDescent="0.3">
      <c r="B30" t="s">
        <v>75</v>
      </c>
      <c r="C30">
        <v>1</v>
      </c>
      <c r="D30" t="s">
        <v>33</v>
      </c>
      <c r="E30" t="s">
        <v>32</v>
      </c>
      <c r="F30" s="6">
        <v>255700</v>
      </c>
      <c r="G30" s="6">
        <v>20456</v>
      </c>
      <c r="H30" s="6">
        <v>219646</v>
      </c>
      <c r="I30" s="6">
        <v>0</v>
      </c>
      <c r="J30" s="6">
        <v>0</v>
      </c>
      <c r="K30" s="6">
        <v>3068</v>
      </c>
      <c r="L30" s="6">
        <v>767</v>
      </c>
      <c r="M30" s="6">
        <v>9461</v>
      </c>
      <c r="N30" s="6">
        <v>1023</v>
      </c>
      <c r="O30" s="6">
        <v>256</v>
      </c>
      <c r="P30" s="6">
        <v>767</v>
      </c>
      <c r="Q30" s="6">
        <v>256</v>
      </c>
    </row>
    <row r="31" spans="2:17" x14ac:dyDescent="0.3">
      <c r="B31" t="s">
        <v>75</v>
      </c>
      <c r="C31">
        <v>3</v>
      </c>
      <c r="D31" t="s">
        <v>33</v>
      </c>
      <c r="E31" t="s">
        <v>76</v>
      </c>
      <c r="F31" s="6">
        <v>224395</v>
      </c>
      <c r="G31" s="6">
        <v>6732</v>
      </c>
      <c r="H31" s="6">
        <v>166052</v>
      </c>
      <c r="I31" s="6">
        <v>224</v>
      </c>
      <c r="J31" s="6">
        <v>0</v>
      </c>
      <c r="K31" s="6">
        <v>21766</v>
      </c>
      <c r="L31" s="6">
        <v>449</v>
      </c>
      <c r="M31" s="6">
        <v>26479</v>
      </c>
      <c r="N31" s="6">
        <v>1346</v>
      </c>
      <c r="O31" s="6">
        <v>0</v>
      </c>
      <c r="P31" s="6">
        <v>1122</v>
      </c>
      <c r="Q31" s="6">
        <v>224</v>
      </c>
    </row>
    <row r="33" spans="5:17" x14ac:dyDescent="0.3">
      <c r="G33" s="11" t="s">
        <v>37</v>
      </c>
      <c r="H33" s="11" t="s">
        <v>36</v>
      </c>
      <c r="I33" s="11" t="s">
        <v>38</v>
      </c>
      <c r="J33" s="11" t="s">
        <v>39</v>
      </c>
      <c r="K33" s="12" t="s">
        <v>41</v>
      </c>
      <c r="L33" s="12" t="s">
        <v>48</v>
      </c>
      <c r="M33" s="12" t="s">
        <v>47</v>
      </c>
      <c r="N33" s="12" t="s">
        <v>79</v>
      </c>
      <c r="O33" s="12" t="s">
        <v>52</v>
      </c>
      <c r="P33" s="12" t="s">
        <v>50</v>
      </c>
      <c r="Q33" s="13" t="s">
        <v>42</v>
      </c>
    </row>
    <row r="34" spans="5:17" x14ac:dyDescent="0.3">
      <c r="E34" s="7" t="s">
        <v>104</v>
      </c>
      <c r="F34" s="8">
        <v>4842400</v>
      </c>
      <c r="G34" s="6">
        <v>1094940</v>
      </c>
      <c r="H34" s="6">
        <v>1198955</v>
      </c>
      <c r="I34" s="6">
        <v>388716</v>
      </c>
      <c r="J34" s="6">
        <v>38060</v>
      </c>
      <c r="K34" s="6">
        <v>1271937</v>
      </c>
      <c r="L34" s="6">
        <v>353811</v>
      </c>
      <c r="M34" s="6">
        <v>231966</v>
      </c>
      <c r="N34" s="6">
        <v>136191</v>
      </c>
      <c r="O34" s="6">
        <v>34675</v>
      </c>
      <c r="P34" s="6">
        <v>24759</v>
      </c>
      <c r="Q34" s="6">
        <v>68393</v>
      </c>
    </row>
    <row r="35" spans="5:17" x14ac:dyDescent="0.3">
      <c r="F35" s="10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</row>
    <row r="36" spans="5:17" x14ac:dyDescent="0.3">
      <c r="G36" s="9">
        <f>G34/$F$34</f>
        <v>0.22611514951263836</v>
      </c>
      <c r="H36" s="9">
        <f>H34/$F$34</f>
        <v>0.24759520072691227</v>
      </c>
      <c r="I36" s="9">
        <f t="shared" ref="I36:Q36" si="0">I34/$F$34</f>
        <v>8.0273418139765407E-2</v>
      </c>
      <c r="J36" s="9">
        <f t="shared" si="0"/>
        <v>7.8597389724103742E-3</v>
      </c>
      <c r="K36" s="9">
        <f t="shared" si="0"/>
        <v>0.26266665289938873</v>
      </c>
      <c r="L36" s="9">
        <f t="shared" si="0"/>
        <v>7.3065215595572441E-2</v>
      </c>
      <c r="M36" s="9">
        <f t="shared" si="0"/>
        <v>4.7903105897901865E-2</v>
      </c>
      <c r="N36" s="9">
        <f t="shared" si="0"/>
        <v>2.8124690236246488E-2</v>
      </c>
      <c r="O36" s="9">
        <f t="shared" si="0"/>
        <v>7.1607054353213283E-3</v>
      </c>
      <c r="P36" s="9">
        <f t="shared" si="0"/>
        <v>5.1129605154468854E-3</v>
      </c>
      <c r="Q36" s="9">
        <f t="shared" si="0"/>
        <v>1.4123781595902858E-2</v>
      </c>
    </row>
    <row r="37" spans="5:17" x14ac:dyDescent="0.3">
      <c r="E37" s="1" t="s">
        <v>112</v>
      </c>
    </row>
    <row r="38" spans="5:17" x14ac:dyDescent="0.3">
      <c r="E38" s="4" t="s">
        <v>110</v>
      </c>
      <c r="F38" s="4" t="s">
        <v>111</v>
      </c>
    </row>
    <row r="39" spans="5:17" x14ac:dyDescent="0.3">
      <c r="E39" t="s">
        <v>105</v>
      </c>
      <c r="F39" s="14">
        <f>SUM(G36:H36)</f>
        <v>0.47371035023955066</v>
      </c>
    </row>
    <row r="40" spans="5:17" x14ac:dyDescent="0.3">
      <c r="E40" t="s">
        <v>106</v>
      </c>
      <c r="F40" s="14">
        <f>SUM(K36:P36)</f>
        <v>0.42403333057987774</v>
      </c>
    </row>
    <row r="41" spans="5:17" x14ac:dyDescent="0.3">
      <c r="E41" t="s">
        <v>107</v>
      </c>
      <c r="F41" s="14">
        <f>I36</f>
        <v>8.0273418139765407E-2</v>
      </c>
    </row>
    <row r="42" spans="5:17" x14ac:dyDescent="0.3">
      <c r="E42" t="s">
        <v>108</v>
      </c>
      <c r="F42" s="14">
        <f>J36</f>
        <v>7.8597389724103742E-3</v>
      </c>
    </row>
    <row r="43" spans="5:17" x14ac:dyDescent="0.3">
      <c r="E43" t="s">
        <v>109</v>
      </c>
      <c r="F43" s="14">
        <f>Q36</f>
        <v>1.4123781595902858E-2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635F-B65E-4EB5-B0A2-3152E134ADC1}">
  <dimension ref="B2:Z41"/>
  <sheetViews>
    <sheetView topLeftCell="H29" workbookViewId="0">
      <selection activeCell="U1" sqref="U1:Z1048576"/>
    </sheetView>
  </sheetViews>
  <sheetFormatPr defaultRowHeight="14.4" x14ac:dyDescent="0.3"/>
  <cols>
    <col min="2" max="4" width="7" customWidth="1"/>
    <col min="5" max="6" width="16.109375" customWidth="1"/>
    <col min="7" max="18" width="11.109375" customWidth="1"/>
  </cols>
  <sheetData>
    <row r="2" spans="2:26" x14ac:dyDescent="0.3">
      <c r="B2" t="s">
        <v>43</v>
      </c>
      <c r="C2" t="s">
        <v>103</v>
      </c>
      <c r="D2" t="s">
        <v>80</v>
      </c>
      <c r="E2" t="s">
        <v>1</v>
      </c>
      <c r="F2" t="s">
        <v>0</v>
      </c>
      <c r="G2" t="s">
        <v>35</v>
      </c>
      <c r="H2" t="s">
        <v>37</v>
      </c>
      <c r="I2" t="s">
        <v>36</v>
      </c>
      <c r="J2" t="s">
        <v>38</v>
      </c>
      <c r="K2" t="s">
        <v>39</v>
      </c>
      <c r="L2" t="s">
        <v>41</v>
      </c>
      <c r="M2" t="s">
        <v>48</v>
      </c>
      <c r="N2" t="s">
        <v>47</v>
      </c>
      <c r="O2" t="s">
        <v>79</v>
      </c>
      <c r="P2" t="s">
        <v>52</v>
      </c>
      <c r="Q2" t="s">
        <v>50</v>
      </c>
      <c r="R2" t="s">
        <v>42</v>
      </c>
      <c r="U2" s="31" t="s">
        <v>188</v>
      </c>
      <c r="V2" s="32" t="s">
        <v>81</v>
      </c>
      <c r="W2" s="32" t="s">
        <v>1</v>
      </c>
      <c r="X2" s="32" t="s">
        <v>0</v>
      </c>
      <c r="Y2" s="32" t="s">
        <v>80</v>
      </c>
      <c r="Z2" s="32" t="s">
        <v>230</v>
      </c>
    </row>
    <row r="3" spans="2:26" x14ac:dyDescent="0.3">
      <c r="B3" t="s">
        <v>61</v>
      </c>
      <c r="C3">
        <v>1</v>
      </c>
      <c r="E3" t="s">
        <v>2</v>
      </c>
      <c r="F3" t="s">
        <v>2</v>
      </c>
      <c r="G3" s="6">
        <v>324000</v>
      </c>
      <c r="H3" s="6">
        <v>219348</v>
      </c>
      <c r="I3" s="6">
        <v>3564</v>
      </c>
      <c r="J3" s="6">
        <v>0</v>
      </c>
      <c r="K3" s="6">
        <v>16200</v>
      </c>
      <c r="L3" s="6">
        <v>34992</v>
      </c>
      <c r="M3" s="6">
        <v>46980</v>
      </c>
      <c r="N3" s="6">
        <v>1944</v>
      </c>
      <c r="O3" s="6">
        <v>0</v>
      </c>
      <c r="P3" s="6">
        <v>0</v>
      </c>
      <c r="Q3" s="6">
        <v>972</v>
      </c>
      <c r="R3" s="6">
        <v>0</v>
      </c>
      <c r="U3" s="17" t="s">
        <v>151</v>
      </c>
      <c r="V3" s="18">
        <v>8</v>
      </c>
      <c r="W3" s="18" t="s">
        <v>152</v>
      </c>
      <c r="X3" s="18" t="s">
        <v>9</v>
      </c>
      <c r="Y3" s="18" t="s">
        <v>204</v>
      </c>
      <c r="Z3" s="18" t="s">
        <v>208</v>
      </c>
    </row>
    <row r="4" spans="2:26" x14ac:dyDescent="0.3">
      <c r="B4" t="s">
        <v>62</v>
      </c>
      <c r="C4">
        <v>2</v>
      </c>
      <c r="E4" t="s">
        <v>5</v>
      </c>
      <c r="F4" t="s">
        <v>3</v>
      </c>
      <c r="G4" s="6">
        <v>214600</v>
      </c>
      <c r="H4" s="6">
        <v>28542</v>
      </c>
      <c r="I4" s="6">
        <v>157302</v>
      </c>
      <c r="J4" s="6">
        <v>0</v>
      </c>
      <c r="K4" s="6">
        <v>0</v>
      </c>
      <c r="L4" s="6">
        <v>15666</v>
      </c>
      <c r="M4" s="6">
        <v>1502</v>
      </c>
      <c r="N4" s="6">
        <v>11374</v>
      </c>
      <c r="O4" s="6">
        <v>0</v>
      </c>
      <c r="P4" s="6">
        <v>0</v>
      </c>
      <c r="Q4" s="6">
        <v>0</v>
      </c>
      <c r="R4" s="6">
        <v>215</v>
      </c>
      <c r="U4" s="17" t="s">
        <v>143</v>
      </c>
      <c r="V4" s="18">
        <v>13</v>
      </c>
      <c r="W4" s="18" t="s">
        <v>13</v>
      </c>
      <c r="X4" s="18" t="s">
        <v>11</v>
      </c>
      <c r="Y4" s="18" t="s">
        <v>234</v>
      </c>
      <c r="Z4" s="18" t="s">
        <v>216</v>
      </c>
    </row>
    <row r="5" spans="2:26" x14ac:dyDescent="0.3">
      <c r="B5" t="s">
        <v>63</v>
      </c>
      <c r="C5">
        <v>2</v>
      </c>
      <c r="E5" t="s">
        <v>5</v>
      </c>
      <c r="F5" t="s">
        <v>4</v>
      </c>
      <c r="G5" s="6">
        <v>30500</v>
      </c>
      <c r="H5" s="6">
        <v>4057</v>
      </c>
      <c r="I5" s="6">
        <v>22357</v>
      </c>
      <c r="J5" s="6">
        <v>0</v>
      </c>
      <c r="K5" s="6">
        <v>0</v>
      </c>
      <c r="L5" s="6">
        <v>2227</v>
      </c>
      <c r="M5" s="6">
        <v>214</v>
      </c>
      <c r="N5" s="6">
        <v>1617</v>
      </c>
      <c r="O5" s="6">
        <v>0</v>
      </c>
      <c r="P5" s="6">
        <v>0</v>
      </c>
      <c r="Q5" s="6">
        <v>0</v>
      </c>
      <c r="R5" s="6">
        <v>31</v>
      </c>
      <c r="U5" s="17" t="s">
        <v>146</v>
      </c>
      <c r="V5" s="18">
        <v>14</v>
      </c>
      <c r="W5" s="18" t="s">
        <v>13</v>
      </c>
      <c r="X5" s="18" t="s">
        <v>12</v>
      </c>
      <c r="Y5" s="18" t="s">
        <v>217</v>
      </c>
      <c r="Z5" s="18" t="s">
        <v>216</v>
      </c>
    </row>
    <row r="6" spans="2:26" x14ac:dyDescent="0.3">
      <c r="B6" t="s">
        <v>68</v>
      </c>
      <c r="C6">
        <v>3</v>
      </c>
      <c r="E6" t="s">
        <v>6</v>
      </c>
      <c r="F6" t="s">
        <v>6</v>
      </c>
      <c r="G6" s="6">
        <v>341700</v>
      </c>
      <c r="H6" s="6">
        <v>149908</v>
      </c>
      <c r="I6" s="6">
        <v>48259</v>
      </c>
      <c r="J6" s="6">
        <v>3784</v>
      </c>
      <c r="K6" s="6">
        <v>120</v>
      </c>
      <c r="L6" s="6">
        <v>19850</v>
      </c>
      <c r="M6" s="6">
        <v>33928</v>
      </c>
      <c r="N6" s="6">
        <v>15321</v>
      </c>
      <c r="O6" s="6">
        <v>37313</v>
      </c>
      <c r="P6" s="6">
        <v>7838</v>
      </c>
      <c r="Q6" s="6">
        <v>5257</v>
      </c>
      <c r="R6" s="6">
        <v>20120</v>
      </c>
      <c r="U6" s="17" t="s">
        <v>117</v>
      </c>
      <c r="V6" s="18">
        <v>1</v>
      </c>
      <c r="W6" s="18" t="s">
        <v>2</v>
      </c>
      <c r="X6" s="18" t="s">
        <v>2</v>
      </c>
      <c r="Y6" s="18" t="s">
        <v>209</v>
      </c>
      <c r="Z6" s="18" t="s">
        <v>207</v>
      </c>
    </row>
    <row r="7" spans="2:26" x14ac:dyDescent="0.3">
      <c r="B7" t="s">
        <v>71</v>
      </c>
      <c r="C7">
        <v>2</v>
      </c>
      <c r="E7" t="s">
        <v>10</v>
      </c>
      <c r="F7" t="s">
        <v>7</v>
      </c>
      <c r="G7" s="6">
        <v>33800</v>
      </c>
      <c r="H7" s="6">
        <v>16461</v>
      </c>
      <c r="I7" s="6">
        <v>4969</v>
      </c>
      <c r="J7" s="6">
        <v>4969</v>
      </c>
      <c r="K7" s="6">
        <v>0</v>
      </c>
      <c r="L7" s="6">
        <v>2400</v>
      </c>
      <c r="M7" s="6">
        <v>2366</v>
      </c>
      <c r="N7" s="6">
        <v>2467</v>
      </c>
      <c r="O7" s="6">
        <v>0</v>
      </c>
      <c r="P7" s="6">
        <v>0</v>
      </c>
      <c r="Q7" s="6">
        <v>101</v>
      </c>
      <c r="R7" s="6">
        <v>68</v>
      </c>
      <c r="U7" s="17" t="s">
        <v>168</v>
      </c>
      <c r="V7" s="18">
        <v>25</v>
      </c>
      <c r="W7" s="18" t="s">
        <v>169</v>
      </c>
      <c r="X7" s="18" t="s">
        <v>31</v>
      </c>
      <c r="Y7" s="18" t="s">
        <v>226</v>
      </c>
      <c r="Z7" s="18" t="s">
        <v>206</v>
      </c>
    </row>
    <row r="8" spans="2:26" x14ac:dyDescent="0.3">
      <c r="B8" t="s">
        <v>72</v>
      </c>
      <c r="C8">
        <v>2</v>
      </c>
      <c r="E8" t="s">
        <v>10</v>
      </c>
      <c r="F8" t="s">
        <v>8</v>
      </c>
      <c r="G8" s="6">
        <v>86400</v>
      </c>
      <c r="H8" s="6">
        <v>42077</v>
      </c>
      <c r="I8" s="6">
        <v>12701</v>
      </c>
      <c r="J8" s="6">
        <v>12701</v>
      </c>
      <c r="K8" s="6">
        <v>0</v>
      </c>
      <c r="L8" s="6">
        <v>6134</v>
      </c>
      <c r="M8" s="6">
        <v>6048</v>
      </c>
      <c r="N8" s="6">
        <v>6307</v>
      </c>
      <c r="O8" s="6">
        <v>0</v>
      </c>
      <c r="P8" s="6">
        <v>0</v>
      </c>
      <c r="Q8" s="6">
        <v>259</v>
      </c>
      <c r="R8" s="6">
        <v>173</v>
      </c>
      <c r="U8" s="17" t="s">
        <v>166</v>
      </c>
      <c r="V8" s="18">
        <v>6</v>
      </c>
      <c r="W8" s="18" t="s">
        <v>152</v>
      </c>
      <c r="X8" s="18" t="s">
        <v>7</v>
      </c>
      <c r="Y8" s="18" t="s">
        <v>212</v>
      </c>
      <c r="Z8" s="18" t="s">
        <v>211</v>
      </c>
    </row>
    <row r="9" spans="2:26" x14ac:dyDescent="0.3">
      <c r="B9" t="s">
        <v>70</v>
      </c>
      <c r="C9">
        <v>1</v>
      </c>
      <c r="E9" t="s">
        <v>10</v>
      </c>
      <c r="F9" t="s">
        <v>9</v>
      </c>
      <c r="G9" s="6">
        <v>177400</v>
      </c>
      <c r="H9" s="6">
        <v>50736</v>
      </c>
      <c r="I9" s="6">
        <v>28384</v>
      </c>
      <c r="J9" s="6">
        <v>887</v>
      </c>
      <c r="K9" s="6">
        <v>0</v>
      </c>
      <c r="L9" s="6">
        <v>27674</v>
      </c>
      <c r="M9" s="6">
        <v>16853</v>
      </c>
      <c r="N9" s="6">
        <v>32996</v>
      </c>
      <c r="O9" s="6">
        <v>8693</v>
      </c>
      <c r="P9" s="6">
        <v>1951</v>
      </c>
      <c r="Q9" s="6">
        <v>1419</v>
      </c>
      <c r="R9" s="6">
        <v>7806</v>
      </c>
      <c r="U9" s="17" t="s">
        <v>161</v>
      </c>
      <c r="V9" s="18">
        <v>7</v>
      </c>
      <c r="W9" s="18" t="s">
        <v>152</v>
      </c>
      <c r="X9" s="18" t="s">
        <v>8</v>
      </c>
      <c r="Y9" s="18" t="s">
        <v>235</v>
      </c>
      <c r="Z9" s="18" t="s">
        <v>211</v>
      </c>
    </row>
    <row r="10" spans="2:26" x14ac:dyDescent="0.3">
      <c r="B10" t="s">
        <v>44</v>
      </c>
      <c r="C10">
        <v>1</v>
      </c>
      <c r="E10" t="s">
        <v>13</v>
      </c>
      <c r="F10" t="s">
        <v>11</v>
      </c>
      <c r="G10" s="6">
        <v>129500</v>
      </c>
      <c r="H10" s="6">
        <v>3367</v>
      </c>
      <c r="I10" s="6">
        <v>27454</v>
      </c>
      <c r="J10" s="6">
        <v>0</v>
      </c>
      <c r="K10" s="6">
        <v>0</v>
      </c>
      <c r="L10" s="6">
        <v>92593</v>
      </c>
      <c r="M10" s="6">
        <v>4015</v>
      </c>
      <c r="N10" s="6">
        <v>518</v>
      </c>
      <c r="O10" s="6">
        <v>1036</v>
      </c>
      <c r="P10" s="6">
        <v>130</v>
      </c>
      <c r="Q10" s="6">
        <v>130</v>
      </c>
      <c r="R10" s="6">
        <v>259</v>
      </c>
      <c r="U10" s="17" t="s">
        <v>149</v>
      </c>
      <c r="V10" s="18">
        <v>18</v>
      </c>
      <c r="W10" s="18" t="s">
        <v>15</v>
      </c>
      <c r="X10" s="18" t="s">
        <v>18</v>
      </c>
      <c r="Y10" s="18" t="s">
        <v>219</v>
      </c>
      <c r="Z10" s="18" t="s">
        <v>218</v>
      </c>
    </row>
    <row r="11" spans="2:26" x14ac:dyDescent="0.3">
      <c r="B11" t="s">
        <v>44</v>
      </c>
      <c r="C11">
        <v>1</v>
      </c>
      <c r="E11" t="s">
        <v>13</v>
      </c>
      <c r="F11" t="s">
        <v>12</v>
      </c>
      <c r="G11" s="6">
        <v>260500</v>
      </c>
      <c r="H11" s="6">
        <v>782</v>
      </c>
      <c r="I11" s="6">
        <v>4689</v>
      </c>
      <c r="J11" s="6">
        <v>0</v>
      </c>
      <c r="K11" s="6">
        <v>0</v>
      </c>
      <c r="L11" s="6">
        <v>239921</v>
      </c>
      <c r="M11" s="6">
        <v>2345</v>
      </c>
      <c r="N11" s="6">
        <v>5471</v>
      </c>
      <c r="O11" s="6">
        <v>1824</v>
      </c>
      <c r="P11" s="6">
        <v>1824</v>
      </c>
      <c r="Q11" s="6">
        <v>261</v>
      </c>
      <c r="R11" s="6">
        <v>3387</v>
      </c>
      <c r="U11" s="17" t="s">
        <v>124</v>
      </c>
      <c r="V11" s="18">
        <v>22</v>
      </c>
      <c r="W11" s="18" t="s">
        <v>125</v>
      </c>
      <c r="X11" s="18" t="s">
        <v>26</v>
      </c>
      <c r="Y11" s="18" t="s">
        <v>203</v>
      </c>
      <c r="Z11" s="18" t="s">
        <v>200</v>
      </c>
    </row>
    <row r="12" spans="2:26" x14ac:dyDescent="0.3">
      <c r="B12" t="s">
        <v>46</v>
      </c>
      <c r="C12">
        <v>1</v>
      </c>
      <c r="E12" t="s">
        <v>15</v>
      </c>
      <c r="F12" t="s">
        <v>14</v>
      </c>
      <c r="G12" s="6">
        <v>300800</v>
      </c>
      <c r="H12" s="6">
        <v>3910</v>
      </c>
      <c r="I12" s="6">
        <v>9926</v>
      </c>
      <c r="J12" s="6">
        <v>164237</v>
      </c>
      <c r="K12" s="6">
        <v>0</v>
      </c>
      <c r="L12" s="6">
        <v>70688</v>
      </c>
      <c r="M12" s="6">
        <v>37901</v>
      </c>
      <c r="N12" s="6">
        <v>9024</v>
      </c>
      <c r="O12" s="6">
        <v>1504</v>
      </c>
      <c r="P12" s="6">
        <v>301</v>
      </c>
      <c r="Q12" s="6">
        <v>2106</v>
      </c>
      <c r="R12" s="6">
        <v>1203</v>
      </c>
      <c r="U12" s="17" t="s">
        <v>127</v>
      </c>
      <c r="V12" s="18">
        <v>23</v>
      </c>
      <c r="W12" s="18" t="s">
        <v>125</v>
      </c>
      <c r="X12" s="18" t="s">
        <v>27</v>
      </c>
      <c r="Y12" s="18" t="s">
        <v>236</v>
      </c>
      <c r="Z12" s="18" t="s">
        <v>200</v>
      </c>
    </row>
    <row r="13" spans="2:26" x14ac:dyDescent="0.3">
      <c r="B13" t="s">
        <v>51</v>
      </c>
      <c r="C13">
        <v>1</v>
      </c>
      <c r="E13" t="s">
        <v>15</v>
      </c>
      <c r="F13" t="s">
        <v>16</v>
      </c>
      <c r="G13" s="6">
        <v>553800</v>
      </c>
      <c r="H13" s="6">
        <v>33782</v>
      </c>
      <c r="I13" s="6">
        <v>139558</v>
      </c>
      <c r="J13" s="6">
        <v>96361</v>
      </c>
      <c r="K13" s="6">
        <v>0</v>
      </c>
      <c r="L13" s="6">
        <v>201029</v>
      </c>
      <c r="M13" s="6">
        <v>41535</v>
      </c>
      <c r="N13" s="6">
        <v>24921</v>
      </c>
      <c r="O13" s="6">
        <v>4984</v>
      </c>
      <c r="P13" s="6">
        <v>2215</v>
      </c>
      <c r="Q13" s="6">
        <v>1661</v>
      </c>
      <c r="R13" s="6">
        <v>7753</v>
      </c>
      <c r="U13" s="17" t="s">
        <v>172</v>
      </c>
      <c r="V13" s="18">
        <v>26</v>
      </c>
      <c r="W13" s="18" t="s">
        <v>169</v>
      </c>
      <c r="X13" s="18" t="s">
        <v>30</v>
      </c>
      <c r="Y13" s="18" t="s">
        <v>226</v>
      </c>
      <c r="Z13" s="18" t="s">
        <v>201</v>
      </c>
    </row>
    <row r="14" spans="2:26" x14ac:dyDescent="0.3">
      <c r="B14" t="s">
        <v>53</v>
      </c>
      <c r="C14">
        <v>1</v>
      </c>
      <c r="E14" t="s">
        <v>15</v>
      </c>
      <c r="F14" t="s">
        <v>17</v>
      </c>
      <c r="G14" s="6">
        <v>277000</v>
      </c>
      <c r="H14" s="6">
        <v>82269</v>
      </c>
      <c r="I14" s="6">
        <v>6094</v>
      </c>
      <c r="J14" s="6">
        <v>87532</v>
      </c>
      <c r="K14" s="6">
        <v>0</v>
      </c>
      <c r="L14" s="6">
        <v>80053</v>
      </c>
      <c r="M14" s="6">
        <v>1108</v>
      </c>
      <c r="N14" s="6">
        <v>18005</v>
      </c>
      <c r="O14" s="6">
        <v>831</v>
      </c>
      <c r="P14" s="6">
        <v>0</v>
      </c>
      <c r="Q14" s="6">
        <v>831</v>
      </c>
      <c r="R14" s="6">
        <v>277</v>
      </c>
      <c r="U14" s="17" t="s">
        <v>183</v>
      </c>
      <c r="V14" s="18">
        <v>27</v>
      </c>
      <c r="W14" s="18" t="s">
        <v>169</v>
      </c>
      <c r="X14" s="18" t="s">
        <v>32</v>
      </c>
      <c r="Y14" s="18" t="s">
        <v>232</v>
      </c>
      <c r="Z14" s="18" t="s">
        <v>201</v>
      </c>
    </row>
    <row r="15" spans="2:26" x14ac:dyDescent="0.3">
      <c r="B15" t="s">
        <v>54</v>
      </c>
      <c r="C15">
        <v>1</v>
      </c>
      <c r="E15" t="s">
        <v>15</v>
      </c>
      <c r="F15" t="s">
        <v>18</v>
      </c>
      <c r="G15" s="6">
        <v>511000</v>
      </c>
      <c r="H15" s="6">
        <v>10220</v>
      </c>
      <c r="I15" s="6">
        <v>14819</v>
      </c>
      <c r="J15" s="6">
        <v>7154</v>
      </c>
      <c r="K15" s="6">
        <v>511</v>
      </c>
      <c r="L15" s="6">
        <v>229950</v>
      </c>
      <c r="M15" s="6">
        <v>74606</v>
      </c>
      <c r="N15" s="6">
        <v>50589</v>
      </c>
      <c r="O15" s="6">
        <v>72051</v>
      </c>
      <c r="P15" s="6">
        <v>19418</v>
      </c>
      <c r="Q15" s="6">
        <v>8176</v>
      </c>
      <c r="R15" s="6">
        <v>23506</v>
      </c>
      <c r="U15" s="17" t="s">
        <v>131</v>
      </c>
      <c r="V15" s="18">
        <v>2</v>
      </c>
      <c r="W15" s="18" t="s">
        <v>121</v>
      </c>
      <c r="X15" s="18" t="s">
        <v>3</v>
      </c>
      <c r="Y15" s="18" t="s">
        <v>214</v>
      </c>
      <c r="Z15" s="18" t="s">
        <v>213</v>
      </c>
    </row>
    <row r="16" spans="2:26" x14ac:dyDescent="0.3">
      <c r="B16" t="s">
        <v>55</v>
      </c>
      <c r="C16">
        <v>1</v>
      </c>
      <c r="E16" t="s">
        <v>22</v>
      </c>
      <c r="F16" t="s">
        <v>19</v>
      </c>
      <c r="G16" s="6">
        <v>96200</v>
      </c>
      <c r="H16" s="6">
        <v>96</v>
      </c>
      <c r="I16" s="6">
        <v>85137</v>
      </c>
      <c r="J16" s="6">
        <v>0</v>
      </c>
      <c r="K16" s="6">
        <v>0</v>
      </c>
      <c r="L16" s="6">
        <v>8369</v>
      </c>
      <c r="M16" s="6">
        <v>0</v>
      </c>
      <c r="N16" s="6">
        <v>2116</v>
      </c>
      <c r="O16" s="6">
        <v>385</v>
      </c>
      <c r="P16" s="6">
        <v>0</v>
      </c>
      <c r="Q16" s="6">
        <v>0</v>
      </c>
      <c r="R16" s="6">
        <v>96</v>
      </c>
      <c r="U16" s="17" t="s">
        <v>120</v>
      </c>
      <c r="V16" s="18">
        <v>3</v>
      </c>
      <c r="W16" s="18" t="s">
        <v>121</v>
      </c>
      <c r="X16" s="18" t="s">
        <v>4</v>
      </c>
      <c r="Y16" s="18" t="s">
        <v>237</v>
      </c>
      <c r="Z16" s="18" t="s">
        <v>213</v>
      </c>
    </row>
    <row r="17" spans="2:26" x14ac:dyDescent="0.3">
      <c r="B17" t="s">
        <v>55</v>
      </c>
      <c r="C17">
        <v>2</v>
      </c>
      <c r="E17" t="s">
        <v>22</v>
      </c>
      <c r="F17" t="s">
        <v>20</v>
      </c>
      <c r="G17" s="6">
        <v>28700</v>
      </c>
      <c r="H17" s="6">
        <v>4936</v>
      </c>
      <c r="I17" s="6">
        <v>16646</v>
      </c>
      <c r="J17" s="6">
        <v>2956</v>
      </c>
      <c r="K17" s="6">
        <v>0</v>
      </c>
      <c r="L17" s="6">
        <v>1205</v>
      </c>
      <c r="M17" s="6">
        <v>1923</v>
      </c>
      <c r="N17" s="6">
        <v>660</v>
      </c>
      <c r="O17" s="6">
        <v>115</v>
      </c>
      <c r="P17" s="6">
        <v>0</v>
      </c>
      <c r="Q17" s="6">
        <v>230</v>
      </c>
      <c r="R17" s="6">
        <v>29</v>
      </c>
      <c r="U17" s="17" t="s">
        <v>156</v>
      </c>
      <c r="V17" s="18">
        <v>16</v>
      </c>
      <c r="W17" s="18" t="s">
        <v>15</v>
      </c>
      <c r="X17" s="18" t="s">
        <v>16</v>
      </c>
      <c r="Y17" s="18" t="s">
        <v>221</v>
      </c>
      <c r="Z17" s="18" t="s">
        <v>220</v>
      </c>
    </row>
    <row r="18" spans="2:26" x14ac:dyDescent="0.3">
      <c r="B18" t="s">
        <v>56</v>
      </c>
      <c r="C18">
        <v>2</v>
      </c>
      <c r="E18" t="s">
        <v>22</v>
      </c>
      <c r="F18" t="s">
        <v>21</v>
      </c>
      <c r="G18" s="6">
        <v>74000</v>
      </c>
      <c r="H18" s="6">
        <v>12728</v>
      </c>
      <c r="I18" s="6">
        <v>42920</v>
      </c>
      <c r="J18" s="6">
        <v>7622</v>
      </c>
      <c r="K18" s="6">
        <v>0</v>
      </c>
      <c r="L18" s="6">
        <v>3108</v>
      </c>
      <c r="M18" s="6">
        <v>4958</v>
      </c>
      <c r="N18" s="6">
        <v>1702</v>
      </c>
      <c r="O18" s="6">
        <v>296</v>
      </c>
      <c r="P18" s="6">
        <v>0</v>
      </c>
      <c r="Q18" s="6">
        <v>592</v>
      </c>
      <c r="R18" s="6">
        <v>74</v>
      </c>
      <c r="U18" s="17" t="s">
        <v>137</v>
      </c>
      <c r="V18" s="18">
        <v>19</v>
      </c>
      <c r="W18" s="18" t="s">
        <v>125</v>
      </c>
      <c r="X18" s="18" t="s">
        <v>23</v>
      </c>
      <c r="Y18" s="18" t="s">
        <v>210</v>
      </c>
      <c r="Z18" s="18" t="s">
        <v>205</v>
      </c>
    </row>
    <row r="19" spans="2:26" x14ac:dyDescent="0.3">
      <c r="B19" t="s">
        <v>55</v>
      </c>
      <c r="C19">
        <v>1</v>
      </c>
      <c r="E19" t="s">
        <v>22</v>
      </c>
      <c r="F19" t="s">
        <v>22</v>
      </c>
      <c r="G19" s="6">
        <v>180200</v>
      </c>
      <c r="H19" s="6">
        <v>1261</v>
      </c>
      <c r="I19" s="6">
        <v>171731</v>
      </c>
      <c r="J19" s="6">
        <v>0</v>
      </c>
      <c r="K19" s="6">
        <v>0</v>
      </c>
      <c r="L19" s="6">
        <v>5046</v>
      </c>
      <c r="M19" s="6">
        <v>0</v>
      </c>
      <c r="N19" s="6">
        <v>1261</v>
      </c>
      <c r="O19" s="6">
        <v>721</v>
      </c>
      <c r="P19" s="6">
        <v>0</v>
      </c>
      <c r="Q19" s="6">
        <v>0</v>
      </c>
      <c r="R19" s="6">
        <v>180</v>
      </c>
      <c r="U19" s="17" t="s">
        <v>140</v>
      </c>
      <c r="V19" s="18">
        <v>20</v>
      </c>
      <c r="W19" s="18" t="s">
        <v>125</v>
      </c>
      <c r="X19" s="18" t="s">
        <v>24</v>
      </c>
      <c r="Y19" s="18" t="s">
        <v>238</v>
      </c>
      <c r="Z19" s="18" t="s">
        <v>205</v>
      </c>
    </row>
    <row r="20" spans="2:26" x14ac:dyDescent="0.3">
      <c r="B20" t="s">
        <v>78</v>
      </c>
      <c r="C20">
        <v>2</v>
      </c>
      <c r="E20" t="s">
        <v>29</v>
      </c>
      <c r="F20" t="s">
        <v>23</v>
      </c>
      <c r="G20" s="6">
        <v>58900</v>
      </c>
      <c r="H20" s="6">
        <v>5242</v>
      </c>
      <c r="I20" s="6">
        <v>530</v>
      </c>
      <c r="J20" s="6">
        <v>0</v>
      </c>
      <c r="K20" s="6">
        <v>118</v>
      </c>
      <c r="L20" s="6">
        <v>39993</v>
      </c>
      <c r="M20" s="6">
        <v>12133</v>
      </c>
      <c r="N20" s="6">
        <v>412</v>
      </c>
      <c r="O20" s="6">
        <v>118</v>
      </c>
      <c r="P20" s="6">
        <v>59</v>
      </c>
      <c r="Q20" s="6">
        <v>0</v>
      </c>
      <c r="R20" s="6">
        <v>295</v>
      </c>
      <c r="U20" s="17" t="s">
        <v>134</v>
      </c>
      <c r="V20" s="18">
        <v>21</v>
      </c>
      <c r="W20" s="18" t="s">
        <v>125</v>
      </c>
      <c r="X20" s="18" t="s">
        <v>25</v>
      </c>
      <c r="Y20" s="18" t="s">
        <v>239</v>
      </c>
      <c r="Z20" s="18" t="s">
        <v>205</v>
      </c>
    </row>
    <row r="21" spans="2:26" x14ac:dyDescent="0.3">
      <c r="B21" t="s">
        <v>78</v>
      </c>
      <c r="C21">
        <v>2</v>
      </c>
      <c r="E21" t="s">
        <v>29</v>
      </c>
      <c r="F21" t="s">
        <v>24</v>
      </c>
      <c r="G21" s="6">
        <v>22100</v>
      </c>
      <c r="H21" s="6">
        <v>1967</v>
      </c>
      <c r="I21" s="6">
        <v>199</v>
      </c>
      <c r="J21" s="6">
        <v>0</v>
      </c>
      <c r="K21" s="6">
        <v>44</v>
      </c>
      <c r="L21" s="6">
        <v>15006</v>
      </c>
      <c r="M21" s="6">
        <v>4553</v>
      </c>
      <c r="N21" s="6">
        <v>155</v>
      </c>
      <c r="O21" s="6">
        <v>44</v>
      </c>
      <c r="P21" s="6">
        <v>22</v>
      </c>
      <c r="Q21" s="6">
        <v>0</v>
      </c>
      <c r="R21" s="6">
        <v>111</v>
      </c>
      <c r="U21" s="17" t="s">
        <v>129</v>
      </c>
      <c r="V21" s="18">
        <v>24</v>
      </c>
      <c r="W21" s="18" t="s">
        <v>125</v>
      </c>
      <c r="X21" s="18" t="s">
        <v>28</v>
      </c>
      <c r="Y21" s="18" t="s">
        <v>240</v>
      </c>
      <c r="Z21" s="18" t="s">
        <v>205</v>
      </c>
    </row>
    <row r="22" spans="2:26" x14ac:dyDescent="0.3">
      <c r="B22" t="s">
        <v>78</v>
      </c>
      <c r="C22">
        <v>2</v>
      </c>
      <c r="E22" t="s">
        <v>29</v>
      </c>
      <c r="F22" t="s">
        <v>25</v>
      </c>
      <c r="G22" s="6">
        <v>84600</v>
      </c>
      <c r="H22" s="6">
        <v>7529</v>
      </c>
      <c r="I22" s="6">
        <v>761</v>
      </c>
      <c r="J22" s="6">
        <v>0</v>
      </c>
      <c r="K22" s="6">
        <v>169</v>
      </c>
      <c r="L22" s="6">
        <v>57443</v>
      </c>
      <c r="M22" s="6">
        <v>17428</v>
      </c>
      <c r="N22" s="6">
        <v>592</v>
      </c>
      <c r="O22" s="6">
        <v>169</v>
      </c>
      <c r="P22" s="6">
        <v>85</v>
      </c>
      <c r="Q22" s="6">
        <v>0</v>
      </c>
      <c r="R22" s="6">
        <v>423</v>
      </c>
      <c r="U22" s="17" t="s">
        <v>186</v>
      </c>
      <c r="V22" s="18">
        <v>9</v>
      </c>
      <c r="W22" s="18" t="s">
        <v>173</v>
      </c>
      <c r="X22" s="18" t="s">
        <v>19</v>
      </c>
      <c r="Y22" s="18" t="s">
        <v>233</v>
      </c>
      <c r="Z22" s="18" t="s">
        <v>227</v>
      </c>
    </row>
    <row r="23" spans="2:26" x14ac:dyDescent="0.3">
      <c r="B23" t="s">
        <v>57</v>
      </c>
      <c r="C23">
        <v>3</v>
      </c>
      <c r="E23" t="s">
        <v>29</v>
      </c>
      <c r="F23" t="s">
        <v>26</v>
      </c>
      <c r="G23" s="6">
        <v>140800</v>
      </c>
      <c r="H23" s="6">
        <v>118950</v>
      </c>
      <c r="I23" s="6">
        <v>85</v>
      </c>
      <c r="J23" s="6">
        <v>0</v>
      </c>
      <c r="K23" s="6">
        <v>0</v>
      </c>
      <c r="L23" s="6">
        <v>9148</v>
      </c>
      <c r="M23" s="6">
        <v>10931</v>
      </c>
      <c r="N23" s="6">
        <v>0</v>
      </c>
      <c r="O23" s="6">
        <v>1685</v>
      </c>
      <c r="P23" s="6">
        <v>0</v>
      </c>
      <c r="Q23" s="6">
        <v>0</v>
      </c>
      <c r="R23" s="6">
        <v>0</v>
      </c>
      <c r="U23" s="17" t="s">
        <v>177</v>
      </c>
      <c r="V23" s="18">
        <v>10</v>
      </c>
      <c r="W23" s="18" t="s">
        <v>173</v>
      </c>
      <c r="X23" s="18" t="s">
        <v>20</v>
      </c>
      <c r="Y23" s="18" t="s">
        <v>241</v>
      </c>
      <c r="Z23" s="18" t="s">
        <v>227</v>
      </c>
    </row>
    <row r="24" spans="2:26" x14ac:dyDescent="0.3">
      <c r="B24" t="s">
        <v>57</v>
      </c>
      <c r="C24">
        <v>1</v>
      </c>
      <c r="E24" t="s">
        <v>29</v>
      </c>
      <c r="F24" t="s">
        <v>27</v>
      </c>
      <c r="G24" s="6">
        <v>243800</v>
      </c>
      <c r="H24" s="6">
        <v>200404</v>
      </c>
      <c r="I24" s="6">
        <v>975</v>
      </c>
      <c r="J24" s="6">
        <v>0</v>
      </c>
      <c r="K24" s="6">
        <v>20723</v>
      </c>
      <c r="L24" s="6">
        <v>4388</v>
      </c>
      <c r="M24" s="6">
        <v>12921</v>
      </c>
      <c r="N24" s="6">
        <v>1219</v>
      </c>
      <c r="O24" s="6">
        <v>731</v>
      </c>
      <c r="P24" s="6">
        <v>488</v>
      </c>
      <c r="Q24" s="6">
        <v>731</v>
      </c>
      <c r="R24" s="6">
        <v>1219</v>
      </c>
      <c r="U24" s="17" t="s">
        <v>180</v>
      </c>
      <c r="V24" s="18">
        <v>11</v>
      </c>
      <c r="W24" s="18" t="s">
        <v>173</v>
      </c>
      <c r="X24" s="18" t="s">
        <v>21</v>
      </c>
      <c r="Y24" s="18" t="s">
        <v>242</v>
      </c>
      <c r="Z24" s="18" t="s">
        <v>227</v>
      </c>
    </row>
    <row r="25" spans="2:26" x14ac:dyDescent="0.3">
      <c r="B25" t="s">
        <v>77</v>
      </c>
      <c r="C25">
        <v>2</v>
      </c>
      <c r="E25" t="s">
        <v>29</v>
      </c>
      <c r="F25" t="s">
        <v>28</v>
      </c>
      <c r="G25" s="6">
        <v>87700</v>
      </c>
      <c r="H25" s="6">
        <v>7805</v>
      </c>
      <c r="I25" s="6">
        <v>789</v>
      </c>
      <c r="J25" s="6">
        <v>0</v>
      </c>
      <c r="K25" s="6">
        <v>175</v>
      </c>
      <c r="L25" s="6">
        <v>59548</v>
      </c>
      <c r="M25" s="6">
        <v>18066</v>
      </c>
      <c r="N25" s="6">
        <v>614</v>
      </c>
      <c r="O25" s="6">
        <v>175</v>
      </c>
      <c r="P25" s="6">
        <v>88</v>
      </c>
      <c r="Q25" s="6">
        <v>0</v>
      </c>
      <c r="R25" s="6">
        <v>439</v>
      </c>
      <c r="U25" s="17" t="s">
        <v>175</v>
      </c>
      <c r="V25" s="18">
        <v>12</v>
      </c>
      <c r="W25" s="18" t="s">
        <v>173</v>
      </c>
      <c r="X25" s="18" t="s">
        <v>22</v>
      </c>
      <c r="Y25" s="18" t="s">
        <v>243</v>
      </c>
      <c r="Z25" s="18" t="s">
        <v>227</v>
      </c>
    </row>
    <row r="26" spans="2:26" x14ac:dyDescent="0.3">
      <c r="B26" t="s">
        <v>73</v>
      </c>
      <c r="C26">
        <v>1</v>
      </c>
      <c r="E26" t="s">
        <v>33</v>
      </c>
      <c r="F26" t="s">
        <v>31</v>
      </c>
      <c r="G26" s="6">
        <v>32100</v>
      </c>
      <c r="H26" s="6">
        <v>578</v>
      </c>
      <c r="I26" s="6">
        <v>6837</v>
      </c>
      <c r="J26" s="6">
        <v>289</v>
      </c>
      <c r="K26" s="6">
        <v>0</v>
      </c>
      <c r="L26" s="6">
        <v>19228</v>
      </c>
      <c r="M26" s="6">
        <v>64</v>
      </c>
      <c r="N26" s="6">
        <v>4719</v>
      </c>
      <c r="O26" s="6">
        <v>353</v>
      </c>
      <c r="P26" s="6">
        <v>0</v>
      </c>
      <c r="Q26" s="6">
        <v>0</v>
      </c>
      <c r="R26" s="6">
        <v>32</v>
      </c>
      <c r="U26" s="17" t="s">
        <v>158</v>
      </c>
      <c r="V26" s="18">
        <v>15</v>
      </c>
      <c r="W26" s="18" t="s">
        <v>15</v>
      </c>
      <c r="X26" s="18" t="s">
        <v>14</v>
      </c>
      <c r="Y26" s="18" t="s">
        <v>229</v>
      </c>
      <c r="Z26" s="18" t="s">
        <v>228</v>
      </c>
    </row>
    <row r="27" spans="2:26" x14ac:dyDescent="0.3">
      <c r="B27" t="s">
        <v>73</v>
      </c>
      <c r="C27">
        <v>3</v>
      </c>
      <c r="E27" t="s">
        <v>33</v>
      </c>
      <c r="F27" t="s">
        <v>30</v>
      </c>
      <c r="G27" s="6">
        <v>296600</v>
      </c>
      <c r="H27" s="6">
        <v>67529</v>
      </c>
      <c r="I27" s="6">
        <v>172623</v>
      </c>
      <c r="J27" s="6">
        <v>224</v>
      </c>
      <c r="K27" s="6">
        <v>0</v>
      </c>
      <c r="L27" s="6">
        <v>23210</v>
      </c>
      <c r="M27" s="6">
        <v>666</v>
      </c>
      <c r="N27" s="6">
        <v>28501</v>
      </c>
      <c r="O27" s="6">
        <v>2140</v>
      </c>
      <c r="P27" s="6">
        <v>0</v>
      </c>
      <c r="Q27" s="6">
        <v>1266</v>
      </c>
      <c r="R27" s="6">
        <v>441</v>
      </c>
      <c r="U27" s="17" t="s">
        <v>163</v>
      </c>
      <c r="V27" s="18">
        <v>17</v>
      </c>
      <c r="W27" s="18" t="s">
        <v>15</v>
      </c>
      <c r="X27" s="18" t="s">
        <v>17</v>
      </c>
      <c r="Y27" s="18" t="s">
        <v>229</v>
      </c>
      <c r="Z27" s="18" t="s">
        <v>228</v>
      </c>
    </row>
    <row r="28" spans="2:26" x14ac:dyDescent="0.3">
      <c r="B28" t="s">
        <v>75</v>
      </c>
      <c r="C28">
        <v>1</v>
      </c>
      <c r="E28" t="s">
        <v>33</v>
      </c>
      <c r="F28" t="s">
        <v>32</v>
      </c>
      <c r="G28" s="6">
        <v>255700</v>
      </c>
      <c r="H28" s="6">
        <v>20456</v>
      </c>
      <c r="I28" s="6">
        <v>219646</v>
      </c>
      <c r="J28" s="6">
        <v>0</v>
      </c>
      <c r="K28" s="6">
        <v>0</v>
      </c>
      <c r="L28" s="6">
        <v>3068</v>
      </c>
      <c r="M28" s="6">
        <v>767</v>
      </c>
      <c r="N28" s="6">
        <v>9461</v>
      </c>
      <c r="O28" s="6">
        <v>1023</v>
      </c>
      <c r="P28" s="6">
        <v>256</v>
      </c>
      <c r="Q28" s="6">
        <v>767</v>
      </c>
      <c r="R28" s="6">
        <v>256</v>
      </c>
      <c r="U28" s="17"/>
      <c r="V28" s="18">
        <v>4</v>
      </c>
      <c r="W28" s="18"/>
      <c r="X28" s="18"/>
      <c r="Y28" s="18" t="s">
        <v>223</v>
      </c>
      <c r="Z28" s="18" t="s">
        <v>66</v>
      </c>
    </row>
    <row r="29" spans="2:26" x14ac:dyDescent="0.3"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U29" s="19" t="s">
        <v>154</v>
      </c>
      <c r="V29" s="20">
        <v>5</v>
      </c>
      <c r="W29" s="20" t="s">
        <v>6</v>
      </c>
      <c r="X29" s="20" t="s">
        <v>6</v>
      </c>
      <c r="Y29" s="20" t="s">
        <v>225</v>
      </c>
      <c r="Z29" s="20" t="s">
        <v>67</v>
      </c>
    </row>
    <row r="31" spans="2:26" x14ac:dyDescent="0.3">
      <c r="H31" s="11" t="s">
        <v>37</v>
      </c>
      <c r="I31" s="11" t="s">
        <v>36</v>
      </c>
      <c r="J31" s="11" t="s">
        <v>38</v>
      </c>
      <c r="K31" s="11" t="s">
        <v>39</v>
      </c>
      <c r="L31" s="12" t="s">
        <v>41</v>
      </c>
      <c r="M31" s="12" t="s">
        <v>48</v>
      </c>
      <c r="N31" s="12" t="s">
        <v>47</v>
      </c>
      <c r="O31" s="12" t="s">
        <v>79</v>
      </c>
      <c r="P31" s="12" t="s">
        <v>52</v>
      </c>
      <c r="Q31" s="12" t="s">
        <v>50</v>
      </c>
      <c r="R31" s="13" t="s">
        <v>42</v>
      </c>
    </row>
    <row r="32" spans="2:26" x14ac:dyDescent="0.3">
      <c r="F32" s="7" t="s">
        <v>114</v>
      </c>
      <c r="G32" s="8">
        <v>4842400</v>
      </c>
      <c r="H32" s="6">
        <v>1094940</v>
      </c>
      <c r="I32" s="6">
        <v>1198955</v>
      </c>
      <c r="J32" s="6">
        <v>388716</v>
      </c>
      <c r="K32" s="6">
        <v>38060</v>
      </c>
      <c r="L32" s="6">
        <v>1271937</v>
      </c>
      <c r="M32" s="6">
        <v>353811</v>
      </c>
      <c r="N32" s="6">
        <v>231966</v>
      </c>
      <c r="O32" s="6">
        <v>136191</v>
      </c>
      <c r="P32" s="6">
        <v>34675</v>
      </c>
      <c r="Q32" s="6">
        <v>24759</v>
      </c>
      <c r="R32" s="6">
        <v>68393</v>
      </c>
    </row>
    <row r="33" spans="6:18" x14ac:dyDescent="0.3">
      <c r="G33" s="10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spans="6:18" x14ac:dyDescent="0.3">
      <c r="H34" s="9">
        <f>H32/$G$32</f>
        <v>0.22611514951263836</v>
      </c>
      <c r="I34" s="9">
        <f>I32/$G$32</f>
        <v>0.24759520072691227</v>
      </c>
      <c r="J34" s="9">
        <f t="shared" ref="J34:R34" si="0">J32/$G$32</f>
        <v>8.0273418139765407E-2</v>
      </c>
      <c r="K34" s="9">
        <f t="shared" si="0"/>
        <v>7.8597389724103742E-3</v>
      </c>
      <c r="L34" s="9">
        <f t="shared" si="0"/>
        <v>0.26266665289938873</v>
      </c>
      <c r="M34" s="9">
        <f t="shared" si="0"/>
        <v>7.3065215595572441E-2</v>
      </c>
      <c r="N34" s="9">
        <f t="shared" si="0"/>
        <v>4.7903105897901865E-2</v>
      </c>
      <c r="O34" s="9">
        <f t="shared" si="0"/>
        <v>2.8124690236246488E-2</v>
      </c>
      <c r="P34" s="9">
        <f t="shared" si="0"/>
        <v>7.1607054353213283E-3</v>
      </c>
      <c r="Q34" s="9">
        <f t="shared" si="0"/>
        <v>5.1129605154468854E-3</v>
      </c>
      <c r="R34" s="9">
        <f t="shared" si="0"/>
        <v>1.4123781595902858E-2</v>
      </c>
    </row>
    <row r="35" spans="6:18" x14ac:dyDescent="0.3">
      <c r="F35" s="1" t="s">
        <v>112</v>
      </c>
    </row>
    <row r="36" spans="6:18" x14ac:dyDescent="0.3">
      <c r="F36" s="4" t="s">
        <v>110</v>
      </c>
      <c r="G36" s="4" t="s">
        <v>111</v>
      </c>
    </row>
    <row r="37" spans="6:18" x14ac:dyDescent="0.3">
      <c r="F37" t="s">
        <v>105</v>
      </c>
      <c r="G37" s="14">
        <f>SUM(H34:I34)</f>
        <v>0.47371035023955066</v>
      </c>
    </row>
    <row r="38" spans="6:18" x14ac:dyDescent="0.3">
      <c r="F38" t="s">
        <v>106</v>
      </c>
      <c r="G38" s="14">
        <f>SUM(L34:Q34)</f>
        <v>0.42403333057987774</v>
      </c>
    </row>
    <row r="39" spans="6:18" x14ac:dyDescent="0.3">
      <c r="F39" t="s">
        <v>107</v>
      </c>
      <c r="G39" s="14">
        <f>J34</f>
        <v>8.0273418139765407E-2</v>
      </c>
    </row>
    <row r="40" spans="6:18" x14ac:dyDescent="0.3">
      <c r="F40" t="s">
        <v>108</v>
      </c>
      <c r="G40" s="14">
        <f>K34</f>
        <v>7.8597389724103742E-3</v>
      </c>
    </row>
    <row r="41" spans="6:18" x14ac:dyDescent="0.3">
      <c r="F41" t="s">
        <v>109</v>
      </c>
      <c r="G41" s="14">
        <f>R34</f>
        <v>1.4123781595902858E-2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C44CC-8D37-4665-BEB8-715D0E9D1363}">
  <dimension ref="A1:N30"/>
  <sheetViews>
    <sheetView workbookViewId="0">
      <selection activeCell="C6" sqref="C5:C6"/>
    </sheetView>
  </sheetViews>
  <sheetFormatPr defaultRowHeight="14.4" x14ac:dyDescent="0.3"/>
  <sheetData>
    <row r="1" spans="1:14" s="1" customFormat="1" x14ac:dyDescent="0.3">
      <c r="A1" s="1" t="s">
        <v>1</v>
      </c>
      <c r="B1" s="1" t="s">
        <v>0</v>
      </c>
      <c r="C1" s="1" t="s">
        <v>35</v>
      </c>
      <c r="D1" s="1" t="s">
        <v>37</v>
      </c>
      <c r="E1" s="1" t="s">
        <v>36</v>
      </c>
      <c r="F1" s="1" t="s">
        <v>38</v>
      </c>
      <c r="G1" s="1" t="s">
        <v>39</v>
      </c>
      <c r="H1" s="1" t="s">
        <v>41</v>
      </c>
      <c r="I1" s="1" t="s">
        <v>48</v>
      </c>
      <c r="J1" s="1" t="s">
        <v>47</v>
      </c>
      <c r="K1" s="1" t="s">
        <v>49</v>
      </c>
      <c r="L1" s="1" t="s">
        <v>115</v>
      </c>
      <c r="M1" s="1" t="s">
        <v>50</v>
      </c>
      <c r="N1" s="1" t="s">
        <v>42</v>
      </c>
    </row>
    <row r="2" spans="1:14" x14ac:dyDescent="0.3">
      <c r="A2" t="s">
        <v>2</v>
      </c>
      <c r="B2" t="s">
        <v>2</v>
      </c>
      <c r="C2">
        <v>324000</v>
      </c>
      <c r="D2">
        <v>219348</v>
      </c>
      <c r="E2">
        <v>3564</v>
      </c>
      <c r="F2">
        <v>0</v>
      </c>
      <c r="G2">
        <v>16200</v>
      </c>
      <c r="H2">
        <v>34992</v>
      </c>
      <c r="I2">
        <v>46980</v>
      </c>
      <c r="J2">
        <v>1944</v>
      </c>
      <c r="K2">
        <v>0</v>
      </c>
      <c r="L2">
        <v>0</v>
      </c>
      <c r="M2">
        <v>972</v>
      </c>
      <c r="N2">
        <v>0</v>
      </c>
    </row>
    <row r="3" spans="1:14" x14ac:dyDescent="0.3">
      <c r="A3" t="s">
        <v>5</v>
      </c>
      <c r="B3" t="s">
        <v>3</v>
      </c>
      <c r="C3">
        <v>214600</v>
      </c>
      <c r="D3">
        <v>28542</v>
      </c>
      <c r="E3">
        <v>157302</v>
      </c>
      <c r="F3">
        <v>0</v>
      </c>
      <c r="G3">
        <v>0</v>
      </c>
      <c r="H3">
        <v>15666</v>
      </c>
      <c r="I3">
        <v>1502</v>
      </c>
      <c r="J3">
        <v>11374</v>
      </c>
      <c r="K3">
        <v>0</v>
      </c>
      <c r="L3">
        <v>0</v>
      </c>
      <c r="M3">
        <v>0</v>
      </c>
      <c r="N3">
        <v>215</v>
      </c>
    </row>
    <row r="4" spans="1:14" x14ac:dyDescent="0.3">
      <c r="A4" t="s">
        <v>5</v>
      </c>
      <c r="B4" t="s">
        <v>4</v>
      </c>
      <c r="C4">
        <v>30500</v>
      </c>
      <c r="D4">
        <v>4057</v>
      </c>
      <c r="E4">
        <v>22357</v>
      </c>
      <c r="F4">
        <v>0</v>
      </c>
      <c r="G4">
        <v>0</v>
      </c>
      <c r="H4">
        <v>2227</v>
      </c>
      <c r="I4">
        <v>214</v>
      </c>
      <c r="J4">
        <v>1617</v>
      </c>
      <c r="K4">
        <v>0</v>
      </c>
      <c r="L4">
        <v>0</v>
      </c>
      <c r="M4">
        <v>0</v>
      </c>
      <c r="N4">
        <v>31</v>
      </c>
    </row>
    <row r="5" spans="1:14" x14ac:dyDescent="0.3">
      <c r="A5" t="s">
        <v>6</v>
      </c>
      <c r="B5" t="s">
        <v>66</v>
      </c>
      <c r="C5">
        <v>120173</v>
      </c>
      <c r="D5">
        <v>11897</v>
      </c>
      <c r="E5">
        <v>2403</v>
      </c>
      <c r="F5">
        <v>240</v>
      </c>
      <c r="G5">
        <v>120</v>
      </c>
      <c r="H5">
        <v>15863</v>
      </c>
      <c r="I5">
        <v>23073</v>
      </c>
      <c r="J5">
        <v>11777</v>
      </c>
      <c r="K5">
        <v>33769</v>
      </c>
      <c r="L5">
        <v>6730</v>
      </c>
      <c r="M5">
        <v>3485</v>
      </c>
      <c r="N5">
        <v>10816</v>
      </c>
    </row>
    <row r="6" spans="1:14" x14ac:dyDescent="0.3">
      <c r="A6" t="s">
        <v>6</v>
      </c>
      <c r="B6" t="s">
        <v>67</v>
      </c>
      <c r="C6">
        <v>221527</v>
      </c>
      <c r="D6">
        <v>138011</v>
      </c>
      <c r="E6">
        <v>45856</v>
      </c>
      <c r="F6">
        <v>3544</v>
      </c>
      <c r="G6">
        <v>0</v>
      </c>
      <c r="H6">
        <v>3987</v>
      </c>
      <c r="I6">
        <v>10855</v>
      </c>
      <c r="J6">
        <v>3544</v>
      </c>
      <c r="K6">
        <v>3544</v>
      </c>
      <c r="L6">
        <v>1108</v>
      </c>
      <c r="M6">
        <v>1772</v>
      </c>
      <c r="N6">
        <v>9304</v>
      </c>
    </row>
    <row r="7" spans="1:14" x14ac:dyDescent="0.3">
      <c r="A7" t="s">
        <v>10</v>
      </c>
      <c r="B7" t="s">
        <v>7</v>
      </c>
      <c r="C7">
        <v>33800</v>
      </c>
      <c r="D7">
        <v>16461</v>
      </c>
      <c r="E7">
        <v>4969</v>
      </c>
      <c r="F7">
        <v>4969</v>
      </c>
      <c r="G7">
        <v>0</v>
      </c>
      <c r="H7">
        <v>2400</v>
      </c>
      <c r="I7">
        <v>2366</v>
      </c>
      <c r="J7">
        <v>2467</v>
      </c>
      <c r="K7">
        <v>0</v>
      </c>
      <c r="L7">
        <v>0</v>
      </c>
      <c r="M7">
        <v>101</v>
      </c>
      <c r="N7">
        <v>68</v>
      </c>
    </row>
    <row r="8" spans="1:14" x14ac:dyDescent="0.3">
      <c r="A8" t="s">
        <v>10</v>
      </c>
      <c r="B8" t="s">
        <v>8</v>
      </c>
      <c r="C8">
        <v>86400</v>
      </c>
      <c r="D8">
        <v>42077</v>
      </c>
      <c r="E8">
        <v>12701</v>
      </c>
      <c r="F8">
        <v>12701</v>
      </c>
      <c r="G8">
        <v>0</v>
      </c>
      <c r="H8">
        <v>6134</v>
      </c>
      <c r="I8">
        <v>6048</v>
      </c>
      <c r="J8">
        <v>6307</v>
      </c>
      <c r="K8">
        <v>0</v>
      </c>
      <c r="L8">
        <v>0</v>
      </c>
      <c r="M8">
        <v>259</v>
      </c>
      <c r="N8">
        <v>173</v>
      </c>
    </row>
    <row r="9" spans="1:14" x14ac:dyDescent="0.3">
      <c r="A9" t="s">
        <v>10</v>
      </c>
      <c r="B9" t="s">
        <v>9</v>
      </c>
      <c r="C9">
        <v>177400</v>
      </c>
      <c r="D9">
        <v>50736</v>
      </c>
      <c r="E9">
        <v>28384</v>
      </c>
      <c r="F9">
        <v>887</v>
      </c>
      <c r="G9">
        <v>0</v>
      </c>
      <c r="H9">
        <v>27674</v>
      </c>
      <c r="I9">
        <v>16853</v>
      </c>
      <c r="J9">
        <v>32996</v>
      </c>
      <c r="K9">
        <v>8693</v>
      </c>
      <c r="L9">
        <v>1951</v>
      </c>
      <c r="M9">
        <v>1419</v>
      </c>
      <c r="N9">
        <v>7806</v>
      </c>
    </row>
    <row r="10" spans="1:14" x14ac:dyDescent="0.3">
      <c r="A10" t="s">
        <v>13</v>
      </c>
      <c r="B10" t="s">
        <v>11</v>
      </c>
      <c r="C10">
        <v>129500</v>
      </c>
      <c r="D10">
        <v>3367</v>
      </c>
      <c r="E10">
        <v>27454</v>
      </c>
      <c r="F10">
        <v>0</v>
      </c>
      <c r="G10">
        <v>0</v>
      </c>
      <c r="H10">
        <v>92593</v>
      </c>
      <c r="I10">
        <v>4015</v>
      </c>
      <c r="J10">
        <v>518</v>
      </c>
      <c r="K10">
        <v>1036</v>
      </c>
      <c r="L10">
        <v>130</v>
      </c>
      <c r="M10">
        <v>130</v>
      </c>
      <c r="N10">
        <v>259</v>
      </c>
    </row>
    <row r="11" spans="1:14" x14ac:dyDescent="0.3">
      <c r="A11" t="s">
        <v>13</v>
      </c>
      <c r="B11" t="s">
        <v>12</v>
      </c>
      <c r="C11">
        <v>260500</v>
      </c>
      <c r="D11">
        <v>782</v>
      </c>
      <c r="E11">
        <v>4689</v>
      </c>
      <c r="F11">
        <v>0</v>
      </c>
      <c r="G11">
        <v>0</v>
      </c>
      <c r="H11">
        <v>239921</v>
      </c>
      <c r="I11">
        <v>2345</v>
      </c>
      <c r="J11">
        <v>5471</v>
      </c>
      <c r="K11">
        <v>1824</v>
      </c>
      <c r="L11">
        <v>1824</v>
      </c>
      <c r="M11">
        <v>261</v>
      </c>
      <c r="N11">
        <v>3387</v>
      </c>
    </row>
    <row r="12" spans="1:14" x14ac:dyDescent="0.3">
      <c r="A12" t="s">
        <v>15</v>
      </c>
      <c r="B12" t="s">
        <v>14</v>
      </c>
      <c r="C12">
        <v>300800</v>
      </c>
      <c r="D12">
        <v>3910</v>
      </c>
      <c r="E12">
        <v>9926</v>
      </c>
      <c r="F12">
        <v>164237</v>
      </c>
      <c r="G12">
        <v>0</v>
      </c>
      <c r="H12">
        <v>70688</v>
      </c>
      <c r="I12">
        <v>37901</v>
      </c>
      <c r="J12">
        <v>9024</v>
      </c>
      <c r="K12">
        <v>1504</v>
      </c>
      <c r="L12">
        <v>301</v>
      </c>
      <c r="M12">
        <v>2106</v>
      </c>
      <c r="N12">
        <v>1203</v>
      </c>
    </row>
    <row r="13" spans="1:14" x14ac:dyDescent="0.3">
      <c r="A13" t="s">
        <v>15</v>
      </c>
      <c r="B13" t="s">
        <v>16</v>
      </c>
      <c r="C13">
        <v>553800</v>
      </c>
      <c r="D13">
        <v>33782</v>
      </c>
      <c r="E13">
        <v>139558</v>
      </c>
      <c r="F13">
        <v>96361</v>
      </c>
      <c r="G13">
        <v>0</v>
      </c>
      <c r="H13">
        <v>201029</v>
      </c>
      <c r="I13">
        <v>41535</v>
      </c>
      <c r="J13">
        <v>24921</v>
      </c>
      <c r="K13">
        <v>4984</v>
      </c>
      <c r="L13">
        <v>2215</v>
      </c>
      <c r="M13">
        <v>1661</v>
      </c>
      <c r="N13">
        <v>7753</v>
      </c>
    </row>
    <row r="14" spans="1:14" x14ac:dyDescent="0.3">
      <c r="A14" t="s">
        <v>15</v>
      </c>
      <c r="B14" t="s">
        <v>17</v>
      </c>
      <c r="C14">
        <v>277000</v>
      </c>
      <c r="D14">
        <v>82269</v>
      </c>
      <c r="E14">
        <v>6094</v>
      </c>
      <c r="F14">
        <v>87532</v>
      </c>
      <c r="G14">
        <v>0</v>
      </c>
      <c r="H14">
        <v>80053</v>
      </c>
      <c r="I14">
        <v>1108</v>
      </c>
      <c r="J14">
        <v>18005</v>
      </c>
      <c r="K14">
        <v>831</v>
      </c>
      <c r="L14">
        <v>0</v>
      </c>
      <c r="M14">
        <v>831</v>
      </c>
      <c r="N14">
        <v>277</v>
      </c>
    </row>
    <row r="15" spans="1:14" x14ac:dyDescent="0.3">
      <c r="A15" t="s">
        <v>15</v>
      </c>
      <c r="B15" t="s">
        <v>18</v>
      </c>
      <c r="C15">
        <v>511000</v>
      </c>
      <c r="D15">
        <v>10220</v>
      </c>
      <c r="E15">
        <v>14819</v>
      </c>
      <c r="F15">
        <v>7154</v>
      </c>
      <c r="G15">
        <v>511</v>
      </c>
      <c r="H15">
        <v>229950</v>
      </c>
      <c r="I15">
        <v>74606</v>
      </c>
      <c r="J15">
        <v>50589</v>
      </c>
      <c r="K15">
        <v>72051</v>
      </c>
      <c r="L15">
        <v>19418</v>
      </c>
      <c r="M15">
        <v>8176</v>
      </c>
      <c r="N15">
        <v>23506</v>
      </c>
    </row>
    <row r="16" spans="1:14" x14ac:dyDescent="0.3">
      <c r="A16" t="s">
        <v>22</v>
      </c>
      <c r="B16" t="s">
        <v>19</v>
      </c>
      <c r="C16">
        <v>96200</v>
      </c>
      <c r="D16">
        <v>96</v>
      </c>
      <c r="E16">
        <v>85137</v>
      </c>
      <c r="F16">
        <v>0</v>
      </c>
      <c r="G16">
        <v>0</v>
      </c>
      <c r="H16">
        <v>8369</v>
      </c>
      <c r="I16">
        <v>0</v>
      </c>
      <c r="J16">
        <v>2116</v>
      </c>
      <c r="K16">
        <v>385</v>
      </c>
      <c r="L16">
        <v>0</v>
      </c>
      <c r="M16">
        <v>0</v>
      </c>
      <c r="N16">
        <v>96</v>
      </c>
    </row>
    <row r="17" spans="1:14" x14ac:dyDescent="0.3">
      <c r="A17" t="s">
        <v>22</v>
      </c>
      <c r="B17" t="s">
        <v>20</v>
      </c>
      <c r="C17">
        <v>28700</v>
      </c>
      <c r="D17">
        <v>4936</v>
      </c>
      <c r="E17">
        <v>16646</v>
      </c>
      <c r="F17">
        <v>2956</v>
      </c>
      <c r="G17">
        <v>0</v>
      </c>
      <c r="H17">
        <v>1205</v>
      </c>
      <c r="I17">
        <v>1923</v>
      </c>
      <c r="J17">
        <v>660</v>
      </c>
      <c r="K17">
        <v>115</v>
      </c>
      <c r="L17">
        <v>0</v>
      </c>
      <c r="M17">
        <v>230</v>
      </c>
      <c r="N17">
        <v>29</v>
      </c>
    </row>
    <row r="18" spans="1:14" x14ac:dyDescent="0.3">
      <c r="A18" t="s">
        <v>22</v>
      </c>
      <c r="B18" t="s">
        <v>21</v>
      </c>
      <c r="C18">
        <v>74000</v>
      </c>
      <c r="D18">
        <v>12728</v>
      </c>
      <c r="E18">
        <v>42920</v>
      </c>
      <c r="F18">
        <v>7622</v>
      </c>
      <c r="G18">
        <v>0</v>
      </c>
      <c r="H18">
        <v>3108</v>
      </c>
      <c r="I18">
        <v>4958</v>
      </c>
      <c r="J18">
        <v>1702</v>
      </c>
      <c r="K18">
        <v>296</v>
      </c>
      <c r="L18">
        <v>0</v>
      </c>
      <c r="M18">
        <v>592</v>
      </c>
      <c r="N18">
        <v>74</v>
      </c>
    </row>
    <row r="19" spans="1:14" x14ac:dyDescent="0.3">
      <c r="A19" t="s">
        <v>22</v>
      </c>
      <c r="B19" t="s">
        <v>22</v>
      </c>
      <c r="C19">
        <v>180200</v>
      </c>
      <c r="D19">
        <v>1261</v>
      </c>
      <c r="E19">
        <v>171731</v>
      </c>
      <c r="F19">
        <v>0</v>
      </c>
      <c r="G19">
        <v>0</v>
      </c>
      <c r="H19">
        <v>5046</v>
      </c>
      <c r="I19">
        <v>0</v>
      </c>
      <c r="J19">
        <v>1261</v>
      </c>
      <c r="K19">
        <v>721</v>
      </c>
      <c r="L19">
        <v>0</v>
      </c>
      <c r="M19">
        <v>0</v>
      </c>
      <c r="N19">
        <v>180</v>
      </c>
    </row>
    <row r="20" spans="1:14" x14ac:dyDescent="0.3">
      <c r="A20" t="s">
        <v>29</v>
      </c>
      <c r="B20" t="s">
        <v>23</v>
      </c>
      <c r="C20">
        <v>58900</v>
      </c>
      <c r="D20">
        <v>5242</v>
      </c>
      <c r="E20">
        <v>530</v>
      </c>
      <c r="F20">
        <v>0</v>
      </c>
      <c r="G20">
        <v>118</v>
      </c>
      <c r="H20">
        <v>39993</v>
      </c>
      <c r="I20">
        <v>12133</v>
      </c>
      <c r="J20">
        <v>412</v>
      </c>
      <c r="K20">
        <v>118</v>
      </c>
      <c r="L20">
        <v>59</v>
      </c>
      <c r="M20">
        <v>0</v>
      </c>
      <c r="N20">
        <v>295</v>
      </c>
    </row>
    <row r="21" spans="1:14" x14ac:dyDescent="0.3">
      <c r="A21" t="s">
        <v>29</v>
      </c>
      <c r="B21" t="s">
        <v>24</v>
      </c>
      <c r="C21">
        <v>22100</v>
      </c>
      <c r="D21">
        <v>1967</v>
      </c>
      <c r="E21">
        <v>199</v>
      </c>
      <c r="F21">
        <v>0</v>
      </c>
      <c r="G21">
        <v>44</v>
      </c>
      <c r="H21">
        <v>15006</v>
      </c>
      <c r="I21">
        <v>4553</v>
      </c>
      <c r="J21">
        <v>155</v>
      </c>
      <c r="K21">
        <v>44</v>
      </c>
      <c r="L21">
        <v>22</v>
      </c>
      <c r="M21">
        <v>0</v>
      </c>
      <c r="N21">
        <v>111</v>
      </c>
    </row>
    <row r="22" spans="1:14" x14ac:dyDescent="0.3">
      <c r="A22" t="s">
        <v>29</v>
      </c>
      <c r="B22" t="s">
        <v>59</v>
      </c>
      <c r="C22">
        <v>85338</v>
      </c>
      <c r="D22">
        <v>68868</v>
      </c>
      <c r="E22">
        <v>85</v>
      </c>
      <c r="F22">
        <v>0</v>
      </c>
      <c r="G22">
        <v>0</v>
      </c>
      <c r="H22">
        <v>8704</v>
      </c>
      <c r="I22">
        <v>6827</v>
      </c>
      <c r="J22">
        <v>0</v>
      </c>
      <c r="K22">
        <v>853</v>
      </c>
      <c r="L22">
        <v>0</v>
      </c>
      <c r="M22">
        <v>0</v>
      </c>
      <c r="N22">
        <v>0</v>
      </c>
    </row>
    <row r="23" spans="1:14" x14ac:dyDescent="0.3">
      <c r="A23" t="s">
        <v>29</v>
      </c>
      <c r="B23" t="s">
        <v>25</v>
      </c>
      <c r="C23">
        <v>84600</v>
      </c>
      <c r="D23">
        <v>7529</v>
      </c>
      <c r="E23">
        <v>761</v>
      </c>
      <c r="F23">
        <v>0</v>
      </c>
      <c r="G23">
        <v>169</v>
      </c>
      <c r="H23">
        <v>57443</v>
      </c>
      <c r="I23">
        <v>17428</v>
      </c>
      <c r="J23">
        <v>592</v>
      </c>
      <c r="K23">
        <v>169</v>
      </c>
      <c r="L23">
        <v>85</v>
      </c>
      <c r="M23">
        <v>0</v>
      </c>
      <c r="N23">
        <v>423</v>
      </c>
    </row>
    <row r="24" spans="1:14" x14ac:dyDescent="0.3">
      <c r="A24" t="s">
        <v>29</v>
      </c>
      <c r="B24" t="s">
        <v>60</v>
      </c>
      <c r="C24">
        <v>55462</v>
      </c>
      <c r="D24">
        <v>50082</v>
      </c>
      <c r="E24">
        <v>0</v>
      </c>
      <c r="F24">
        <v>0</v>
      </c>
      <c r="G24">
        <v>0</v>
      </c>
      <c r="H24">
        <v>444</v>
      </c>
      <c r="I24">
        <v>4104</v>
      </c>
      <c r="J24">
        <v>0</v>
      </c>
      <c r="K24">
        <v>832</v>
      </c>
      <c r="L24">
        <v>0</v>
      </c>
      <c r="M24">
        <v>0</v>
      </c>
      <c r="N24">
        <v>0</v>
      </c>
    </row>
    <row r="25" spans="1:14" x14ac:dyDescent="0.3">
      <c r="A25" t="s">
        <v>29</v>
      </c>
      <c r="B25" t="s">
        <v>27</v>
      </c>
      <c r="C25">
        <v>243800</v>
      </c>
      <c r="D25">
        <v>200404</v>
      </c>
      <c r="E25">
        <v>975</v>
      </c>
      <c r="F25">
        <v>0</v>
      </c>
      <c r="G25">
        <v>20723</v>
      </c>
      <c r="H25">
        <v>4388</v>
      </c>
      <c r="I25">
        <v>12921</v>
      </c>
      <c r="J25">
        <v>1219</v>
      </c>
      <c r="K25">
        <v>731</v>
      </c>
      <c r="L25">
        <v>488</v>
      </c>
      <c r="M25">
        <v>731</v>
      </c>
      <c r="N25">
        <v>1219</v>
      </c>
    </row>
    <row r="26" spans="1:14" x14ac:dyDescent="0.3">
      <c r="A26" t="s">
        <v>29</v>
      </c>
      <c r="B26" t="s">
        <v>28</v>
      </c>
      <c r="C26">
        <v>87700</v>
      </c>
      <c r="D26">
        <v>7805</v>
      </c>
      <c r="E26">
        <v>789</v>
      </c>
      <c r="F26">
        <v>0</v>
      </c>
      <c r="G26">
        <v>175</v>
      </c>
      <c r="H26">
        <v>59548</v>
      </c>
      <c r="I26">
        <v>18066</v>
      </c>
      <c r="J26">
        <v>614</v>
      </c>
      <c r="K26">
        <v>175</v>
      </c>
      <c r="L26">
        <v>88</v>
      </c>
      <c r="M26">
        <v>0</v>
      </c>
      <c r="N26">
        <v>439</v>
      </c>
    </row>
    <row r="27" spans="1:14" x14ac:dyDescent="0.3">
      <c r="A27" t="s">
        <v>33</v>
      </c>
      <c r="B27" t="s">
        <v>31</v>
      </c>
      <c r="C27">
        <v>32100</v>
      </c>
      <c r="D27">
        <v>578</v>
      </c>
      <c r="E27">
        <v>6837</v>
      </c>
      <c r="F27">
        <v>289</v>
      </c>
      <c r="G27">
        <v>0</v>
      </c>
      <c r="H27">
        <v>19228</v>
      </c>
      <c r="I27">
        <v>64</v>
      </c>
      <c r="J27">
        <v>4719</v>
      </c>
      <c r="K27">
        <v>353</v>
      </c>
      <c r="L27">
        <v>0</v>
      </c>
      <c r="M27">
        <v>0</v>
      </c>
      <c r="N27">
        <v>32</v>
      </c>
    </row>
    <row r="28" spans="1:14" x14ac:dyDescent="0.3">
      <c r="A28" t="s">
        <v>33</v>
      </c>
      <c r="B28" t="s">
        <v>30</v>
      </c>
      <c r="C28">
        <v>72205</v>
      </c>
      <c r="D28">
        <v>60797</v>
      </c>
      <c r="E28">
        <v>6571</v>
      </c>
      <c r="F28">
        <v>0</v>
      </c>
      <c r="G28">
        <v>0</v>
      </c>
      <c r="H28">
        <v>1444</v>
      </c>
      <c r="I28">
        <v>217</v>
      </c>
      <c r="J28">
        <v>2022</v>
      </c>
      <c r="K28">
        <v>794</v>
      </c>
      <c r="L28">
        <v>0</v>
      </c>
      <c r="M28">
        <v>144</v>
      </c>
      <c r="N28">
        <v>217</v>
      </c>
    </row>
    <row r="29" spans="1:14" x14ac:dyDescent="0.3">
      <c r="A29" t="s">
        <v>33</v>
      </c>
      <c r="B29" t="s">
        <v>32</v>
      </c>
      <c r="C29">
        <v>255700</v>
      </c>
      <c r="D29">
        <v>20456</v>
      </c>
      <c r="E29">
        <v>219646</v>
      </c>
      <c r="F29">
        <v>0</v>
      </c>
      <c r="G29">
        <v>0</v>
      </c>
      <c r="H29">
        <v>3068</v>
      </c>
      <c r="I29">
        <v>767</v>
      </c>
      <c r="J29">
        <v>9461</v>
      </c>
      <c r="K29">
        <v>1023</v>
      </c>
      <c r="L29">
        <v>256</v>
      </c>
      <c r="M29">
        <v>767</v>
      </c>
      <c r="N29">
        <v>256</v>
      </c>
    </row>
    <row r="30" spans="1:14" x14ac:dyDescent="0.3">
      <c r="A30" t="s">
        <v>33</v>
      </c>
      <c r="B30" t="s">
        <v>76</v>
      </c>
      <c r="C30">
        <v>224395</v>
      </c>
      <c r="D30">
        <v>6732</v>
      </c>
      <c r="E30">
        <v>166052</v>
      </c>
      <c r="F30">
        <v>224</v>
      </c>
      <c r="G30">
        <v>0</v>
      </c>
      <c r="H30">
        <v>21766</v>
      </c>
      <c r="I30">
        <v>449</v>
      </c>
      <c r="J30">
        <v>26479</v>
      </c>
      <c r="K30">
        <v>1346</v>
      </c>
      <c r="L30">
        <v>0</v>
      </c>
      <c r="M30">
        <v>1122</v>
      </c>
      <c r="N30">
        <v>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E71D6-FF1C-401E-972B-B28BE5384294}">
  <dimension ref="A1:S27"/>
  <sheetViews>
    <sheetView workbookViewId="0">
      <selection activeCell="M1" sqref="B1:M27"/>
    </sheetView>
  </sheetViews>
  <sheetFormatPr defaultRowHeight="14.4" x14ac:dyDescent="0.3"/>
  <cols>
    <col min="19" max="19" width="8.88671875" style="9"/>
  </cols>
  <sheetData>
    <row r="1" spans="1:19" s="1" customFormat="1" x14ac:dyDescent="0.3">
      <c r="A1" s="1" t="s">
        <v>188</v>
      </c>
      <c r="B1" s="1" t="s">
        <v>1</v>
      </c>
      <c r="C1" s="1" t="s">
        <v>0</v>
      </c>
      <c r="D1" s="1" t="s">
        <v>35</v>
      </c>
      <c r="E1" s="1" t="s">
        <v>190</v>
      </c>
      <c r="F1" s="1" t="s">
        <v>191</v>
      </c>
      <c r="G1" s="1" t="s">
        <v>38</v>
      </c>
      <c r="H1" s="1" t="s">
        <v>192</v>
      </c>
      <c r="I1" s="1" t="s">
        <v>41</v>
      </c>
      <c r="J1" s="1" t="s">
        <v>48</v>
      </c>
      <c r="K1" s="1" t="s">
        <v>193</v>
      </c>
      <c r="L1" s="1" t="s">
        <v>49</v>
      </c>
      <c r="M1" s="1" t="s">
        <v>194</v>
      </c>
      <c r="N1" s="1" t="s">
        <v>195</v>
      </c>
      <c r="O1" s="1" t="s">
        <v>196</v>
      </c>
      <c r="P1" s="1" t="s">
        <v>187</v>
      </c>
      <c r="Q1" s="1" t="s">
        <v>189</v>
      </c>
      <c r="R1" s="1" t="s">
        <v>197</v>
      </c>
      <c r="S1" s="15" t="s">
        <v>198</v>
      </c>
    </row>
    <row r="2" spans="1:19" x14ac:dyDescent="0.3">
      <c r="A2" t="s">
        <v>117</v>
      </c>
      <c r="B2" t="s">
        <v>2</v>
      </c>
      <c r="C2" t="s">
        <v>2</v>
      </c>
      <c r="D2">
        <v>324000</v>
      </c>
      <c r="E2">
        <v>219348</v>
      </c>
      <c r="F2">
        <v>3564</v>
      </c>
      <c r="G2">
        <v>0</v>
      </c>
      <c r="H2">
        <v>16200</v>
      </c>
      <c r="I2">
        <v>34992</v>
      </c>
      <c r="J2">
        <v>46980</v>
      </c>
      <c r="K2">
        <v>1944</v>
      </c>
      <c r="L2">
        <v>0</v>
      </c>
      <c r="M2">
        <v>0</v>
      </c>
      <c r="N2">
        <v>972</v>
      </c>
      <c r="O2">
        <v>0</v>
      </c>
      <c r="P2" t="s">
        <v>2</v>
      </c>
      <c r="Q2" t="s">
        <v>116</v>
      </c>
      <c r="R2" t="s">
        <v>190</v>
      </c>
      <c r="S2" s="9">
        <v>0.67700000000000005</v>
      </c>
    </row>
    <row r="3" spans="1:19" x14ac:dyDescent="0.3">
      <c r="A3" t="s">
        <v>131</v>
      </c>
      <c r="B3" t="s">
        <v>121</v>
      </c>
      <c r="C3" t="s">
        <v>3</v>
      </c>
      <c r="D3">
        <v>214600</v>
      </c>
      <c r="E3">
        <v>28542</v>
      </c>
      <c r="F3">
        <v>157302</v>
      </c>
      <c r="G3">
        <v>0</v>
      </c>
      <c r="H3">
        <v>0</v>
      </c>
      <c r="I3">
        <v>15666</v>
      </c>
      <c r="J3">
        <v>1502</v>
      </c>
      <c r="K3">
        <v>11374</v>
      </c>
      <c r="L3">
        <v>0</v>
      </c>
      <c r="M3">
        <v>0</v>
      </c>
      <c r="N3">
        <v>0</v>
      </c>
      <c r="O3">
        <v>215</v>
      </c>
      <c r="P3" t="s">
        <v>3</v>
      </c>
      <c r="Q3" t="s">
        <v>130</v>
      </c>
      <c r="R3" t="s">
        <v>191</v>
      </c>
      <c r="S3" s="9">
        <v>0.73299999999999998</v>
      </c>
    </row>
    <row r="4" spans="1:19" x14ac:dyDescent="0.3">
      <c r="A4" t="s">
        <v>120</v>
      </c>
      <c r="B4" t="s">
        <v>121</v>
      </c>
      <c r="C4" t="s">
        <v>4</v>
      </c>
      <c r="D4">
        <v>30500</v>
      </c>
      <c r="E4">
        <v>4057</v>
      </c>
      <c r="F4">
        <v>22357</v>
      </c>
      <c r="G4">
        <v>0</v>
      </c>
      <c r="H4">
        <v>0</v>
      </c>
      <c r="I4">
        <v>2227</v>
      </c>
      <c r="J4">
        <v>214</v>
      </c>
      <c r="K4">
        <v>1617</v>
      </c>
      <c r="L4">
        <v>0</v>
      </c>
      <c r="M4">
        <v>0</v>
      </c>
      <c r="N4">
        <v>0</v>
      </c>
      <c r="O4">
        <v>31</v>
      </c>
      <c r="P4" t="s">
        <v>118</v>
      </c>
      <c r="Q4" t="s">
        <v>119</v>
      </c>
      <c r="R4" t="s">
        <v>191</v>
      </c>
      <c r="S4" s="9">
        <v>0.73299999999999998</v>
      </c>
    </row>
    <row r="5" spans="1:19" x14ac:dyDescent="0.3">
      <c r="A5" t="s">
        <v>154</v>
      </c>
      <c r="B5" t="s">
        <v>6</v>
      </c>
      <c r="C5" t="s">
        <v>6</v>
      </c>
      <c r="D5">
        <v>341700</v>
      </c>
      <c r="E5">
        <v>149908</v>
      </c>
      <c r="F5">
        <v>48259</v>
      </c>
      <c r="G5">
        <v>3784</v>
      </c>
      <c r="H5">
        <v>120</v>
      </c>
      <c r="I5">
        <v>19850</v>
      </c>
      <c r="J5">
        <v>33928</v>
      </c>
      <c r="K5">
        <v>15321</v>
      </c>
      <c r="L5">
        <v>37313</v>
      </c>
      <c r="M5">
        <v>7838</v>
      </c>
      <c r="N5">
        <v>5257</v>
      </c>
      <c r="O5">
        <v>20120</v>
      </c>
      <c r="P5" t="s">
        <v>6</v>
      </c>
      <c r="Q5" t="s">
        <v>153</v>
      </c>
      <c r="R5" t="s">
        <v>190</v>
      </c>
      <c r="S5" s="9">
        <v>0.439</v>
      </c>
    </row>
    <row r="6" spans="1:19" x14ac:dyDescent="0.3">
      <c r="A6" t="s">
        <v>166</v>
      </c>
      <c r="B6" t="s">
        <v>152</v>
      </c>
      <c r="C6" t="s">
        <v>7</v>
      </c>
      <c r="D6">
        <v>33800</v>
      </c>
      <c r="E6">
        <v>16461</v>
      </c>
      <c r="F6">
        <v>4969</v>
      </c>
      <c r="G6">
        <v>4969</v>
      </c>
      <c r="H6">
        <v>0</v>
      </c>
      <c r="I6">
        <v>2400</v>
      </c>
      <c r="J6">
        <v>2366</v>
      </c>
      <c r="K6">
        <v>2467</v>
      </c>
      <c r="L6">
        <v>0</v>
      </c>
      <c r="M6">
        <v>0</v>
      </c>
      <c r="N6">
        <v>101</v>
      </c>
      <c r="O6">
        <v>68</v>
      </c>
      <c r="P6" t="s">
        <v>164</v>
      </c>
      <c r="Q6" t="s">
        <v>165</v>
      </c>
      <c r="R6" t="s">
        <v>190</v>
      </c>
      <c r="S6" s="9">
        <v>0.48699999999999999</v>
      </c>
    </row>
    <row r="7" spans="1:19" x14ac:dyDescent="0.3">
      <c r="A7" t="s">
        <v>161</v>
      </c>
      <c r="B7" t="s">
        <v>152</v>
      </c>
      <c r="C7" t="s">
        <v>8</v>
      </c>
      <c r="D7">
        <v>86400</v>
      </c>
      <c r="E7">
        <v>42077</v>
      </c>
      <c r="F7">
        <v>12701</v>
      </c>
      <c r="G7">
        <v>12701</v>
      </c>
      <c r="H7">
        <v>0</v>
      </c>
      <c r="I7">
        <v>6134</v>
      </c>
      <c r="J7">
        <v>6048</v>
      </c>
      <c r="K7">
        <v>6307</v>
      </c>
      <c r="L7">
        <v>0</v>
      </c>
      <c r="M7">
        <v>0</v>
      </c>
      <c r="N7">
        <v>259</v>
      </c>
      <c r="O7">
        <v>173</v>
      </c>
      <c r="P7" t="s">
        <v>159</v>
      </c>
      <c r="Q7" t="s">
        <v>160</v>
      </c>
      <c r="R7" t="s">
        <v>190</v>
      </c>
      <c r="S7" s="9">
        <v>0.48699999999999999</v>
      </c>
    </row>
    <row r="8" spans="1:19" x14ac:dyDescent="0.3">
      <c r="A8" t="s">
        <v>151</v>
      </c>
      <c r="B8" t="s">
        <v>152</v>
      </c>
      <c r="C8" t="s">
        <v>9</v>
      </c>
      <c r="D8">
        <v>177400</v>
      </c>
      <c r="E8">
        <v>50736</v>
      </c>
      <c r="F8">
        <v>28384</v>
      </c>
      <c r="G8">
        <v>887</v>
      </c>
      <c r="H8">
        <v>0</v>
      </c>
      <c r="I8">
        <v>27674</v>
      </c>
      <c r="J8">
        <v>16853</v>
      </c>
      <c r="K8">
        <v>32996</v>
      </c>
      <c r="L8">
        <v>8693</v>
      </c>
      <c r="M8">
        <v>1951</v>
      </c>
      <c r="N8">
        <v>1419</v>
      </c>
      <c r="O8">
        <v>7806</v>
      </c>
      <c r="P8" t="s">
        <v>9</v>
      </c>
      <c r="Q8" t="s">
        <v>150</v>
      </c>
      <c r="R8" t="s">
        <v>190</v>
      </c>
      <c r="S8" s="9">
        <v>0.28599999999999998</v>
      </c>
    </row>
    <row r="9" spans="1:19" x14ac:dyDescent="0.3">
      <c r="A9" t="s">
        <v>186</v>
      </c>
      <c r="B9" t="s">
        <v>173</v>
      </c>
      <c r="C9" t="s">
        <v>19</v>
      </c>
      <c r="D9">
        <v>96200</v>
      </c>
      <c r="E9">
        <v>96</v>
      </c>
      <c r="F9">
        <v>85137</v>
      </c>
      <c r="G9">
        <v>0</v>
      </c>
      <c r="H9">
        <v>0</v>
      </c>
      <c r="I9">
        <v>8369</v>
      </c>
      <c r="J9">
        <v>0</v>
      </c>
      <c r="K9">
        <v>2116</v>
      </c>
      <c r="L9">
        <v>385</v>
      </c>
      <c r="M9">
        <v>0</v>
      </c>
      <c r="N9">
        <v>0</v>
      </c>
      <c r="O9">
        <v>96</v>
      </c>
      <c r="P9" t="s">
        <v>184</v>
      </c>
      <c r="Q9" t="s">
        <v>185</v>
      </c>
      <c r="R9" t="s">
        <v>191</v>
      </c>
      <c r="S9" s="9">
        <v>0.88500000000000001</v>
      </c>
    </row>
    <row r="10" spans="1:19" x14ac:dyDescent="0.3">
      <c r="A10" t="s">
        <v>177</v>
      </c>
      <c r="B10" t="s">
        <v>173</v>
      </c>
      <c r="C10" t="s">
        <v>20</v>
      </c>
      <c r="D10">
        <v>28700</v>
      </c>
      <c r="E10">
        <v>4936</v>
      </c>
      <c r="F10">
        <v>16646</v>
      </c>
      <c r="G10">
        <v>2956</v>
      </c>
      <c r="H10">
        <v>0</v>
      </c>
      <c r="I10">
        <v>1205</v>
      </c>
      <c r="J10">
        <v>1923</v>
      </c>
      <c r="K10">
        <v>660</v>
      </c>
      <c r="L10">
        <v>115</v>
      </c>
      <c r="M10">
        <v>0</v>
      </c>
      <c r="N10">
        <v>230</v>
      </c>
      <c r="O10">
        <v>29</v>
      </c>
      <c r="P10" t="s">
        <v>20</v>
      </c>
      <c r="Q10" t="s">
        <v>176</v>
      </c>
      <c r="R10" t="s">
        <v>191</v>
      </c>
      <c r="S10" s="9">
        <v>0.57999999999999996</v>
      </c>
    </row>
    <row r="11" spans="1:19" x14ac:dyDescent="0.3">
      <c r="A11" t="s">
        <v>180</v>
      </c>
      <c r="B11" t="s">
        <v>173</v>
      </c>
      <c r="C11" t="s">
        <v>21</v>
      </c>
      <c r="D11">
        <v>74000</v>
      </c>
      <c r="E11">
        <v>12728</v>
      </c>
      <c r="F11">
        <v>42920</v>
      </c>
      <c r="G11">
        <v>7622</v>
      </c>
      <c r="H11">
        <v>0</v>
      </c>
      <c r="I11">
        <v>3108</v>
      </c>
      <c r="J11">
        <v>4958</v>
      </c>
      <c r="K11">
        <v>1702</v>
      </c>
      <c r="L11">
        <v>296</v>
      </c>
      <c r="M11">
        <v>0</v>
      </c>
      <c r="N11">
        <v>592</v>
      </c>
      <c r="O11">
        <v>74</v>
      </c>
      <c r="P11" t="s">
        <v>178</v>
      </c>
      <c r="Q11" t="s">
        <v>179</v>
      </c>
      <c r="R11" t="s">
        <v>191</v>
      </c>
      <c r="S11" s="9">
        <v>0.57999999999999996</v>
      </c>
    </row>
    <row r="12" spans="1:19" x14ac:dyDescent="0.3">
      <c r="A12" t="s">
        <v>175</v>
      </c>
      <c r="B12" t="s">
        <v>173</v>
      </c>
      <c r="C12" t="s">
        <v>22</v>
      </c>
      <c r="D12">
        <v>180200</v>
      </c>
      <c r="E12">
        <v>1261</v>
      </c>
      <c r="F12">
        <v>171731</v>
      </c>
      <c r="G12">
        <v>0</v>
      </c>
      <c r="H12">
        <v>0</v>
      </c>
      <c r="I12">
        <v>5046</v>
      </c>
      <c r="J12">
        <v>0</v>
      </c>
      <c r="K12">
        <v>1261</v>
      </c>
      <c r="L12">
        <v>721</v>
      </c>
      <c r="M12">
        <v>0</v>
      </c>
      <c r="N12">
        <v>0</v>
      </c>
      <c r="O12">
        <v>180</v>
      </c>
      <c r="P12" t="s">
        <v>173</v>
      </c>
      <c r="Q12" t="s">
        <v>174</v>
      </c>
      <c r="R12" t="s">
        <v>191</v>
      </c>
      <c r="S12" s="9">
        <v>0.95299999999999996</v>
      </c>
    </row>
    <row r="13" spans="1:19" x14ac:dyDescent="0.3">
      <c r="A13" t="s">
        <v>143</v>
      </c>
      <c r="B13" t="s">
        <v>13</v>
      </c>
      <c r="C13" t="s">
        <v>11</v>
      </c>
      <c r="D13">
        <v>129500</v>
      </c>
      <c r="E13">
        <v>3367</v>
      </c>
      <c r="F13">
        <v>27454</v>
      </c>
      <c r="G13">
        <v>0</v>
      </c>
      <c r="H13">
        <v>0</v>
      </c>
      <c r="I13">
        <v>92593</v>
      </c>
      <c r="J13">
        <v>4015</v>
      </c>
      <c r="K13">
        <v>518</v>
      </c>
      <c r="L13">
        <v>1036</v>
      </c>
      <c r="M13">
        <v>130</v>
      </c>
      <c r="N13">
        <v>130</v>
      </c>
      <c r="O13">
        <v>259</v>
      </c>
      <c r="P13" t="s">
        <v>141</v>
      </c>
      <c r="Q13" t="s">
        <v>142</v>
      </c>
      <c r="R13" t="s">
        <v>41</v>
      </c>
      <c r="S13" s="9">
        <v>0.71499999999999997</v>
      </c>
    </row>
    <row r="14" spans="1:19" x14ac:dyDescent="0.3">
      <c r="A14" t="s">
        <v>146</v>
      </c>
      <c r="B14" t="s">
        <v>13</v>
      </c>
      <c r="C14" t="s">
        <v>12</v>
      </c>
      <c r="D14">
        <v>260500</v>
      </c>
      <c r="E14">
        <v>782</v>
      </c>
      <c r="F14">
        <v>4689</v>
      </c>
      <c r="G14">
        <v>0</v>
      </c>
      <c r="H14">
        <v>0</v>
      </c>
      <c r="I14">
        <v>239921</v>
      </c>
      <c r="J14">
        <v>2345</v>
      </c>
      <c r="K14">
        <v>5471</v>
      </c>
      <c r="L14">
        <v>1824</v>
      </c>
      <c r="M14">
        <v>1824</v>
      </c>
      <c r="N14">
        <v>261</v>
      </c>
      <c r="O14">
        <v>3387</v>
      </c>
      <c r="P14" t="s">
        <v>144</v>
      </c>
      <c r="Q14" t="s">
        <v>145</v>
      </c>
      <c r="R14" t="s">
        <v>41</v>
      </c>
      <c r="S14" s="9">
        <v>0.92100000000000004</v>
      </c>
    </row>
    <row r="15" spans="1:19" x14ac:dyDescent="0.3">
      <c r="A15" t="s">
        <v>158</v>
      </c>
      <c r="B15" t="s">
        <v>15</v>
      </c>
      <c r="C15" t="s">
        <v>14</v>
      </c>
      <c r="D15">
        <v>300800</v>
      </c>
      <c r="E15">
        <v>3910</v>
      </c>
      <c r="F15">
        <v>9926</v>
      </c>
      <c r="G15">
        <v>164237</v>
      </c>
      <c r="H15">
        <v>0</v>
      </c>
      <c r="I15">
        <v>70688</v>
      </c>
      <c r="J15">
        <v>37901</v>
      </c>
      <c r="K15">
        <v>9024</v>
      </c>
      <c r="L15">
        <v>1504</v>
      </c>
      <c r="M15">
        <v>301</v>
      </c>
      <c r="N15">
        <v>2106</v>
      </c>
      <c r="O15">
        <v>1203</v>
      </c>
      <c r="P15" t="s">
        <v>14</v>
      </c>
      <c r="Q15" t="s">
        <v>157</v>
      </c>
      <c r="R15" t="s">
        <v>38</v>
      </c>
      <c r="S15" s="9">
        <v>0.54600000000000004</v>
      </c>
    </row>
    <row r="16" spans="1:19" x14ac:dyDescent="0.3">
      <c r="A16" t="s">
        <v>156</v>
      </c>
      <c r="B16" t="s">
        <v>15</v>
      </c>
      <c r="C16" t="s">
        <v>16</v>
      </c>
      <c r="D16">
        <v>553800</v>
      </c>
      <c r="E16">
        <v>33782</v>
      </c>
      <c r="F16">
        <v>139558</v>
      </c>
      <c r="G16">
        <v>96361</v>
      </c>
      <c r="H16">
        <v>0</v>
      </c>
      <c r="I16">
        <v>201029</v>
      </c>
      <c r="J16">
        <v>41535</v>
      </c>
      <c r="K16">
        <v>24921</v>
      </c>
      <c r="L16">
        <v>4984</v>
      </c>
      <c r="M16">
        <v>2215</v>
      </c>
      <c r="N16">
        <v>1661</v>
      </c>
      <c r="O16">
        <v>7753</v>
      </c>
      <c r="P16" t="s">
        <v>16</v>
      </c>
      <c r="Q16" t="s">
        <v>155</v>
      </c>
      <c r="R16" t="s">
        <v>41</v>
      </c>
      <c r="S16" s="9">
        <v>0.36299999999999999</v>
      </c>
    </row>
    <row r="17" spans="1:19" x14ac:dyDescent="0.3">
      <c r="A17" t="s">
        <v>163</v>
      </c>
      <c r="B17" t="s">
        <v>15</v>
      </c>
      <c r="C17" t="s">
        <v>17</v>
      </c>
      <c r="D17">
        <v>277000</v>
      </c>
      <c r="E17">
        <v>82269</v>
      </c>
      <c r="F17">
        <v>6094</v>
      </c>
      <c r="G17">
        <v>87532</v>
      </c>
      <c r="H17">
        <v>0</v>
      </c>
      <c r="I17">
        <v>80053</v>
      </c>
      <c r="J17">
        <v>1108</v>
      </c>
      <c r="K17">
        <v>18005</v>
      </c>
      <c r="L17">
        <v>831</v>
      </c>
      <c r="M17">
        <v>0</v>
      </c>
      <c r="N17">
        <v>831</v>
      </c>
      <c r="O17">
        <v>277</v>
      </c>
      <c r="P17" t="s">
        <v>17</v>
      </c>
      <c r="Q17" t="s">
        <v>162</v>
      </c>
      <c r="R17" t="s">
        <v>38</v>
      </c>
      <c r="S17" s="9">
        <v>0.316</v>
      </c>
    </row>
    <row r="18" spans="1:19" x14ac:dyDescent="0.3">
      <c r="A18" t="s">
        <v>149</v>
      </c>
      <c r="B18" t="s">
        <v>15</v>
      </c>
      <c r="C18" t="s">
        <v>18</v>
      </c>
      <c r="D18">
        <v>511000</v>
      </c>
      <c r="E18">
        <v>10220</v>
      </c>
      <c r="F18">
        <v>14819</v>
      </c>
      <c r="G18">
        <v>7154</v>
      </c>
      <c r="H18">
        <v>511</v>
      </c>
      <c r="I18">
        <v>229950</v>
      </c>
      <c r="J18">
        <v>74606</v>
      </c>
      <c r="K18">
        <v>50589</v>
      </c>
      <c r="L18">
        <v>72051</v>
      </c>
      <c r="M18">
        <v>19418</v>
      </c>
      <c r="N18">
        <v>8176</v>
      </c>
      <c r="O18">
        <v>23506</v>
      </c>
      <c r="P18" t="s">
        <v>147</v>
      </c>
      <c r="Q18" t="s">
        <v>148</v>
      </c>
      <c r="R18" t="s">
        <v>41</v>
      </c>
      <c r="S18" s="9">
        <v>0.45</v>
      </c>
    </row>
    <row r="19" spans="1:19" x14ac:dyDescent="0.3">
      <c r="A19" t="s">
        <v>137</v>
      </c>
      <c r="B19" t="s">
        <v>125</v>
      </c>
      <c r="C19" t="s">
        <v>23</v>
      </c>
      <c r="D19">
        <v>58900</v>
      </c>
      <c r="E19">
        <v>5242</v>
      </c>
      <c r="F19">
        <v>530</v>
      </c>
      <c r="G19">
        <v>0</v>
      </c>
      <c r="H19">
        <v>118</v>
      </c>
      <c r="I19">
        <v>39993</v>
      </c>
      <c r="J19">
        <v>12133</v>
      </c>
      <c r="K19">
        <v>412</v>
      </c>
      <c r="L19">
        <v>118</v>
      </c>
      <c r="M19">
        <v>59</v>
      </c>
      <c r="N19">
        <v>0</v>
      </c>
      <c r="O19">
        <v>295</v>
      </c>
      <c r="P19" t="s">
        <v>135</v>
      </c>
      <c r="Q19" t="s">
        <v>136</v>
      </c>
      <c r="R19" t="s">
        <v>41</v>
      </c>
      <c r="S19" s="9">
        <v>0.67900000000000005</v>
      </c>
    </row>
    <row r="20" spans="1:19" x14ac:dyDescent="0.3">
      <c r="A20" t="s">
        <v>140</v>
      </c>
      <c r="B20" t="s">
        <v>125</v>
      </c>
      <c r="C20" t="s">
        <v>24</v>
      </c>
      <c r="D20">
        <v>22100</v>
      </c>
      <c r="E20">
        <v>1967</v>
      </c>
      <c r="F20">
        <v>199</v>
      </c>
      <c r="G20">
        <v>0</v>
      </c>
      <c r="H20">
        <v>44</v>
      </c>
      <c r="I20">
        <v>15006</v>
      </c>
      <c r="J20">
        <v>4553</v>
      </c>
      <c r="K20">
        <v>155</v>
      </c>
      <c r="L20">
        <v>44</v>
      </c>
      <c r="M20">
        <v>22</v>
      </c>
      <c r="N20">
        <v>0</v>
      </c>
      <c r="O20">
        <v>111</v>
      </c>
      <c r="P20" t="s">
        <v>138</v>
      </c>
      <c r="Q20" t="s">
        <v>139</v>
      </c>
      <c r="R20" t="s">
        <v>41</v>
      </c>
      <c r="S20" s="9">
        <v>0.67900000000000005</v>
      </c>
    </row>
    <row r="21" spans="1:19" x14ac:dyDescent="0.3">
      <c r="A21" t="s">
        <v>134</v>
      </c>
      <c r="B21" t="s">
        <v>125</v>
      </c>
      <c r="C21" t="s">
        <v>25</v>
      </c>
      <c r="D21">
        <v>84600</v>
      </c>
      <c r="E21">
        <v>7529</v>
      </c>
      <c r="F21">
        <v>761</v>
      </c>
      <c r="G21">
        <v>0</v>
      </c>
      <c r="H21">
        <v>169</v>
      </c>
      <c r="I21">
        <v>57443</v>
      </c>
      <c r="J21">
        <v>17428</v>
      </c>
      <c r="K21">
        <v>592</v>
      </c>
      <c r="L21">
        <v>169</v>
      </c>
      <c r="M21">
        <v>85</v>
      </c>
      <c r="N21">
        <v>0</v>
      </c>
      <c r="O21">
        <v>423</v>
      </c>
      <c r="P21" t="s">
        <v>132</v>
      </c>
      <c r="Q21" t="s">
        <v>133</v>
      </c>
      <c r="R21" t="s">
        <v>41</v>
      </c>
      <c r="S21" s="9">
        <v>0.67900000000000005</v>
      </c>
    </row>
    <row r="22" spans="1:19" x14ac:dyDescent="0.3">
      <c r="A22" t="s">
        <v>124</v>
      </c>
      <c r="B22" t="s">
        <v>125</v>
      </c>
      <c r="C22" t="s">
        <v>26</v>
      </c>
      <c r="D22">
        <v>140800</v>
      </c>
      <c r="E22">
        <v>118950</v>
      </c>
      <c r="F22">
        <v>85</v>
      </c>
      <c r="G22">
        <v>0</v>
      </c>
      <c r="H22">
        <v>0</v>
      </c>
      <c r="I22">
        <v>9148</v>
      </c>
      <c r="J22">
        <v>10931</v>
      </c>
      <c r="K22">
        <v>0</v>
      </c>
      <c r="L22">
        <v>1685</v>
      </c>
      <c r="M22">
        <v>0</v>
      </c>
      <c r="N22">
        <v>0</v>
      </c>
      <c r="O22">
        <v>0</v>
      </c>
      <c r="P22" t="s">
        <v>122</v>
      </c>
      <c r="Q22" t="s">
        <v>123</v>
      </c>
      <c r="R22" t="s">
        <v>190</v>
      </c>
      <c r="S22" s="9">
        <v>0.84499999999999997</v>
      </c>
    </row>
    <row r="23" spans="1:19" x14ac:dyDescent="0.3">
      <c r="A23" t="s">
        <v>127</v>
      </c>
      <c r="B23" t="s">
        <v>125</v>
      </c>
      <c r="C23" t="s">
        <v>27</v>
      </c>
      <c r="D23">
        <v>243800</v>
      </c>
      <c r="E23">
        <v>200404</v>
      </c>
      <c r="F23">
        <v>975</v>
      </c>
      <c r="G23">
        <v>0</v>
      </c>
      <c r="H23">
        <v>20723</v>
      </c>
      <c r="I23">
        <v>4388</v>
      </c>
      <c r="J23">
        <v>12921</v>
      </c>
      <c r="K23">
        <v>1219</v>
      </c>
      <c r="L23">
        <v>731</v>
      </c>
      <c r="M23">
        <v>488</v>
      </c>
      <c r="N23">
        <v>731</v>
      </c>
      <c r="O23">
        <v>1219</v>
      </c>
      <c r="P23" t="s">
        <v>27</v>
      </c>
      <c r="Q23" t="s">
        <v>126</v>
      </c>
      <c r="R23" t="s">
        <v>190</v>
      </c>
      <c r="S23" s="9">
        <v>0.82199999999999995</v>
      </c>
    </row>
    <row r="24" spans="1:19" x14ac:dyDescent="0.3">
      <c r="A24" t="s">
        <v>129</v>
      </c>
      <c r="B24" t="s">
        <v>125</v>
      </c>
      <c r="C24" t="s">
        <v>28</v>
      </c>
      <c r="D24">
        <v>87700</v>
      </c>
      <c r="E24">
        <v>7805</v>
      </c>
      <c r="F24">
        <v>789</v>
      </c>
      <c r="G24">
        <v>0</v>
      </c>
      <c r="H24">
        <v>175</v>
      </c>
      <c r="I24">
        <v>59548</v>
      </c>
      <c r="J24">
        <v>18066</v>
      </c>
      <c r="K24">
        <v>614</v>
      </c>
      <c r="L24">
        <v>175</v>
      </c>
      <c r="M24">
        <v>88</v>
      </c>
      <c r="N24">
        <v>0</v>
      </c>
      <c r="O24">
        <v>439</v>
      </c>
      <c r="P24" t="s">
        <v>28</v>
      </c>
      <c r="Q24" t="s">
        <v>128</v>
      </c>
      <c r="R24" t="s">
        <v>41</v>
      </c>
      <c r="S24" s="9">
        <v>0.67900000000000005</v>
      </c>
    </row>
    <row r="25" spans="1:19" x14ac:dyDescent="0.3">
      <c r="A25" t="s">
        <v>168</v>
      </c>
      <c r="B25" t="s">
        <v>169</v>
      </c>
      <c r="C25" t="s">
        <v>31</v>
      </c>
      <c r="D25">
        <v>32100</v>
      </c>
      <c r="E25">
        <v>578</v>
      </c>
      <c r="F25">
        <v>6837</v>
      </c>
      <c r="G25">
        <v>289</v>
      </c>
      <c r="H25">
        <v>0</v>
      </c>
      <c r="I25">
        <v>19228</v>
      </c>
      <c r="J25">
        <v>64</v>
      </c>
      <c r="K25">
        <v>4719</v>
      </c>
      <c r="L25">
        <v>353</v>
      </c>
      <c r="M25">
        <v>0</v>
      </c>
      <c r="N25">
        <v>0</v>
      </c>
      <c r="O25">
        <v>32</v>
      </c>
      <c r="P25" t="s">
        <v>31</v>
      </c>
      <c r="Q25" t="s">
        <v>167</v>
      </c>
      <c r="R25" t="s">
        <v>41</v>
      </c>
      <c r="S25" s="9">
        <v>0.59899999999999998</v>
      </c>
    </row>
    <row r="26" spans="1:19" x14ac:dyDescent="0.3">
      <c r="A26" t="s">
        <v>172</v>
      </c>
      <c r="B26" t="s">
        <v>169</v>
      </c>
      <c r="C26" t="s">
        <v>30</v>
      </c>
      <c r="D26">
        <v>296600</v>
      </c>
      <c r="E26">
        <v>67529</v>
      </c>
      <c r="F26">
        <v>172623</v>
      </c>
      <c r="G26">
        <v>224</v>
      </c>
      <c r="H26">
        <v>0</v>
      </c>
      <c r="I26">
        <v>23210</v>
      </c>
      <c r="J26">
        <v>666</v>
      </c>
      <c r="K26">
        <v>28501</v>
      </c>
      <c r="L26">
        <v>2140</v>
      </c>
      <c r="M26">
        <v>0</v>
      </c>
      <c r="N26">
        <v>1266</v>
      </c>
      <c r="O26">
        <v>441</v>
      </c>
      <c r="P26" t="s">
        <v>170</v>
      </c>
      <c r="Q26" t="s">
        <v>171</v>
      </c>
      <c r="R26" t="s">
        <v>191</v>
      </c>
      <c r="S26" s="9">
        <v>0.58199999999999996</v>
      </c>
    </row>
    <row r="27" spans="1:19" x14ac:dyDescent="0.3">
      <c r="A27" t="s">
        <v>183</v>
      </c>
      <c r="B27" t="s">
        <v>169</v>
      </c>
      <c r="C27" t="s">
        <v>32</v>
      </c>
      <c r="D27">
        <v>255700</v>
      </c>
      <c r="E27">
        <v>20456</v>
      </c>
      <c r="F27">
        <v>219646</v>
      </c>
      <c r="G27">
        <v>0</v>
      </c>
      <c r="H27">
        <v>0</v>
      </c>
      <c r="I27">
        <v>3068</v>
      </c>
      <c r="J27">
        <v>767</v>
      </c>
      <c r="K27">
        <v>9461</v>
      </c>
      <c r="L27">
        <v>1023</v>
      </c>
      <c r="M27">
        <v>256</v>
      </c>
      <c r="N27">
        <v>767</v>
      </c>
      <c r="O27">
        <v>256</v>
      </c>
      <c r="P27" t="s">
        <v>181</v>
      </c>
      <c r="Q27" t="s">
        <v>182</v>
      </c>
      <c r="R27" t="s">
        <v>191</v>
      </c>
      <c r="S27" s="9">
        <v>0.85899999999999999</v>
      </c>
    </row>
  </sheetData>
  <sortState xmlns:xlrd2="http://schemas.microsoft.com/office/spreadsheetml/2017/richdata2" ref="A2:Q27">
    <sortCondition ref="B21:B2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672F1-112A-49F7-8510-C1E6AB6F7D6D}">
  <dimension ref="A1:S27"/>
  <sheetViews>
    <sheetView workbookViewId="0">
      <selection activeCell="D1" sqref="D1:D1048576"/>
    </sheetView>
  </sheetViews>
  <sheetFormatPr defaultRowHeight="14.4" x14ac:dyDescent="0.3"/>
  <cols>
    <col min="1" max="1" width="9" customWidth="1"/>
    <col min="2" max="2" width="13.44140625" customWidth="1"/>
    <col min="4" max="5" width="19.21875" customWidth="1"/>
    <col min="6" max="6" width="19.21875" style="9" customWidth="1"/>
    <col min="10" max="10" width="9.109375" customWidth="1"/>
    <col min="11" max="11" width="10.6640625" customWidth="1"/>
    <col min="12" max="12" width="10.88671875" customWidth="1"/>
    <col min="13" max="13" width="9.6640625" customWidth="1"/>
    <col min="14" max="14" width="19.5546875" customWidth="1"/>
    <col min="15" max="15" width="18.33203125" customWidth="1"/>
    <col min="16" max="16" width="12.21875" customWidth="1"/>
    <col min="18" max="18" width="18.109375" customWidth="1"/>
    <col min="19" max="19" width="13.44140625" customWidth="1"/>
  </cols>
  <sheetData>
    <row r="1" spans="1:19" s="1" customFormat="1" x14ac:dyDescent="0.3">
      <c r="A1" s="1" t="s">
        <v>188</v>
      </c>
      <c r="B1" s="1" t="s">
        <v>1</v>
      </c>
      <c r="C1" s="1" t="s">
        <v>0</v>
      </c>
      <c r="D1" s="1" t="s">
        <v>35</v>
      </c>
      <c r="E1" s="1" t="s">
        <v>197</v>
      </c>
      <c r="F1" s="15" t="s">
        <v>198</v>
      </c>
      <c r="G1" s="1" t="s">
        <v>190</v>
      </c>
      <c r="H1" s="1" t="s">
        <v>191</v>
      </c>
      <c r="I1" s="1" t="s">
        <v>38</v>
      </c>
      <c r="J1" s="1" t="s">
        <v>192</v>
      </c>
      <c r="K1" s="1" t="s">
        <v>41</v>
      </c>
      <c r="L1" s="1" t="s">
        <v>48</v>
      </c>
      <c r="M1" s="1" t="s">
        <v>193</v>
      </c>
      <c r="N1" s="1" t="s">
        <v>49</v>
      </c>
      <c r="O1" s="1" t="s">
        <v>194</v>
      </c>
      <c r="P1" s="1" t="s">
        <v>195</v>
      </c>
      <c r="Q1" s="1" t="s">
        <v>196</v>
      </c>
      <c r="R1" s="1" t="s">
        <v>187</v>
      </c>
      <c r="S1" s="1" t="s">
        <v>189</v>
      </c>
    </row>
    <row r="2" spans="1:19" x14ac:dyDescent="0.3">
      <c r="A2" t="s">
        <v>117</v>
      </c>
      <c r="B2" t="s">
        <v>2</v>
      </c>
      <c r="C2" t="s">
        <v>2</v>
      </c>
      <c r="D2">
        <v>324000</v>
      </c>
      <c r="E2" t="s">
        <v>190</v>
      </c>
      <c r="F2" s="16">
        <v>0.67700000000000005</v>
      </c>
      <c r="G2" s="1">
        <v>219348</v>
      </c>
      <c r="H2">
        <v>3564</v>
      </c>
      <c r="I2">
        <v>0</v>
      </c>
      <c r="J2">
        <v>16200</v>
      </c>
      <c r="K2">
        <v>34992</v>
      </c>
      <c r="L2">
        <v>46980</v>
      </c>
      <c r="M2">
        <v>1944</v>
      </c>
      <c r="N2">
        <v>0</v>
      </c>
      <c r="O2">
        <v>0</v>
      </c>
      <c r="P2">
        <v>972</v>
      </c>
      <c r="Q2">
        <v>0</v>
      </c>
      <c r="R2" t="s">
        <v>2</v>
      </c>
      <c r="S2" t="s">
        <v>116</v>
      </c>
    </row>
    <row r="3" spans="1:19" x14ac:dyDescent="0.3">
      <c r="A3" t="s">
        <v>131</v>
      </c>
      <c r="B3" t="s">
        <v>121</v>
      </c>
      <c r="C3" t="s">
        <v>3</v>
      </c>
      <c r="D3">
        <v>214600</v>
      </c>
      <c r="E3" t="s">
        <v>191</v>
      </c>
      <c r="F3" s="16">
        <f>Table5[[#This Row],[Shia]]/Table5[[#This Row],[Population 2018-19]]</f>
        <v>0.73300093196644922</v>
      </c>
      <c r="G3">
        <v>28542</v>
      </c>
      <c r="H3" s="1">
        <v>157302</v>
      </c>
      <c r="I3">
        <v>0</v>
      </c>
      <c r="J3">
        <v>0</v>
      </c>
      <c r="K3">
        <v>15666</v>
      </c>
      <c r="L3">
        <v>1502</v>
      </c>
      <c r="M3">
        <v>11374</v>
      </c>
      <c r="N3">
        <v>0</v>
      </c>
      <c r="O3">
        <v>0</v>
      </c>
      <c r="P3">
        <v>0</v>
      </c>
      <c r="Q3">
        <v>215</v>
      </c>
      <c r="R3" t="s">
        <v>3</v>
      </c>
      <c r="S3" t="s">
        <v>130</v>
      </c>
    </row>
    <row r="4" spans="1:19" x14ac:dyDescent="0.3">
      <c r="A4" t="s">
        <v>120</v>
      </c>
      <c r="B4" t="s">
        <v>121</v>
      </c>
      <c r="C4" t="s">
        <v>4</v>
      </c>
      <c r="D4">
        <v>30500</v>
      </c>
      <c r="E4" t="s">
        <v>191</v>
      </c>
      <c r="F4" s="16">
        <f>Table5[[#This Row],[Shia]]/Table5[[#This Row],[Population 2018-19]]</f>
        <v>0.73301639344262293</v>
      </c>
      <c r="G4">
        <v>4057</v>
      </c>
      <c r="H4" s="1">
        <v>22357</v>
      </c>
      <c r="I4">
        <v>0</v>
      </c>
      <c r="J4">
        <v>0</v>
      </c>
      <c r="K4">
        <v>2227</v>
      </c>
      <c r="L4">
        <v>214</v>
      </c>
      <c r="M4">
        <v>1617</v>
      </c>
      <c r="N4">
        <v>0</v>
      </c>
      <c r="O4">
        <v>0</v>
      </c>
      <c r="P4">
        <v>0</v>
      </c>
      <c r="Q4">
        <v>31</v>
      </c>
      <c r="R4" t="s">
        <v>118</v>
      </c>
      <c r="S4" t="s">
        <v>119</v>
      </c>
    </row>
    <row r="5" spans="1:19" x14ac:dyDescent="0.3">
      <c r="A5" t="s">
        <v>154</v>
      </c>
      <c r="B5" t="s">
        <v>6</v>
      </c>
      <c r="C5" t="s">
        <v>6</v>
      </c>
      <c r="D5">
        <v>341700</v>
      </c>
      <c r="E5" t="s">
        <v>190</v>
      </c>
      <c r="F5" s="16">
        <v>0.43871232074919519</v>
      </c>
      <c r="G5" s="1">
        <v>149908</v>
      </c>
      <c r="H5">
        <v>48259</v>
      </c>
      <c r="I5">
        <v>3784</v>
      </c>
      <c r="J5">
        <v>120</v>
      </c>
      <c r="K5">
        <v>19850</v>
      </c>
      <c r="L5">
        <v>33928</v>
      </c>
      <c r="M5">
        <v>15321</v>
      </c>
      <c r="N5">
        <v>37313</v>
      </c>
      <c r="O5">
        <v>7838</v>
      </c>
      <c r="P5">
        <v>5257</v>
      </c>
      <c r="Q5">
        <v>20120</v>
      </c>
      <c r="R5" t="s">
        <v>6</v>
      </c>
      <c r="S5" t="s">
        <v>153</v>
      </c>
    </row>
    <row r="6" spans="1:19" x14ac:dyDescent="0.3">
      <c r="A6" t="s">
        <v>166</v>
      </c>
      <c r="B6" t="s">
        <v>152</v>
      </c>
      <c r="C6" t="s">
        <v>7</v>
      </c>
      <c r="D6">
        <v>33800</v>
      </c>
      <c r="E6" t="s">
        <v>190</v>
      </c>
      <c r="F6" s="16">
        <v>0.4870118343195266</v>
      </c>
      <c r="G6" s="1">
        <v>16461</v>
      </c>
      <c r="H6">
        <v>4969</v>
      </c>
      <c r="I6">
        <v>4969</v>
      </c>
      <c r="J6">
        <v>0</v>
      </c>
      <c r="K6">
        <v>2400</v>
      </c>
      <c r="L6">
        <v>2366</v>
      </c>
      <c r="M6">
        <v>2467</v>
      </c>
      <c r="N6">
        <v>0</v>
      </c>
      <c r="O6">
        <v>0</v>
      </c>
      <c r="P6">
        <v>101</v>
      </c>
      <c r="Q6">
        <v>68</v>
      </c>
      <c r="R6" t="s">
        <v>164</v>
      </c>
      <c r="S6" t="s">
        <v>165</v>
      </c>
    </row>
    <row r="7" spans="1:19" x14ac:dyDescent="0.3">
      <c r="A7" t="s">
        <v>161</v>
      </c>
      <c r="B7" t="s">
        <v>152</v>
      </c>
      <c r="C7" t="s">
        <v>8</v>
      </c>
      <c r="D7">
        <v>86400</v>
      </c>
      <c r="E7" t="s">
        <v>190</v>
      </c>
      <c r="F7" s="16">
        <v>0.48700231481481482</v>
      </c>
      <c r="G7" s="1">
        <v>42077</v>
      </c>
      <c r="H7">
        <v>12701</v>
      </c>
      <c r="I7">
        <v>12701</v>
      </c>
      <c r="J7">
        <v>0</v>
      </c>
      <c r="K7">
        <v>6134</v>
      </c>
      <c r="L7">
        <v>6048</v>
      </c>
      <c r="M7">
        <v>6307</v>
      </c>
      <c r="N7">
        <v>0</v>
      </c>
      <c r="O7">
        <v>0</v>
      </c>
      <c r="P7">
        <v>259</v>
      </c>
      <c r="Q7">
        <v>173</v>
      </c>
      <c r="R7" t="s">
        <v>159</v>
      </c>
      <c r="S7" t="s">
        <v>160</v>
      </c>
    </row>
    <row r="8" spans="1:19" x14ac:dyDescent="0.3">
      <c r="A8" t="s">
        <v>151</v>
      </c>
      <c r="B8" t="s">
        <v>152</v>
      </c>
      <c r="C8" t="s">
        <v>9</v>
      </c>
      <c r="D8">
        <v>177400</v>
      </c>
      <c r="E8" t="s">
        <v>190</v>
      </c>
      <c r="F8" s="16">
        <v>0.28599774520856819</v>
      </c>
      <c r="G8" s="1">
        <v>50736</v>
      </c>
      <c r="H8">
        <v>28384</v>
      </c>
      <c r="I8">
        <v>887</v>
      </c>
      <c r="J8">
        <v>0</v>
      </c>
      <c r="K8">
        <v>27674</v>
      </c>
      <c r="L8">
        <v>16853</v>
      </c>
      <c r="M8">
        <v>32996</v>
      </c>
      <c r="N8">
        <v>8693</v>
      </c>
      <c r="O8">
        <v>1951</v>
      </c>
      <c r="P8">
        <v>1419</v>
      </c>
      <c r="Q8">
        <v>7806</v>
      </c>
      <c r="R8" t="s">
        <v>9</v>
      </c>
      <c r="S8" t="s">
        <v>150</v>
      </c>
    </row>
    <row r="9" spans="1:19" x14ac:dyDescent="0.3">
      <c r="A9" t="s">
        <v>186</v>
      </c>
      <c r="B9" t="s">
        <v>173</v>
      </c>
      <c r="C9" t="s">
        <v>19</v>
      </c>
      <c r="D9">
        <v>96200</v>
      </c>
      <c r="E9" t="s">
        <v>191</v>
      </c>
      <c r="F9" s="16">
        <f>Table5[[#This Row],[Shia]]/Table5[[#This Row],[Population 2018-19]]</f>
        <v>0.88500000000000001</v>
      </c>
      <c r="G9">
        <v>96</v>
      </c>
      <c r="H9" s="1">
        <v>85137</v>
      </c>
      <c r="I9">
        <v>0</v>
      </c>
      <c r="J9">
        <v>0</v>
      </c>
      <c r="K9">
        <v>8369</v>
      </c>
      <c r="L9">
        <v>0</v>
      </c>
      <c r="M9">
        <v>2116</v>
      </c>
      <c r="N9">
        <v>385</v>
      </c>
      <c r="O9">
        <v>0</v>
      </c>
      <c r="P9">
        <v>0</v>
      </c>
      <c r="Q9">
        <v>96</v>
      </c>
      <c r="R9" t="s">
        <v>184</v>
      </c>
      <c r="S9" t="s">
        <v>185</v>
      </c>
    </row>
    <row r="10" spans="1:19" x14ac:dyDescent="0.3">
      <c r="A10" t="s">
        <v>177</v>
      </c>
      <c r="B10" t="s">
        <v>173</v>
      </c>
      <c r="C10" t="s">
        <v>20</v>
      </c>
      <c r="D10">
        <v>28700</v>
      </c>
      <c r="E10" t="s">
        <v>191</v>
      </c>
      <c r="F10" s="16">
        <f>Table5[[#This Row],[Shia]]/Table5[[#This Row],[Population 2018-19]]</f>
        <v>0.57999999999999996</v>
      </c>
      <c r="G10">
        <v>4936</v>
      </c>
      <c r="H10" s="1">
        <v>16646</v>
      </c>
      <c r="I10">
        <v>2956</v>
      </c>
      <c r="J10">
        <v>0</v>
      </c>
      <c r="K10">
        <v>1205</v>
      </c>
      <c r="L10">
        <v>1923</v>
      </c>
      <c r="M10">
        <v>660</v>
      </c>
      <c r="N10">
        <v>115</v>
      </c>
      <c r="O10">
        <v>0</v>
      </c>
      <c r="P10">
        <v>230</v>
      </c>
      <c r="Q10">
        <v>29</v>
      </c>
      <c r="R10" t="s">
        <v>20</v>
      </c>
      <c r="S10" t="s">
        <v>176</v>
      </c>
    </row>
    <row r="11" spans="1:19" x14ac:dyDescent="0.3">
      <c r="A11" t="s">
        <v>180</v>
      </c>
      <c r="B11" t="s">
        <v>173</v>
      </c>
      <c r="C11" t="s">
        <v>21</v>
      </c>
      <c r="D11">
        <v>74000</v>
      </c>
      <c r="E11" t="s">
        <v>191</v>
      </c>
      <c r="F11" s="16">
        <f>Table5[[#This Row],[Shia]]/Table5[[#This Row],[Population 2018-19]]</f>
        <v>0.57999999999999996</v>
      </c>
      <c r="G11">
        <v>12728</v>
      </c>
      <c r="H11" s="1">
        <v>42920</v>
      </c>
      <c r="I11">
        <v>7622</v>
      </c>
      <c r="J11">
        <v>0</v>
      </c>
      <c r="K11">
        <v>3108</v>
      </c>
      <c r="L11">
        <v>4958</v>
      </c>
      <c r="M11">
        <v>1702</v>
      </c>
      <c r="N11">
        <v>296</v>
      </c>
      <c r="O11">
        <v>0</v>
      </c>
      <c r="P11">
        <v>592</v>
      </c>
      <c r="Q11">
        <v>74</v>
      </c>
      <c r="R11" t="s">
        <v>178</v>
      </c>
      <c r="S11" t="s">
        <v>179</v>
      </c>
    </row>
    <row r="12" spans="1:19" x14ac:dyDescent="0.3">
      <c r="A12" t="s">
        <v>175</v>
      </c>
      <c r="B12" t="s">
        <v>173</v>
      </c>
      <c r="C12" t="s">
        <v>22</v>
      </c>
      <c r="D12">
        <v>180200</v>
      </c>
      <c r="E12" t="s">
        <v>191</v>
      </c>
      <c r="F12" s="16">
        <f>Table5[[#This Row],[Shia]]/Table5[[#This Row],[Population 2018-19]]</f>
        <v>0.95300221975582688</v>
      </c>
      <c r="G12">
        <v>1261</v>
      </c>
      <c r="H12" s="1">
        <v>171731</v>
      </c>
      <c r="I12">
        <v>0</v>
      </c>
      <c r="J12">
        <v>0</v>
      </c>
      <c r="K12">
        <v>5046</v>
      </c>
      <c r="L12">
        <v>0</v>
      </c>
      <c r="M12">
        <v>1261</v>
      </c>
      <c r="N12">
        <v>721</v>
      </c>
      <c r="O12">
        <v>0</v>
      </c>
      <c r="P12">
        <v>0</v>
      </c>
      <c r="Q12">
        <v>180</v>
      </c>
      <c r="R12" t="s">
        <v>173</v>
      </c>
      <c r="S12" t="s">
        <v>174</v>
      </c>
    </row>
    <row r="13" spans="1:19" x14ac:dyDescent="0.3">
      <c r="A13" t="s">
        <v>143</v>
      </c>
      <c r="B13" t="s">
        <v>13</v>
      </c>
      <c r="C13" t="s">
        <v>11</v>
      </c>
      <c r="D13">
        <v>129500</v>
      </c>
      <c r="E13" t="s">
        <v>41</v>
      </c>
      <c r="F13" s="16">
        <v>0.71500386100386104</v>
      </c>
      <c r="G13">
        <v>3367</v>
      </c>
      <c r="H13">
        <v>27454</v>
      </c>
      <c r="I13">
        <v>0</v>
      </c>
      <c r="J13">
        <v>0</v>
      </c>
      <c r="K13" s="1">
        <v>92593</v>
      </c>
      <c r="L13">
        <v>4015</v>
      </c>
      <c r="M13">
        <v>518</v>
      </c>
      <c r="N13">
        <v>1036</v>
      </c>
      <c r="O13">
        <v>130</v>
      </c>
      <c r="P13">
        <v>130</v>
      </c>
      <c r="Q13">
        <v>259</v>
      </c>
      <c r="R13" t="s">
        <v>141</v>
      </c>
      <c r="S13" t="s">
        <v>142</v>
      </c>
    </row>
    <row r="14" spans="1:19" x14ac:dyDescent="0.3">
      <c r="A14" t="s">
        <v>146</v>
      </c>
      <c r="B14" t="s">
        <v>13</v>
      </c>
      <c r="C14" t="s">
        <v>12</v>
      </c>
      <c r="D14">
        <v>260500</v>
      </c>
      <c r="E14" t="s">
        <v>41</v>
      </c>
      <c r="F14" s="16">
        <v>0.92100191938579656</v>
      </c>
      <c r="G14">
        <v>782</v>
      </c>
      <c r="H14">
        <v>4689</v>
      </c>
      <c r="I14">
        <v>0</v>
      </c>
      <c r="J14">
        <v>0</v>
      </c>
      <c r="K14" s="1">
        <v>239921</v>
      </c>
      <c r="L14">
        <v>2345</v>
      </c>
      <c r="M14">
        <v>5471</v>
      </c>
      <c r="N14">
        <v>1824</v>
      </c>
      <c r="O14">
        <v>1824</v>
      </c>
      <c r="P14">
        <v>261</v>
      </c>
      <c r="Q14">
        <v>3387</v>
      </c>
      <c r="R14" t="s">
        <v>144</v>
      </c>
      <c r="S14" t="s">
        <v>145</v>
      </c>
    </row>
    <row r="15" spans="1:19" x14ac:dyDescent="0.3">
      <c r="A15" t="s">
        <v>158</v>
      </c>
      <c r="B15" t="s">
        <v>15</v>
      </c>
      <c r="C15" t="s">
        <v>14</v>
      </c>
      <c r="D15">
        <v>300800</v>
      </c>
      <c r="E15" t="s">
        <v>38</v>
      </c>
      <c r="F15" s="16">
        <v>0.54600066489361698</v>
      </c>
      <c r="G15">
        <v>3910</v>
      </c>
      <c r="H15">
        <v>9926</v>
      </c>
      <c r="I15" s="1">
        <v>164237</v>
      </c>
      <c r="J15">
        <v>0</v>
      </c>
      <c r="K15">
        <v>70688</v>
      </c>
      <c r="L15">
        <v>37901</v>
      </c>
      <c r="M15">
        <v>9024</v>
      </c>
      <c r="N15">
        <v>1504</v>
      </c>
      <c r="O15">
        <v>301</v>
      </c>
      <c r="P15">
        <v>2106</v>
      </c>
      <c r="Q15">
        <v>1203</v>
      </c>
      <c r="R15" t="s">
        <v>14</v>
      </c>
      <c r="S15" t="s">
        <v>157</v>
      </c>
    </row>
    <row r="16" spans="1:19" x14ac:dyDescent="0.3">
      <c r="A16" t="s">
        <v>156</v>
      </c>
      <c r="B16" t="s">
        <v>15</v>
      </c>
      <c r="C16" t="s">
        <v>16</v>
      </c>
      <c r="D16">
        <v>553800</v>
      </c>
      <c r="E16" t="s">
        <v>41</v>
      </c>
      <c r="F16" s="16">
        <v>0.36299927771758755</v>
      </c>
      <c r="G16">
        <v>33782</v>
      </c>
      <c r="H16">
        <v>139558</v>
      </c>
      <c r="I16">
        <v>96361</v>
      </c>
      <c r="J16">
        <v>0</v>
      </c>
      <c r="K16" s="1">
        <v>201029</v>
      </c>
      <c r="L16">
        <v>41535</v>
      </c>
      <c r="M16">
        <v>24921</v>
      </c>
      <c r="N16">
        <v>4984</v>
      </c>
      <c r="O16">
        <v>2215</v>
      </c>
      <c r="P16">
        <v>1661</v>
      </c>
      <c r="Q16">
        <v>7753</v>
      </c>
      <c r="R16" t="s">
        <v>16</v>
      </c>
      <c r="S16" t="s">
        <v>155</v>
      </c>
    </row>
    <row r="17" spans="1:19" x14ac:dyDescent="0.3">
      <c r="A17" t="s">
        <v>163</v>
      </c>
      <c r="B17" t="s">
        <v>15</v>
      </c>
      <c r="C17" t="s">
        <v>17</v>
      </c>
      <c r="D17">
        <v>277000</v>
      </c>
      <c r="E17" t="s">
        <v>38</v>
      </c>
      <c r="F17" s="16">
        <v>0.316</v>
      </c>
      <c r="G17">
        <v>82269</v>
      </c>
      <c r="H17">
        <v>6094</v>
      </c>
      <c r="I17" s="1">
        <v>87532</v>
      </c>
      <c r="J17">
        <v>0</v>
      </c>
      <c r="K17">
        <v>80053</v>
      </c>
      <c r="L17">
        <v>1108</v>
      </c>
      <c r="M17">
        <v>18005</v>
      </c>
      <c r="N17">
        <v>831</v>
      </c>
      <c r="O17">
        <v>0</v>
      </c>
      <c r="P17">
        <v>831</v>
      </c>
      <c r="Q17">
        <v>277</v>
      </c>
      <c r="R17" t="s">
        <v>17</v>
      </c>
      <c r="S17" t="s">
        <v>162</v>
      </c>
    </row>
    <row r="18" spans="1:19" x14ac:dyDescent="0.3">
      <c r="A18" t="s">
        <v>149</v>
      </c>
      <c r="B18" t="s">
        <v>15</v>
      </c>
      <c r="C18" t="s">
        <v>18</v>
      </c>
      <c r="D18">
        <v>511000</v>
      </c>
      <c r="E18" t="s">
        <v>41</v>
      </c>
      <c r="F18" s="16">
        <v>0.45</v>
      </c>
      <c r="G18">
        <v>10220</v>
      </c>
      <c r="H18">
        <v>14819</v>
      </c>
      <c r="I18">
        <v>7154</v>
      </c>
      <c r="J18">
        <v>511</v>
      </c>
      <c r="K18" s="1">
        <v>229950</v>
      </c>
      <c r="L18">
        <v>74606</v>
      </c>
      <c r="M18">
        <v>50589</v>
      </c>
      <c r="N18">
        <v>72051</v>
      </c>
      <c r="O18">
        <v>19418</v>
      </c>
      <c r="P18">
        <v>8176</v>
      </c>
      <c r="Q18">
        <v>23506</v>
      </c>
      <c r="R18" t="s">
        <v>147</v>
      </c>
      <c r="S18" t="s">
        <v>148</v>
      </c>
    </row>
    <row r="19" spans="1:19" x14ac:dyDescent="0.3">
      <c r="A19" t="s">
        <v>137</v>
      </c>
      <c r="B19" t="s">
        <v>125</v>
      </c>
      <c r="C19" t="s">
        <v>23</v>
      </c>
      <c r="D19">
        <v>58900</v>
      </c>
      <c r="E19" t="s">
        <v>41</v>
      </c>
      <c r="F19" s="16">
        <v>0.67899830220713076</v>
      </c>
      <c r="G19">
        <v>5242</v>
      </c>
      <c r="H19">
        <v>530</v>
      </c>
      <c r="I19">
        <v>0</v>
      </c>
      <c r="J19">
        <v>118</v>
      </c>
      <c r="K19" s="1">
        <v>39993</v>
      </c>
      <c r="L19">
        <v>12133</v>
      </c>
      <c r="M19">
        <v>412</v>
      </c>
      <c r="N19">
        <v>118</v>
      </c>
      <c r="O19">
        <v>59</v>
      </c>
      <c r="P19">
        <v>0</v>
      </c>
      <c r="Q19">
        <v>295</v>
      </c>
      <c r="R19" t="s">
        <v>135</v>
      </c>
      <c r="S19" t="s">
        <v>136</v>
      </c>
    </row>
    <row r="20" spans="1:19" x14ac:dyDescent="0.3">
      <c r="A20" t="s">
        <v>140</v>
      </c>
      <c r="B20" t="s">
        <v>125</v>
      </c>
      <c r="C20" t="s">
        <v>24</v>
      </c>
      <c r="D20">
        <v>22100</v>
      </c>
      <c r="E20" t="s">
        <v>41</v>
      </c>
      <c r="F20" s="16">
        <v>0.67900452488687779</v>
      </c>
      <c r="G20">
        <v>1967</v>
      </c>
      <c r="H20">
        <v>199</v>
      </c>
      <c r="I20">
        <v>0</v>
      </c>
      <c r="J20">
        <v>44</v>
      </c>
      <c r="K20" s="1">
        <v>15006</v>
      </c>
      <c r="L20">
        <v>4553</v>
      </c>
      <c r="M20">
        <v>155</v>
      </c>
      <c r="N20">
        <v>44</v>
      </c>
      <c r="O20">
        <v>22</v>
      </c>
      <c r="P20">
        <v>0</v>
      </c>
      <c r="Q20">
        <v>111</v>
      </c>
      <c r="R20" t="s">
        <v>138</v>
      </c>
      <c r="S20" t="s">
        <v>139</v>
      </c>
    </row>
    <row r="21" spans="1:19" x14ac:dyDescent="0.3">
      <c r="A21" t="s">
        <v>134</v>
      </c>
      <c r="B21" t="s">
        <v>125</v>
      </c>
      <c r="C21" t="s">
        <v>25</v>
      </c>
      <c r="D21">
        <v>84600</v>
      </c>
      <c r="E21" t="s">
        <v>41</v>
      </c>
      <c r="F21" s="16">
        <v>0.67899527186761233</v>
      </c>
      <c r="G21">
        <v>7529</v>
      </c>
      <c r="H21">
        <v>761</v>
      </c>
      <c r="I21">
        <v>0</v>
      </c>
      <c r="J21">
        <v>169</v>
      </c>
      <c r="K21" s="1">
        <v>57443</v>
      </c>
      <c r="L21">
        <v>17428</v>
      </c>
      <c r="M21">
        <v>592</v>
      </c>
      <c r="N21">
        <v>169</v>
      </c>
      <c r="O21">
        <v>85</v>
      </c>
      <c r="P21">
        <v>0</v>
      </c>
      <c r="Q21">
        <v>423</v>
      </c>
      <c r="R21" t="s">
        <v>132</v>
      </c>
      <c r="S21" t="s">
        <v>133</v>
      </c>
    </row>
    <row r="22" spans="1:19" x14ac:dyDescent="0.3">
      <c r="A22" t="s">
        <v>124</v>
      </c>
      <c r="B22" t="s">
        <v>125</v>
      </c>
      <c r="C22" t="s">
        <v>26</v>
      </c>
      <c r="D22">
        <v>140800</v>
      </c>
      <c r="E22" t="s">
        <v>190</v>
      </c>
      <c r="F22" s="16">
        <v>0.84481534090909105</v>
      </c>
      <c r="G22" s="1">
        <v>118950</v>
      </c>
      <c r="H22">
        <v>85</v>
      </c>
      <c r="I22">
        <v>0</v>
      </c>
      <c r="J22">
        <v>0</v>
      </c>
      <c r="K22">
        <v>9148</v>
      </c>
      <c r="L22">
        <v>10931</v>
      </c>
      <c r="M22">
        <v>0</v>
      </c>
      <c r="N22">
        <v>1685</v>
      </c>
      <c r="O22">
        <v>0</v>
      </c>
      <c r="P22">
        <v>0</v>
      </c>
      <c r="Q22">
        <v>0</v>
      </c>
      <c r="R22" t="s">
        <v>122</v>
      </c>
      <c r="S22" t="s">
        <v>123</v>
      </c>
    </row>
    <row r="23" spans="1:19" x14ac:dyDescent="0.3">
      <c r="A23" t="s">
        <v>127</v>
      </c>
      <c r="B23" t="s">
        <v>125</v>
      </c>
      <c r="C23" t="s">
        <v>27</v>
      </c>
      <c r="D23">
        <v>243800</v>
      </c>
      <c r="E23" t="s">
        <v>190</v>
      </c>
      <c r="F23" s="16">
        <v>0.82200164068908943</v>
      </c>
      <c r="G23" s="1">
        <v>200404</v>
      </c>
      <c r="H23">
        <v>975</v>
      </c>
      <c r="I23">
        <v>0</v>
      </c>
      <c r="J23">
        <v>20723</v>
      </c>
      <c r="K23">
        <v>4388</v>
      </c>
      <c r="L23">
        <v>12921</v>
      </c>
      <c r="M23">
        <v>1219</v>
      </c>
      <c r="N23">
        <v>731</v>
      </c>
      <c r="O23">
        <v>488</v>
      </c>
      <c r="P23">
        <v>731</v>
      </c>
      <c r="Q23">
        <v>1219</v>
      </c>
      <c r="R23" t="s">
        <v>27</v>
      </c>
      <c r="S23" t="s">
        <v>126</v>
      </c>
    </row>
    <row r="24" spans="1:19" x14ac:dyDescent="0.3">
      <c r="A24" t="s">
        <v>129</v>
      </c>
      <c r="B24" t="s">
        <v>125</v>
      </c>
      <c r="C24" t="s">
        <v>28</v>
      </c>
      <c r="D24">
        <v>87700</v>
      </c>
      <c r="E24" t="s">
        <v>41</v>
      </c>
      <c r="F24" s="16">
        <v>0.6789965792474344</v>
      </c>
      <c r="G24">
        <v>7805</v>
      </c>
      <c r="H24">
        <v>789</v>
      </c>
      <c r="I24">
        <v>0</v>
      </c>
      <c r="J24">
        <v>175</v>
      </c>
      <c r="K24" s="1">
        <v>59548</v>
      </c>
      <c r="L24">
        <v>18066</v>
      </c>
      <c r="M24">
        <v>614</v>
      </c>
      <c r="N24">
        <v>175</v>
      </c>
      <c r="O24">
        <v>88</v>
      </c>
      <c r="P24">
        <v>0</v>
      </c>
      <c r="Q24">
        <v>439</v>
      </c>
      <c r="R24" t="s">
        <v>28</v>
      </c>
      <c r="S24" t="s">
        <v>128</v>
      </c>
    </row>
    <row r="25" spans="1:19" x14ac:dyDescent="0.3">
      <c r="A25" t="s">
        <v>168</v>
      </c>
      <c r="B25" t="s">
        <v>169</v>
      </c>
      <c r="C25" t="s">
        <v>31</v>
      </c>
      <c r="D25">
        <v>32100</v>
      </c>
      <c r="E25" t="s">
        <v>41</v>
      </c>
      <c r="F25" s="16">
        <v>0.59900311526479755</v>
      </c>
      <c r="G25">
        <v>578</v>
      </c>
      <c r="H25">
        <v>6837</v>
      </c>
      <c r="I25">
        <v>289</v>
      </c>
      <c r="J25">
        <v>0</v>
      </c>
      <c r="K25" s="1">
        <v>19228</v>
      </c>
      <c r="L25">
        <v>64</v>
      </c>
      <c r="M25">
        <v>4719</v>
      </c>
      <c r="N25">
        <v>353</v>
      </c>
      <c r="O25">
        <v>0</v>
      </c>
      <c r="P25">
        <v>0</v>
      </c>
      <c r="Q25">
        <v>32</v>
      </c>
      <c r="R25" t="s">
        <v>31</v>
      </c>
      <c r="S25" t="s">
        <v>167</v>
      </c>
    </row>
    <row r="26" spans="1:19" x14ac:dyDescent="0.3">
      <c r="A26" t="s">
        <v>172</v>
      </c>
      <c r="B26" t="s">
        <v>169</v>
      </c>
      <c r="C26" t="s">
        <v>30</v>
      </c>
      <c r="D26">
        <v>296600</v>
      </c>
      <c r="E26" t="s">
        <v>191</v>
      </c>
      <c r="F26" s="16">
        <f>Table5[[#This Row],[Shia]]/Table5[[#This Row],[Population 2018-19]]</f>
        <v>0.58200606877950101</v>
      </c>
      <c r="G26">
        <v>67529</v>
      </c>
      <c r="H26" s="1">
        <v>172623</v>
      </c>
      <c r="I26">
        <v>224</v>
      </c>
      <c r="J26">
        <v>0</v>
      </c>
      <c r="K26">
        <v>23210</v>
      </c>
      <c r="L26">
        <v>666</v>
      </c>
      <c r="M26">
        <v>28501</v>
      </c>
      <c r="N26">
        <v>2140</v>
      </c>
      <c r="O26">
        <v>0</v>
      </c>
      <c r="P26">
        <v>1266</v>
      </c>
      <c r="Q26">
        <v>441</v>
      </c>
      <c r="R26" t="s">
        <v>170</v>
      </c>
      <c r="S26" t="s">
        <v>171</v>
      </c>
    </row>
    <row r="27" spans="1:19" x14ac:dyDescent="0.3">
      <c r="A27" t="s">
        <v>183</v>
      </c>
      <c r="B27" t="s">
        <v>169</v>
      </c>
      <c r="C27" t="s">
        <v>32</v>
      </c>
      <c r="D27">
        <v>255700</v>
      </c>
      <c r="E27" t="s">
        <v>191</v>
      </c>
      <c r="F27" s="16">
        <f>Table5[[#This Row],[Shia]]/Table5[[#This Row],[Population 2018-19]]</f>
        <v>0.85899882675009775</v>
      </c>
      <c r="G27">
        <v>20456</v>
      </c>
      <c r="H27" s="1">
        <v>219646</v>
      </c>
      <c r="I27">
        <v>0</v>
      </c>
      <c r="J27">
        <v>0</v>
      </c>
      <c r="K27">
        <v>3068</v>
      </c>
      <c r="L27">
        <v>767</v>
      </c>
      <c r="M27">
        <v>9461</v>
      </c>
      <c r="N27">
        <v>1023</v>
      </c>
      <c r="O27">
        <v>256</v>
      </c>
      <c r="P27">
        <v>767</v>
      </c>
      <c r="Q27">
        <v>256</v>
      </c>
      <c r="R27" t="s">
        <v>181</v>
      </c>
      <c r="S27" t="s">
        <v>182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95511-774B-4E38-9068-39A338B6BF29}">
  <dimension ref="A1:D27"/>
  <sheetViews>
    <sheetView workbookViewId="0">
      <selection activeCell="P10" sqref="P10"/>
    </sheetView>
  </sheetViews>
  <sheetFormatPr defaultRowHeight="14.4" x14ac:dyDescent="0.3"/>
  <sheetData>
    <row r="1" spans="1:4" s="1" customFormat="1" x14ac:dyDescent="0.3">
      <c r="A1" s="1" t="s">
        <v>188</v>
      </c>
      <c r="B1" s="1" t="s">
        <v>1</v>
      </c>
      <c r="C1" s="1" t="s">
        <v>0</v>
      </c>
      <c r="D1" s="1" t="s">
        <v>199</v>
      </c>
    </row>
    <row r="2" spans="1:4" x14ac:dyDescent="0.3">
      <c r="A2" t="s">
        <v>117</v>
      </c>
      <c r="B2" t="s">
        <v>2</v>
      </c>
      <c r="C2" t="s">
        <v>2</v>
      </c>
      <c r="D2">
        <v>324000</v>
      </c>
    </row>
    <row r="3" spans="1:4" x14ac:dyDescent="0.3">
      <c r="A3" t="s">
        <v>131</v>
      </c>
      <c r="B3" t="s">
        <v>121</v>
      </c>
      <c r="C3" t="s">
        <v>3</v>
      </c>
      <c r="D3">
        <v>214600</v>
      </c>
    </row>
    <row r="4" spans="1:4" x14ac:dyDescent="0.3">
      <c r="A4" t="s">
        <v>120</v>
      </c>
      <c r="B4" t="s">
        <v>121</v>
      </c>
      <c r="C4" t="s">
        <v>4</v>
      </c>
      <c r="D4">
        <v>30500</v>
      </c>
    </row>
    <row r="5" spans="1:4" x14ac:dyDescent="0.3">
      <c r="A5" t="s">
        <v>154</v>
      </c>
      <c r="B5" t="s">
        <v>6</v>
      </c>
      <c r="C5" t="s">
        <v>6</v>
      </c>
      <c r="D5">
        <v>341700</v>
      </c>
    </row>
    <row r="6" spans="1:4" x14ac:dyDescent="0.3">
      <c r="A6" t="s">
        <v>166</v>
      </c>
      <c r="B6" t="s">
        <v>152</v>
      </c>
      <c r="C6" t="s">
        <v>7</v>
      </c>
      <c r="D6">
        <v>33800</v>
      </c>
    </row>
    <row r="7" spans="1:4" x14ac:dyDescent="0.3">
      <c r="A7" t="s">
        <v>161</v>
      </c>
      <c r="B7" t="s">
        <v>152</v>
      </c>
      <c r="C7" t="s">
        <v>8</v>
      </c>
      <c r="D7">
        <v>86400</v>
      </c>
    </row>
    <row r="8" spans="1:4" x14ac:dyDescent="0.3">
      <c r="A8" t="s">
        <v>151</v>
      </c>
      <c r="B8" t="s">
        <v>152</v>
      </c>
      <c r="C8" t="s">
        <v>9</v>
      </c>
      <c r="D8">
        <v>177400</v>
      </c>
    </row>
    <row r="9" spans="1:4" x14ac:dyDescent="0.3">
      <c r="A9" t="s">
        <v>186</v>
      </c>
      <c r="B9" t="s">
        <v>173</v>
      </c>
      <c r="C9" t="s">
        <v>19</v>
      </c>
      <c r="D9">
        <v>96200</v>
      </c>
    </row>
    <row r="10" spans="1:4" x14ac:dyDescent="0.3">
      <c r="A10" t="s">
        <v>177</v>
      </c>
      <c r="B10" t="s">
        <v>173</v>
      </c>
      <c r="C10" t="s">
        <v>20</v>
      </c>
      <c r="D10">
        <v>28700</v>
      </c>
    </row>
    <row r="11" spans="1:4" x14ac:dyDescent="0.3">
      <c r="A11" t="s">
        <v>180</v>
      </c>
      <c r="B11" t="s">
        <v>173</v>
      </c>
      <c r="C11" t="s">
        <v>21</v>
      </c>
      <c r="D11">
        <v>74000</v>
      </c>
    </row>
    <row r="12" spans="1:4" x14ac:dyDescent="0.3">
      <c r="A12" t="s">
        <v>175</v>
      </c>
      <c r="B12" t="s">
        <v>173</v>
      </c>
      <c r="C12" t="s">
        <v>22</v>
      </c>
      <c r="D12">
        <v>180200</v>
      </c>
    </row>
    <row r="13" spans="1:4" x14ac:dyDescent="0.3">
      <c r="A13" t="s">
        <v>143</v>
      </c>
      <c r="B13" t="s">
        <v>13</v>
      </c>
      <c r="C13" t="s">
        <v>11</v>
      </c>
      <c r="D13">
        <v>129500</v>
      </c>
    </row>
    <row r="14" spans="1:4" x14ac:dyDescent="0.3">
      <c r="A14" t="s">
        <v>146</v>
      </c>
      <c r="B14" t="s">
        <v>13</v>
      </c>
      <c r="C14" t="s">
        <v>12</v>
      </c>
      <c r="D14">
        <v>260500</v>
      </c>
    </row>
    <row r="15" spans="1:4" x14ac:dyDescent="0.3">
      <c r="A15" t="s">
        <v>158</v>
      </c>
      <c r="B15" t="s">
        <v>15</v>
      </c>
      <c r="C15" t="s">
        <v>14</v>
      </c>
      <c r="D15">
        <v>300800</v>
      </c>
    </row>
    <row r="16" spans="1:4" x14ac:dyDescent="0.3">
      <c r="A16" t="s">
        <v>156</v>
      </c>
      <c r="B16" t="s">
        <v>15</v>
      </c>
      <c r="C16" t="s">
        <v>16</v>
      </c>
      <c r="D16">
        <v>553800</v>
      </c>
    </row>
    <row r="17" spans="1:4" x14ac:dyDescent="0.3">
      <c r="A17" t="s">
        <v>163</v>
      </c>
      <c r="B17" t="s">
        <v>15</v>
      </c>
      <c r="C17" t="s">
        <v>17</v>
      </c>
      <c r="D17">
        <v>277000</v>
      </c>
    </row>
    <row r="18" spans="1:4" x14ac:dyDescent="0.3">
      <c r="A18" t="s">
        <v>149</v>
      </c>
      <c r="B18" t="s">
        <v>15</v>
      </c>
      <c r="C18" t="s">
        <v>18</v>
      </c>
      <c r="D18">
        <v>511000</v>
      </c>
    </row>
    <row r="19" spans="1:4" x14ac:dyDescent="0.3">
      <c r="A19" t="s">
        <v>137</v>
      </c>
      <c r="B19" t="s">
        <v>125</v>
      </c>
      <c r="C19" t="s">
        <v>23</v>
      </c>
      <c r="D19">
        <v>58900</v>
      </c>
    </row>
    <row r="20" spans="1:4" x14ac:dyDescent="0.3">
      <c r="A20" t="s">
        <v>140</v>
      </c>
      <c r="B20" t="s">
        <v>125</v>
      </c>
      <c r="C20" t="s">
        <v>24</v>
      </c>
      <c r="D20">
        <v>22100</v>
      </c>
    </row>
    <row r="21" spans="1:4" x14ac:dyDescent="0.3">
      <c r="A21" t="s">
        <v>134</v>
      </c>
      <c r="B21" t="s">
        <v>125</v>
      </c>
      <c r="C21" t="s">
        <v>25</v>
      </c>
      <c r="D21">
        <v>84600</v>
      </c>
    </row>
    <row r="22" spans="1:4" x14ac:dyDescent="0.3">
      <c r="A22" t="s">
        <v>124</v>
      </c>
      <c r="B22" t="s">
        <v>125</v>
      </c>
      <c r="C22" t="s">
        <v>26</v>
      </c>
      <c r="D22">
        <v>140800</v>
      </c>
    </row>
    <row r="23" spans="1:4" x14ac:dyDescent="0.3">
      <c r="A23" t="s">
        <v>127</v>
      </c>
      <c r="B23" t="s">
        <v>125</v>
      </c>
      <c r="C23" t="s">
        <v>27</v>
      </c>
      <c r="D23">
        <v>243800</v>
      </c>
    </row>
    <row r="24" spans="1:4" x14ac:dyDescent="0.3">
      <c r="A24" t="s">
        <v>129</v>
      </c>
      <c r="B24" t="s">
        <v>125</v>
      </c>
      <c r="C24" t="s">
        <v>28</v>
      </c>
      <c r="D24">
        <v>87700</v>
      </c>
    </row>
    <row r="25" spans="1:4" x14ac:dyDescent="0.3">
      <c r="A25" t="s">
        <v>168</v>
      </c>
      <c r="B25" t="s">
        <v>169</v>
      </c>
      <c r="C25" t="s">
        <v>31</v>
      </c>
      <c r="D25">
        <v>32100</v>
      </c>
    </row>
    <row r="26" spans="1:4" x14ac:dyDescent="0.3">
      <c r="A26" t="s">
        <v>172</v>
      </c>
      <c r="B26" t="s">
        <v>169</v>
      </c>
      <c r="C26" t="s">
        <v>30</v>
      </c>
      <c r="D26">
        <v>296600</v>
      </c>
    </row>
    <row r="27" spans="1:4" x14ac:dyDescent="0.3">
      <c r="A27" t="s">
        <v>183</v>
      </c>
      <c r="B27" t="s">
        <v>169</v>
      </c>
      <c r="C27" t="s">
        <v>32</v>
      </c>
      <c r="D27">
        <v>255700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C3068-3249-4D48-8278-FD0AB449D4F1}">
  <dimension ref="B2:B6"/>
  <sheetViews>
    <sheetView workbookViewId="0">
      <selection activeCell="B6" sqref="B6"/>
    </sheetView>
  </sheetViews>
  <sheetFormatPr defaultRowHeight="14.4" x14ac:dyDescent="0.3"/>
  <sheetData>
    <row r="2" spans="2:2" x14ac:dyDescent="0.3">
      <c r="B2" t="s">
        <v>277</v>
      </c>
    </row>
    <row r="3" spans="2:2" x14ac:dyDescent="0.3">
      <c r="B3" t="s">
        <v>215</v>
      </c>
    </row>
    <row r="5" spans="2:2" x14ac:dyDescent="0.3">
      <c r="B5" t="s">
        <v>278</v>
      </c>
    </row>
    <row r="6" spans="2:2" x14ac:dyDescent="0.3">
      <c r="B6" t="s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0C8A2-BB98-4F0A-89CC-9AA6DD1996EA}">
  <dimension ref="A1:AJ49"/>
  <sheetViews>
    <sheetView workbookViewId="0">
      <selection activeCell="F4" sqref="F3:F4"/>
    </sheetView>
  </sheetViews>
  <sheetFormatPr defaultRowHeight="14.4" x14ac:dyDescent="0.3"/>
  <cols>
    <col min="1" max="2" width="10.44140625" customWidth="1"/>
    <col min="3" max="3" width="12.5546875" bestFit="1" customWidth="1"/>
    <col min="4" max="4" width="16.77734375" bestFit="1" customWidth="1"/>
    <col min="5" max="10" width="10.44140625" customWidth="1"/>
    <col min="11" max="19" width="11.44140625" customWidth="1"/>
  </cols>
  <sheetData>
    <row r="1" spans="1:36" x14ac:dyDescent="0.3">
      <c r="A1" s="1" t="s">
        <v>188</v>
      </c>
      <c r="B1" s="1" t="s">
        <v>81</v>
      </c>
      <c r="C1" s="1" t="s">
        <v>1</v>
      </c>
      <c r="D1" s="1" t="s">
        <v>0</v>
      </c>
      <c r="E1" s="1" t="s">
        <v>80</v>
      </c>
      <c r="F1" s="1" t="s">
        <v>199</v>
      </c>
      <c r="G1" s="1" t="s">
        <v>230</v>
      </c>
      <c r="H1" s="1" t="s">
        <v>190</v>
      </c>
      <c r="I1" s="1" t="s">
        <v>191</v>
      </c>
      <c r="J1" s="1" t="s">
        <v>38</v>
      </c>
      <c r="K1" s="1" t="s">
        <v>192</v>
      </c>
      <c r="L1" s="1" t="s">
        <v>41</v>
      </c>
      <c r="M1" s="1" t="s">
        <v>48</v>
      </c>
      <c r="N1" s="1" t="s">
        <v>193</v>
      </c>
      <c r="O1" s="1" t="s">
        <v>49</v>
      </c>
      <c r="P1" s="1" t="s">
        <v>194</v>
      </c>
      <c r="Q1" s="1" t="s">
        <v>195</v>
      </c>
      <c r="R1" s="1" t="s">
        <v>202</v>
      </c>
      <c r="S1" s="1" t="s">
        <v>224</v>
      </c>
      <c r="U1" s="23" t="s">
        <v>61</v>
      </c>
      <c r="V1" s="24">
        <v>1</v>
      </c>
      <c r="W1" s="24" t="s">
        <v>2</v>
      </c>
      <c r="X1" s="24" t="s">
        <v>2</v>
      </c>
      <c r="Y1" s="27">
        <v>324000</v>
      </c>
      <c r="Z1" s="27">
        <v>219348</v>
      </c>
      <c r="AA1" s="27">
        <v>3564</v>
      </c>
      <c r="AB1" s="27">
        <v>0</v>
      </c>
      <c r="AC1" s="27">
        <v>16200</v>
      </c>
      <c r="AD1" s="27">
        <v>34992</v>
      </c>
      <c r="AE1" s="27">
        <v>46980</v>
      </c>
      <c r="AF1" s="27">
        <v>1944</v>
      </c>
      <c r="AG1" s="27">
        <v>0</v>
      </c>
      <c r="AH1" s="27">
        <v>0</v>
      </c>
      <c r="AI1" s="27">
        <v>972</v>
      </c>
      <c r="AJ1" s="28">
        <v>0</v>
      </c>
    </row>
    <row r="2" spans="1:36" x14ac:dyDescent="0.3">
      <c r="A2" t="s">
        <v>151</v>
      </c>
      <c r="B2">
        <v>8</v>
      </c>
      <c r="C2" t="s">
        <v>152</v>
      </c>
      <c r="D2" t="s">
        <v>9</v>
      </c>
      <c r="E2" t="s">
        <v>204</v>
      </c>
      <c r="F2">
        <v>177400</v>
      </c>
      <c r="G2" t="s">
        <v>208</v>
      </c>
      <c r="H2">
        <v>48867</v>
      </c>
      <c r="I2">
        <v>27538</v>
      </c>
      <c r="J2">
        <v>906</v>
      </c>
      <c r="L2">
        <v>27049</v>
      </c>
      <c r="M2">
        <v>16470</v>
      </c>
      <c r="N2">
        <v>32295</v>
      </c>
      <c r="O2">
        <v>8604</v>
      </c>
      <c r="P2">
        <v>1846</v>
      </c>
      <c r="R2">
        <v>8980</v>
      </c>
      <c r="U2" s="25" t="s">
        <v>62</v>
      </c>
      <c r="V2" s="26">
        <v>2</v>
      </c>
      <c r="W2" s="26" t="s">
        <v>5</v>
      </c>
      <c r="X2" s="26" t="s">
        <v>3</v>
      </c>
      <c r="Y2" s="29">
        <v>214600</v>
      </c>
      <c r="Z2" s="29">
        <v>28542</v>
      </c>
      <c r="AA2" s="29">
        <v>157302</v>
      </c>
      <c r="AB2" s="29">
        <v>0</v>
      </c>
      <c r="AC2" s="29">
        <v>0</v>
      </c>
      <c r="AD2" s="29">
        <v>15666</v>
      </c>
      <c r="AE2" s="29">
        <v>1502</v>
      </c>
      <c r="AF2" s="29">
        <v>11374</v>
      </c>
      <c r="AG2" s="29">
        <v>0</v>
      </c>
      <c r="AH2" s="29">
        <v>0</v>
      </c>
      <c r="AI2" s="29">
        <v>0</v>
      </c>
      <c r="AJ2" s="30">
        <v>215</v>
      </c>
    </row>
    <row r="3" spans="1:36" x14ac:dyDescent="0.3">
      <c r="A3" t="s">
        <v>143</v>
      </c>
      <c r="B3">
        <v>13</v>
      </c>
      <c r="C3" t="s">
        <v>13</v>
      </c>
      <c r="D3" t="s">
        <v>11</v>
      </c>
      <c r="E3" t="s">
        <v>234</v>
      </c>
      <c r="F3">
        <v>129500</v>
      </c>
      <c r="G3" t="s">
        <v>216</v>
      </c>
      <c r="U3" s="23" t="s">
        <v>63</v>
      </c>
      <c r="V3" s="24">
        <v>2</v>
      </c>
      <c r="W3" s="24" t="s">
        <v>5</v>
      </c>
      <c r="X3" s="24" t="s">
        <v>4</v>
      </c>
      <c r="Y3" s="27">
        <v>30500</v>
      </c>
      <c r="Z3" s="27">
        <v>4057</v>
      </c>
      <c r="AA3" s="27">
        <v>22357</v>
      </c>
      <c r="AB3" s="27">
        <v>0</v>
      </c>
      <c r="AC3" s="27">
        <v>0</v>
      </c>
      <c r="AD3" s="27">
        <v>2227</v>
      </c>
      <c r="AE3" s="27">
        <v>214</v>
      </c>
      <c r="AF3" s="27">
        <v>1617</v>
      </c>
      <c r="AG3" s="27">
        <v>0</v>
      </c>
      <c r="AH3" s="27">
        <v>0</v>
      </c>
      <c r="AI3" s="27">
        <v>0</v>
      </c>
      <c r="AJ3" s="28">
        <v>31</v>
      </c>
    </row>
    <row r="4" spans="1:36" x14ac:dyDescent="0.3">
      <c r="A4" t="s">
        <v>146</v>
      </c>
      <c r="B4">
        <v>14</v>
      </c>
      <c r="C4" t="s">
        <v>13</v>
      </c>
      <c r="D4" t="s">
        <v>12</v>
      </c>
      <c r="E4" t="s">
        <v>217</v>
      </c>
      <c r="F4">
        <v>260500</v>
      </c>
      <c r="G4" t="s">
        <v>216</v>
      </c>
      <c r="H4">
        <v>2340</v>
      </c>
      <c r="I4">
        <v>18756</v>
      </c>
      <c r="L4">
        <v>143632</v>
      </c>
      <c r="M4">
        <v>3345</v>
      </c>
      <c r="N4">
        <v>2308</v>
      </c>
      <c r="O4">
        <v>2452</v>
      </c>
      <c r="R4">
        <v>2201</v>
      </c>
      <c r="U4" s="25" t="s">
        <v>68</v>
      </c>
      <c r="V4" s="26">
        <v>3</v>
      </c>
      <c r="W4" s="26" t="s">
        <v>6</v>
      </c>
      <c r="X4" s="26" t="s">
        <v>66</v>
      </c>
      <c r="Y4" s="29">
        <v>120173</v>
      </c>
      <c r="Z4" s="29">
        <v>11897</v>
      </c>
      <c r="AA4" s="29">
        <v>2403</v>
      </c>
      <c r="AB4" s="29">
        <v>240</v>
      </c>
      <c r="AC4" s="29">
        <v>120</v>
      </c>
      <c r="AD4" s="29">
        <v>15863</v>
      </c>
      <c r="AE4" s="29">
        <v>23073</v>
      </c>
      <c r="AF4" s="29">
        <v>11777</v>
      </c>
      <c r="AG4" s="29">
        <v>33769</v>
      </c>
      <c r="AH4" s="29">
        <v>6730</v>
      </c>
      <c r="AI4" s="29">
        <v>3485</v>
      </c>
      <c r="AJ4" s="30">
        <v>10816</v>
      </c>
    </row>
    <row r="5" spans="1:36" x14ac:dyDescent="0.3">
      <c r="A5" t="s">
        <v>117</v>
      </c>
      <c r="B5">
        <v>1</v>
      </c>
      <c r="C5" t="s">
        <v>2</v>
      </c>
      <c r="D5" t="s">
        <v>2</v>
      </c>
      <c r="E5" t="s">
        <v>209</v>
      </c>
      <c r="F5">
        <v>324000</v>
      </c>
      <c r="G5" t="s">
        <v>207</v>
      </c>
      <c r="H5">
        <v>186920</v>
      </c>
      <c r="I5">
        <v>2911</v>
      </c>
      <c r="K5">
        <v>13765</v>
      </c>
      <c r="L5">
        <v>30208</v>
      </c>
      <c r="M5">
        <v>40606</v>
      </c>
      <c r="N5">
        <v>1710</v>
      </c>
      <c r="R5">
        <v>818</v>
      </c>
      <c r="U5" s="23" t="s">
        <v>69</v>
      </c>
      <c r="V5" s="24">
        <v>3</v>
      </c>
      <c r="W5" s="24" t="s">
        <v>6</v>
      </c>
      <c r="X5" s="24" t="s">
        <v>67</v>
      </c>
      <c r="Y5" s="27">
        <v>221527</v>
      </c>
      <c r="Z5" s="27">
        <v>138011</v>
      </c>
      <c r="AA5" s="27">
        <v>45856</v>
      </c>
      <c r="AB5" s="27">
        <v>3544</v>
      </c>
      <c r="AC5" s="27">
        <v>0</v>
      </c>
      <c r="AD5" s="27">
        <v>3987</v>
      </c>
      <c r="AE5" s="27">
        <v>10855</v>
      </c>
      <c r="AF5" s="27">
        <v>3544</v>
      </c>
      <c r="AG5" s="27">
        <v>3544</v>
      </c>
      <c r="AH5" s="27">
        <v>1108</v>
      </c>
      <c r="AI5" s="27">
        <v>1772</v>
      </c>
      <c r="AJ5" s="28">
        <v>9304</v>
      </c>
    </row>
    <row r="6" spans="1:36" x14ac:dyDescent="0.3">
      <c r="A6" t="s">
        <v>168</v>
      </c>
      <c r="B6">
        <v>25</v>
      </c>
      <c r="C6" t="s">
        <v>169</v>
      </c>
      <c r="D6" t="s">
        <v>31</v>
      </c>
      <c r="E6" t="s">
        <v>226</v>
      </c>
      <c r="F6">
        <v>32100</v>
      </c>
      <c r="G6" t="s">
        <v>206</v>
      </c>
      <c r="H6">
        <v>53429</v>
      </c>
      <c r="I6">
        <v>18239</v>
      </c>
      <c r="J6">
        <v>585</v>
      </c>
      <c r="L6">
        <v>37214</v>
      </c>
      <c r="N6">
        <v>10489</v>
      </c>
      <c r="R6">
        <v>809</v>
      </c>
      <c r="U6" s="25" t="s">
        <v>71</v>
      </c>
      <c r="V6" s="26">
        <v>2</v>
      </c>
      <c r="W6" s="26" t="s">
        <v>10</v>
      </c>
      <c r="X6" s="26" t="s">
        <v>7</v>
      </c>
      <c r="Y6" s="29">
        <v>33800</v>
      </c>
      <c r="Z6" s="29">
        <v>16461</v>
      </c>
      <c r="AA6" s="29">
        <v>4969</v>
      </c>
      <c r="AB6" s="29">
        <v>4969</v>
      </c>
      <c r="AC6" s="29">
        <v>0</v>
      </c>
      <c r="AD6" s="29">
        <v>2400</v>
      </c>
      <c r="AE6" s="29">
        <v>2366</v>
      </c>
      <c r="AF6" s="29">
        <v>2467</v>
      </c>
      <c r="AG6" s="29">
        <v>0</v>
      </c>
      <c r="AH6" s="29">
        <v>0</v>
      </c>
      <c r="AI6" s="29">
        <v>101</v>
      </c>
      <c r="AJ6" s="30">
        <v>68</v>
      </c>
    </row>
    <row r="7" spans="1:36" x14ac:dyDescent="0.3">
      <c r="A7" t="s">
        <v>172</v>
      </c>
      <c r="B7">
        <v>26</v>
      </c>
      <c r="C7" t="s">
        <v>169</v>
      </c>
      <c r="D7" t="s">
        <v>30</v>
      </c>
      <c r="E7" t="s">
        <v>226</v>
      </c>
      <c r="F7">
        <v>296600</v>
      </c>
      <c r="G7" t="s">
        <v>206</v>
      </c>
      <c r="U7" s="23" t="s">
        <v>72</v>
      </c>
      <c r="V7" s="24">
        <v>2</v>
      </c>
      <c r="W7" s="24" t="s">
        <v>10</v>
      </c>
      <c r="X7" s="24" t="s">
        <v>8</v>
      </c>
      <c r="Y7" s="27">
        <v>86400</v>
      </c>
      <c r="Z7" s="27">
        <v>42077</v>
      </c>
      <c r="AA7" s="27">
        <v>12701</v>
      </c>
      <c r="AB7" s="27">
        <v>12701</v>
      </c>
      <c r="AC7" s="27">
        <v>0</v>
      </c>
      <c r="AD7" s="27">
        <v>6134</v>
      </c>
      <c r="AE7" s="27">
        <v>6048</v>
      </c>
      <c r="AF7" s="27">
        <v>6307</v>
      </c>
      <c r="AG7" s="27">
        <v>0</v>
      </c>
      <c r="AH7" s="27">
        <v>0</v>
      </c>
      <c r="AI7" s="27">
        <v>259</v>
      </c>
      <c r="AJ7" s="28">
        <v>173</v>
      </c>
    </row>
    <row r="8" spans="1:36" x14ac:dyDescent="0.3">
      <c r="A8" t="s">
        <v>166</v>
      </c>
      <c r="B8">
        <v>6</v>
      </c>
      <c r="C8" t="s">
        <v>152</v>
      </c>
      <c r="D8" t="s">
        <v>7</v>
      </c>
      <c r="E8" t="s">
        <v>212</v>
      </c>
      <c r="F8">
        <v>33800</v>
      </c>
      <c r="G8" t="s">
        <v>211</v>
      </c>
      <c r="H8">
        <v>68362</v>
      </c>
      <c r="I8">
        <v>20566</v>
      </c>
      <c r="J8">
        <v>20678</v>
      </c>
      <c r="L8">
        <v>10117</v>
      </c>
      <c r="M8">
        <v>10042</v>
      </c>
      <c r="N8">
        <v>10398</v>
      </c>
      <c r="U8" s="25" t="s">
        <v>70</v>
      </c>
      <c r="V8" s="26">
        <v>1</v>
      </c>
      <c r="W8" s="26" t="s">
        <v>10</v>
      </c>
      <c r="X8" s="26" t="s">
        <v>9</v>
      </c>
      <c r="Y8" s="29">
        <v>177400</v>
      </c>
      <c r="Z8" s="29">
        <v>50736</v>
      </c>
      <c r="AA8" s="29">
        <v>28384</v>
      </c>
      <c r="AB8" s="29">
        <v>887</v>
      </c>
      <c r="AC8" s="29">
        <v>0</v>
      </c>
      <c r="AD8" s="29">
        <v>27674</v>
      </c>
      <c r="AE8" s="29">
        <v>16853</v>
      </c>
      <c r="AF8" s="29">
        <v>32996</v>
      </c>
      <c r="AG8" s="29">
        <v>8693</v>
      </c>
      <c r="AH8" s="29">
        <v>1951</v>
      </c>
      <c r="AI8" s="29">
        <v>1419</v>
      </c>
      <c r="AJ8" s="30">
        <v>7806</v>
      </c>
    </row>
    <row r="9" spans="1:36" x14ac:dyDescent="0.3">
      <c r="A9" t="s">
        <v>161</v>
      </c>
      <c r="B9">
        <v>7</v>
      </c>
      <c r="C9" t="s">
        <v>152</v>
      </c>
      <c r="D9" t="s">
        <v>8</v>
      </c>
      <c r="E9" t="s">
        <v>235</v>
      </c>
      <c r="F9">
        <v>86400</v>
      </c>
      <c r="G9" t="s">
        <v>211</v>
      </c>
      <c r="U9" s="23" t="s">
        <v>44</v>
      </c>
      <c r="V9" s="24">
        <v>1</v>
      </c>
      <c r="W9" s="24" t="s">
        <v>13</v>
      </c>
      <c r="X9" s="24" t="s">
        <v>11</v>
      </c>
      <c r="Y9" s="27">
        <v>129500</v>
      </c>
      <c r="Z9" s="27">
        <v>3367</v>
      </c>
      <c r="AA9" s="27">
        <v>27454</v>
      </c>
      <c r="AB9" s="27">
        <v>0</v>
      </c>
      <c r="AC9" s="27">
        <v>0</v>
      </c>
      <c r="AD9" s="27">
        <v>92593</v>
      </c>
      <c r="AE9" s="27">
        <v>4015</v>
      </c>
      <c r="AF9" s="27">
        <v>518</v>
      </c>
      <c r="AG9" s="27">
        <v>1036</v>
      </c>
      <c r="AH9" s="27">
        <v>130</v>
      </c>
      <c r="AI9" s="27">
        <v>130</v>
      </c>
      <c r="AJ9" s="28">
        <v>259</v>
      </c>
    </row>
    <row r="10" spans="1:36" x14ac:dyDescent="0.3">
      <c r="A10" t="s">
        <v>149</v>
      </c>
      <c r="B10">
        <v>18</v>
      </c>
      <c r="C10" t="s">
        <v>15</v>
      </c>
      <c r="D10" t="s">
        <v>18</v>
      </c>
      <c r="E10" t="s">
        <v>219</v>
      </c>
      <c r="F10">
        <v>511000</v>
      </c>
      <c r="G10" t="s">
        <v>218</v>
      </c>
      <c r="H10">
        <v>3354</v>
      </c>
      <c r="I10">
        <v>5398</v>
      </c>
      <c r="J10">
        <v>2458</v>
      </c>
      <c r="L10">
        <v>79907</v>
      </c>
      <c r="M10">
        <v>25971</v>
      </c>
      <c r="N10">
        <v>17510</v>
      </c>
      <c r="O10">
        <v>25499</v>
      </c>
      <c r="P10">
        <v>6886</v>
      </c>
      <c r="R10">
        <v>11182</v>
      </c>
      <c r="U10" s="25" t="s">
        <v>44</v>
      </c>
      <c r="V10" s="26">
        <v>1</v>
      </c>
      <c r="W10" s="26" t="s">
        <v>13</v>
      </c>
      <c r="X10" s="26" t="s">
        <v>12</v>
      </c>
      <c r="Y10" s="29">
        <v>260500</v>
      </c>
      <c r="Z10" s="29">
        <v>782</v>
      </c>
      <c r="AA10" s="29">
        <v>4689</v>
      </c>
      <c r="AB10" s="29">
        <v>0</v>
      </c>
      <c r="AC10" s="29">
        <v>0</v>
      </c>
      <c r="AD10" s="29">
        <v>239921</v>
      </c>
      <c r="AE10" s="29">
        <v>2345</v>
      </c>
      <c r="AF10" s="29">
        <v>5471</v>
      </c>
      <c r="AG10" s="29">
        <v>1824</v>
      </c>
      <c r="AH10" s="29">
        <v>1824</v>
      </c>
      <c r="AI10" s="29">
        <v>261</v>
      </c>
      <c r="AJ10" s="30">
        <v>3387</v>
      </c>
    </row>
    <row r="11" spans="1:36" x14ac:dyDescent="0.3">
      <c r="A11" t="s">
        <v>124</v>
      </c>
      <c r="B11">
        <v>22</v>
      </c>
      <c r="C11" t="s">
        <v>125</v>
      </c>
      <c r="D11" t="s">
        <v>26</v>
      </c>
      <c r="E11" t="s">
        <v>203</v>
      </c>
      <c r="F11">
        <v>140800</v>
      </c>
      <c r="G11" t="s">
        <v>200</v>
      </c>
      <c r="H11">
        <v>284425</v>
      </c>
      <c r="K11">
        <v>20717</v>
      </c>
      <c r="L11">
        <v>11616</v>
      </c>
      <c r="M11">
        <v>21404</v>
      </c>
      <c r="O11">
        <v>1771</v>
      </c>
      <c r="P11">
        <v>1101</v>
      </c>
      <c r="R11">
        <v>2027</v>
      </c>
      <c r="U11" s="23" t="s">
        <v>46</v>
      </c>
      <c r="V11" s="24">
        <v>1</v>
      </c>
      <c r="W11" s="24" t="s">
        <v>15</v>
      </c>
      <c r="X11" s="24" t="s">
        <v>14</v>
      </c>
      <c r="Y11" s="27">
        <v>300800</v>
      </c>
      <c r="Z11" s="27">
        <v>3910</v>
      </c>
      <c r="AA11" s="27">
        <v>9926</v>
      </c>
      <c r="AB11" s="27">
        <v>164237</v>
      </c>
      <c r="AC11" s="27">
        <v>0</v>
      </c>
      <c r="AD11" s="27">
        <v>70688</v>
      </c>
      <c r="AE11" s="27">
        <v>37901</v>
      </c>
      <c r="AF11" s="27">
        <v>9024</v>
      </c>
      <c r="AG11" s="27">
        <v>1504</v>
      </c>
      <c r="AH11" s="27">
        <v>301</v>
      </c>
      <c r="AI11" s="27">
        <v>2106</v>
      </c>
      <c r="AJ11" s="28">
        <v>1203</v>
      </c>
    </row>
    <row r="12" spans="1:36" x14ac:dyDescent="0.3">
      <c r="A12" t="s">
        <v>127</v>
      </c>
      <c r="B12">
        <v>23</v>
      </c>
      <c r="C12" t="s">
        <v>125</v>
      </c>
      <c r="D12" t="s">
        <v>27</v>
      </c>
      <c r="E12" t="s">
        <v>236</v>
      </c>
      <c r="F12">
        <v>243800</v>
      </c>
      <c r="G12" t="s">
        <v>200</v>
      </c>
      <c r="U12" s="25" t="s">
        <v>51</v>
      </c>
      <c r="V12" s="26">
        <v>1</v>
      </c>
      <c r="W12" s="26" t="s">
        <v>15</v>
      </c>
      <c r="X12" s="26" t="s">
        <v>16</v>
      </c>
      <c r="Y12" s="29">
        <v>553800</v>
      </c>
      <c r="Z12" s="29">
        <v>33782</v>
      </c>
      <c r="AA12" s="29">
        <v>139558</v>
      </c>
      <c r="AB12" s="29">
        <v>96361</v>
      </c>
      <c r="AC12" s="29">
        <v>0</v>
      </c>
      <c r="AD12" s="29">
        <v>201029</v>
      </c>
      <c r="AE12" s="29">
        <v>41535</v>
      </c>
      <c r="AF12" s="29">
        <v>24921</v>
      </c>
      <c r="AG12" s="29">
        <v>4984</v>
      </c>
      <c r="AH12" s="29">
        <v>2215</v>
      </c>
      <c r="AI12" s="29">
        <v>1661</v>
      </c>
      <c r="AJ12" s="30">
        <v>7753</v>
      </c>
    </row>
    <row r="13" spans="1:36" x14ac:dyDescent="0.3">
      <c r="A13" t="s">
        <v>172</v>
      </c>
      <c r="C13" t="s">
        <v>169</v>
      </c>
      <c r="D13" t="s">
        <v>274</v>
      </c>
      <c r="E13" t="s">
        <v>232</v>
      </c>
      <c r="G13" t="s">
        <v>201</v>
      </c>
      <c r="U13" s="23" t="s">
        <v>53</v>
      </c>
      <c r="V13" s="24">
        <v>1</v>
      </c>
      <c r="W13" s="24" t="s">
        <v>15</v>
      </c>
      <c r="X13" s="24" t="s">
        <v>17</v>
      </c>
      <c r="Y13" s="27">
        <v>277000</v>
      </c>
      <c r="Z13" s="27">
        <v>82269</v>
      </c>
      <c r="AA13" s="27">
        <v>6094</v>
      </c>
      <c r="AB13" s="27">
        <v>87532</v>
      </c>
      <c r="AC13" s="27">
        <v>0</v>
      </c>
      <c r="AD13" s="27">
        <v>80053</v>
      </c>
      <c r="AE13" s="27">
        <v>1108</v>
      </c>
      <c r="AF13" s="27">
        <v>18005</v>
      </c>
      <c r="AG13" s="27">
        <v>831</v>
      </c>
      <c r="AH13" s="27">
        <v>0</v>
      </c>
      <c r="AI13" s="27">
        <v>831</v>
      </c>
      <c r="AJ13" s="28">
        <v>277</v>
      </c>
    </row>
    <row r="14" spans="1:36" x14ac:dyDescent="0.3">
      <c r="A14" t="s">
        <v>183</v>
      </c>
      <c r="B14">
        <v>27</v>
      </c>
      <c r="C14" t="s">
        <v>169</v>
      </c>
      <c r="D14" t="s">
        <v>32</v>
      </c>
      <c r="E14" t="s">
        <v>232</v>
      </c>
      <c r="F14">
        <v>255700</v>
      </c>
      <c r="G14" t="s">
        <v>201</v>
      </c>
      <c r="H14">
        <v>18166</v>
      </c>
      <c r="I14">
        <v>242293</v>
      </c>
      <c r="L14">
        <v>13546</v>
      </c>
      <c r="N14">
        <v>20285</v>
      </c>
      <c r="R14">
        <v>3408</v>
      </c>
      <c r="U14" s="25" t="s">
        <v>54</v>
      </c>
      <c r="V14" s="26">
        <v>1</v>
      </c>
      <c r="W14" s="26" t="s">
        <v>15</v>
      </c>
      <c r="X14" s="26" t="s">
        <v>18</v>
      </c>
      <c r="Y14" s="29">
        <v>511000</v>
      </c>
      <c r="Z14" s="29">
        <v>10220</v>
      </c>
      <c r="AA14" s="29">
        <v>14819</v>
      </c>
      <c r="AB14" s="29">
        <v>7154</v>
      </c>
      <c r="AC14" s="29">
        <v>511</v>
      </c>
      <c r="AD14" s="29">
        <v>229950</v>
      </c>
      <c r="AE14" s="29">
        <v>74606</v>
      </c>
      <c r="AF14" s="29">
        <v>50589</v>
      </c>
      <c r="AG14" s="29">
        <v>72051</v>
      </c>
      <c r="AH14" s="29">
        <v>19418</v>
      </c>
      <c r="AI14" s="29">
        <v>8176</v>
      </c>
      <c r="AJ14" s="30">
        <v>23506</v>
      </c>
    </row>
    <row r="15" spans="1:36" x14ac:dyDescent="0.3">
      <c r="A15" t="s">
        <v>131</v>
      </c>
      <c r="B15">
        <v>2</v>
      </c>
      <c r="C15" t="s">
        <v>121</v>
      </c>
      <c r="D15" t="s">
        <v>3</v>
      </c>
      <c r="E15" t="s">
        <v>214</v>
      </c>
      <c r="F15">
        <v>214600</v>
      </c>
      <c r="G15" t="s">
        <v>213</v>
      </c>
      <c r="H15">
        <v>41081</v>
      </c>
      <c r="I15">
        <v>226405</v>
      </c>
      <c r="L15">
        <v>22706</v>
      </c>
      <c r="M15">
        <v>2236</v>
      </c>
      <c r="N15">
        <v>16569</v>
      </c>
      <c r="U15" s="23" t="s">
        <v>55</v>
      </c>
      <c r="V15" s="24">
        <v>1</v>
      </c>
      <c r="W15" s="24" t="s">
        <v>22</v>
      </c>
      <c r="X15" s="24" t="s">
        <v>19</v>
      </c>
      <c r="Y15" s="27">
        <v>96200</v>
      </c>
      <c r="Z15" s="27">
        <v>96</v>
      </c>
      <c r="AA15" s="27">
        <v>85137</v>
      </c>
      <c r="AB15" s="27">
        <v>0</v>
      </c>
      <c r="AC15" s="27">
        <v>0</v>
      </c>
      <c r="AD15" s="27">
        <v>8369</v>
      </c>
      <c r="AE15" s="27">
        <v>0</v>
      </c>
      <c r="AF15" s="27">
        <v>2116</v>
      </c>
      <c r="AG15" s="27">
        <v>385</v>
      </c>
      <c r="AH15" s="27">
        <v>0</v>
      </c>
      <c r="AI15" s="27">
        <v>0</v>
      </c>
      <c r="AJ15" s="28">
        <v>96</v>
      </c>
    </row>
    <row r="16" spans="1:36" x14ac:dyDescent="0.3">
      <c r="A16" t="s">
        <v>120</v>
      </c>
      <c r="B16">
        <v>3</v>
      </c>
      <c r="C16" t="s">
        <v>121</v>
      </c>
      <c r="D16" t="s">
        <v>4</v>
      </c>
      <c r="E16" t="s">
        <v>237</v>
      </c>
      <c r="F16">
        <v>30500</v>
      </c>
      <c r="G16" t="s">
        <v>213</v>
      </c>
      <c r="U16" s="25" t="s">
        <v>55</v>
      </c>
      <c r="V16" s="26">
        <v>2</v>
      </c>
      <c r="W16" s="26" t="s">
        <v>22</v>
      </c>
      <c r="X16" s="26" t="s">
        <v>20</v>
      </c>
      <c r="Y16" s="29">
        <v>28700</v>
      </c>
      <c r="Z16" s="29">
        <v>4936</v>
      </c>
      <c r="AA16" s="29">
        <v>16646</v>
      </c>
      <c r="AB16" s="29">
        <v>2956</v>
      </c>
      <c r="AC16" s="29">
        <v>0</v>
      </c>
      <c r="AD16" s="29">
        <v>1205</v>
      </c>
      <c r="AE16" s="29">
        <v>1923</v>
      </c>
      <c r="AF16" s="29">
        <v>660</v>
      </c>
      <c r="AG16" s="29">
        <v>115</v>
      </c>
      <c r="AH16" s="29">
        <v>0</v>
      </c>
      <c r="AI16" s="29">
        <v>230</v>
      </c>
      <c r="AJ16" s="30">
        <v>29</v>
      </c>
    </row>
    <row r="17" spans="1:36" x14ac:dyDescent="0.3">
      <c r="A17" t="s">
        <v>156</v>
      </c>
      <c r="B17">
        <v>16</v>
      </c>
      <c r="C17" t="s">
        <v>15</v>
      </c>
      <c r="D17" t="s">
        <v>16</v>
      </c>
      <c r="E17" t="s">
        <v>221</v>
      </c>
      <c r="F17">
        <v>553800</v>
      </c>
      <c r="G17" t="s">
        <v>220</v>
      </c>
      <c r="H17">
        <v>9946</v>
      </c>
      <c r="I17">
        <v>41033</v>
      </c>
      <c r="J17">
        <v>28631</v>
      </c>
      <c r="L17">
        <v>59837</v>
      </c>
      <c r="M17">
        <v>12385</v>
      </c>
      <c r="N17">
        <v>7488</v>
      </c>
      <c r="R17">
        <v>3482</v>
      </c>
      <c r="U17" s="23" t="s">
        <v>56</v>
      </c>
      <c r="V17" s="24">
        <v>2</v>
      </c>
      <c r="W17" s="24" t="s">
        <v>22</v>
      </c>
      <c r="X17" s="24" t="s">
        <v>21</v>
      </c>
      <c r="Y17" s="27">
        <v>74000</v>
      </c>
      <c r="Z17" s="27">
        <v>12728</v>
      </c>
      <c r="AA17" s="27">
        <v>42920</v>
      </c>
      <c r="AB17" s="27">
        <v>7622</v>
      </c>
      <c r="AC17" s="27">
        <v>0</v>
      </c>
      <c r="AD17" s="27">
        <v>3108</v>
      </c>
      <c r="AE17" s="27">
        <v>4958</v>
      </c>
      <c r="AF17" s="27">
        <v>1702</v>
      </c>
      <c r="AG17" s="27">
        <v>296</v>
      </c>
      <c r="AH17" s="27">
        <v>0</v>
      </c>
      <c r="AI17" s="27">
        <v>592</v>
      </c>
      <c r="AJ17" s="28">
        <v>74</v>
      </c>
    </row>
    <row r="18" spans="1:36" x14ac:dyDescent="0.3">
      <c r="A18" t="s">
        <v>137</v>
      </c>
      <c r="B18">
        <v>19</v>
      </c>
      <c r="C18" t="s">
        <v>125</v>
      </c>
      <c r="D18" t="s">
        <v>23</v>
      </c>
      <c r="E18" t="s">
        <v>210</v>
      </c>
      <c r="F18">
        <v>58900</v>
      </c>
      <c r="G18" t="s">
        <v>205</v>
      </c>
      <c r="H18">
        <v>167966</v>
      </c>
      <c r="I18">
        <v>22061</v>
      </c>
      <c r="U18" s="25" t="s">
        <v>55</v>
      </c>
      <c r="V18" s="26">
        <v>1</v>
      </c>
      <c r="W18" s="26" t="s">
        <v>22</v>
      </c>
      <c r="X18" s="26" t="s">
        <v>22</v>
      </c>
      <c r="Y18" s="29">
        <v>180200</v>
      </c>
      <c r="Z18" s="29">
        <v>1261</v>
      </c>
      <c r="AA18" s="29">
        <v>171731</v>
      </c>
      <c r="AB18" s="29">
        <v>0</v>
      </c>
      <c r="AC18" s="29">
        <v>0</v>
      </c>
      <c r="AD18" s="29">
        <v>5046</v>
      </c>
      <c r="AE18" s="29">
        <v>0</v>
      </c>
      <c r="AF18" s="29">
        <v>1261</v>
      </c>
      <c r="AG18" s="29">
        <v>721</v>
      </c>
      <c r="AH18" s="29">
        <v>0</v>
      </c>
      <c r="AI18" s="29">
        <v>0</v>
      </c>
      <c r="AJ18" s="30">
        <v>180</v>
      </c>
    </row>
    <row r="19" spans="1:36" x14ac:dyDescent="0.3">
      <c r="A19" t="s">
        <v>140</v>
      </c>
      <c r="B19">
        <v>20</v>
      </c>
      <c r="C19" t="s">
        <v>125</v>
      </c>
      <c r="D19" t="s">
        <v>24</v>
      </c>
      <c r="E19" t="s">
        <v>238</v>
      </c>
      <c r="F19">
        <v>22100</v>
      </c>
      <c r="G19" t="s">
        <v>205</v>
      </c>
      <c r="U19" s="23" t="s">
        <v>78</v>
      </c>
      <c r="V19" s="24">
        <v>2</v>
      </c>
      <c r="W19" s="24" t="s">
        <v>29</v>
      </c>
      <c r="X19" s="24" t="s">
        <v>23</v>
      </c>
      <c r="Y19" s="27">
        <v>58900</v>
      </c>
      <c r="Z19" s="27">
        <v>5242</v>
      </c>
      <c r="AA19" s="27">
        <v>530</v>
      </c>
      <c r="AB19" s="27">
        <v>0</v>
      </c>
      <c r="AC19" s="27">
        <v>118</v>
      </c>
      <c r="AD19" s="27">
        <v>39993</v>
      </c>
      <c r="AE19" s="27">
        <v>12133</v>
      </c>
      <c r="AF19" s="27">
        <v>412</v>
      </c>
      <c r="AG19" s="27">
        <v>118</v>
      </c>
      <c r="AH19" s="27">
        <v>59</v>
      </c>
      <c r="AI19" s="27">
        <v>0</v>
      </c>
      <c r="AJ19" s="28">
        <v>295</v>
      </c>
    </row>
    <row r="20" spans="1:36" x14ac:dyDescent="0.3">
      <c r="A20" t="s">
        <v>134</v>
      </c>
      <c r="B20">
        <v>21</v>
      </c>
      <c r="C20" t="s">
        <v>125</v>
      </c>
      <c r="D20" t="s">
        <v>25</v>
      </c>
      <c r="E20" t="s">
        <v>239</v>
      </c>
      <c r="F20">
        <v>84600</v>
      </c>
      <c r="G20" t="s">
        <v>205</v>
      </c>
      <c r="U20" s="25" t="s">
        <v>78</v>
      </c>
      <c r="V20" s="26">
        <v>2</v>
      </c>
      <c r="W20" s="26" t="s">
        <v>29</v>
      </c>
      <c r="X20" s="26" t="s">
        <v>24</v>
      </c>
      <c r="Y20" s="29">
        <v>22100</v>
      </c>
      <c r="Z20" s="29">
        <v>1967</v>
      </c>
      <c r="AA20" s="29">
        <v>199</v>
      </c>
      <c r="AB20" s="29">
        <v>0</v>
      </c>
      <c r="AC20" s="29">
        <v>44</v>
      </c>
      <c r="AD20" s="29">
        <v>15006</v>
      </c>
      <c r="AE20" s="29">
        <v>4553</v>
      </c>
      <c r="AF20" s="29">
        <v>155</v>
      </c>
      <c r="AG20" s="29">
        <v>44</v>
      </c>
      <c r="AH20" s="29">
        <v>22</v>
      </c>
      <c r="AI20" s="29">
        <v>0</v>
      </c>
      <c r="AJ20" s="30">
        <v>111</v>
      </c>
    </row>
    <row r="21" spans="1:36" x14ac:dyDescent="0.3">
      <c r="A21" t="s">
        <v>129</v>
      </c>
      <c r="B21">
        <v>24</v>
      </c>
      <c r="C21" t="s">
        <v>125</v>
      </c>
      <c r="D21" t="s">
        <v>28</v>
      </c>
      <c r="E21" t="s">
        <v>240</v>
      </c>
      <c r="F21">
        <v>87700</v>
      </c>
      <c r="G21" t="s">
        <v>205</v>
      </c>
      <c r="U21" s="23" t="s">
        <v>57</v>
      </c>
      <c r="V21" s="24">
        <v>3</v>
      </c>
      <c r="W21" s="24" t="s">
        <v>29</v>
      </c>
      <c r="X21" s="24" t="s">
        <v>59</v>
      </c>
      <c r="Y21" s="27">
        <v>85338</v>
      </c>
      <c r="Z21" s="27">
        <v>68868</v>
      </c>
      <c r="AA21" s="27">
        <v>85</v>
      </c>
      <c r="AB21" s="27">
        <v>0</v>
      </c>
      <c r="AC21" s="27">
        <v>0</v>
      </c>
      <c r="AD21" s="27">
        <v>8704</v>
      </c>
      <c r="AE21" s="27">
        <v>6827</v>
      </c>
      <c r="AF21" s="27">
        <v>0</v>
      </c>
      <c r="AG21" s="27">
        <v>853</v>
      </c>
      <c r="AH21" s="27">
        <v>0</v>
      </c>
      <c r="AI21" s="27">
        <v>0</v>
      </c>
      <c r="AJ21" s="28">
        <v>0</v>
      </c>
    </row>
    <row r="22" spans="1:36" x14ac:dyDescent="0.3">
      <c r="A22" t="s">
        <v>186</v>
      </c>
      <c r="B22">
        <v>9</v>
      </c>
      <c r="C22" t="s">
        <v>173</v>
      </c>
      <c r="D22" t="s">
        <v>19</v>
      </c>
      <c r="E22" t="s">
        <v>233</v>
      </c>
      <c r="F22">
        <v>96200</v>
      </c>
      <c r="G22" t="s">
        <v>227</v>
      </c>
      <c r="H22">
        <v>28604</v>
      </c>
      <c r="I22">
        <v>361003</v>
      </c>
      <c r="J22">
        <v>16457</v>
      </c>
      <c r="L22">
        <v>23739</v>
      </c>
      <c r="M22">
        <v>11035</v>
      </c>
      <c r="N22">
        <v>8111</v>
      </c>
      <c r="R22">
        <v>1745</v>
      </c>
      <c r="U22" s="25" t="s">
        <v>78</v>
      </c>
      <c r="V22" s="26">
        <v>2</v>
      </c>
      <c r="W22" s="26" t="s">
        <v>29</v>
      </c>
      <c r="X22" s="26" t="s">
        <v>25</v>
      </c>
      <c r="Y22" s="29">
        <v>84600</v>
      </c>
      <c r="Z22" s="29">
        <v>7529</v>
      </c>
      <c r="AA22" s="29">
        <v>761</v>
      </c>
      <c r="AB22" s="29">
        <v>0</v>
      </c>
      <c r="AC22" s="29">
        <v>169</v>
      </c>
      <c r="AD22" s="29">
        <v>57443</v>
      </c>
      <c r="AE22" s="29">
        <v>17428</v>
      </c>
      <c r="AF22" s="29">
        <v>592</v>
      </c>
      <c r="AG22" s="29">
        <v>169</v>
      </c>
      <c r="AH22" s="29">
        <v>85</v>
      </c>
      <c r="AI22" s="29">
        <v>0</v>
      </c>
      <c r="AJ22" s="30">
        <v>423</v>
      </c>
    </row>
    <row r="23" spans="1:36" x14ac:dyDescent="0.3">
      <c r="A23" t="s">
        <v>177</v>
      </c>
      <c r="B23">
        <v>10</v>
      </c>
      <c r="C23" t="s">
        <v>173</v>
      </c>
      <c r="D23" t="s">
        <v>20</v>
      </c>
      <c r="E23" t="s">
        <v>241</v>
      </c>
      <c r="F23">
        <v>28700</v>
      </c>
      <c r="G23" t="s">
        <v>227</v>
      </c>
      <c r="U23" s="23" t="s">
        <v>57</v>
      </c>
      <c r="V23" s="24">
        <v>3</v>
      </c>
      <c r="W23" s="24" t="s">
        <v>29</v>
      </c>
      <c r="X23" s="24" t="s">
        <v>60</v>
      </c>
      <c r="Y23" s="27">
        <v>55462</v>
      </c>
      <c r="Z23" s="27">
        <v>50082</v>
      </c>
      <c r="AA23" s="27">
        <v>0</v>
      </c>
      <c r="AB23" s="27">
        <v>0</v>
      </c>
      <c r="AC23" s="27">
        <v>0</v>
      </c>
      <c r="AD23" s="27">
        <v>444</v>
      </c>
      <c r="AE23" s="27">
        <v>4104</v>
      </c>
      <c r="AF23" s="27">
        <v>0</v>
      </c>
      <c r="AG23" s="27">
        <v>832</v>
      </c>
      <c r="AH23" s="27">
        <v>0</v>
      </c>
      <c r="AI23" s="27">
        <v>0</v>
      </c>
      <c r="AJ23" s="28">
        <v>0</v>
      </c>
    </row>
    <row r="24" spans="1:36" x14ac:dyDescent="0.3">
      <c r="A24" t="s">
        <v>180</v>
      </c>
      <c r="B24">
        <v>11</v>
      </c>
      <c r="C24" t="s">
        <v>173</v>
      </c>
      <c r="D24" t="s">
        <v>21</v>
      </c>
      <c r="E24" t="s">
        <v>242</v>
      </c>
      <c r="F24">
        <v>74000</v>
      </c>
      <c r="G24" t="s">
        <v>227</v>
      </c>
      <c r="U24" s="25" t="s">
        <v>57</v>
      </c>
      <c r="V24" s="26">
        <v>1</v>
      </c>
      <c r="W24" s="26" t="s">
        <v>29</v>
      </c>
      <c r="X24" s="26" t="s">
        <v>27</v>
      </c>
      <c r="Y24" s="29">
        <v>243800</v>
      </c>
      <c r="Z24" s="29">
        <v>200404</v>
      </c>
      <c r="AA24" s="29">
        <v>975</v>
      </c>
      <c r="AB24" s="29">
        <v>0</v>
      </c>
      <c r="AC24" s="29">
        <v>20723</v>
      </c>
      <c r="AD24" s="29">
        <v>4388</v>
      </c>
      <c r="AE24" s="29">
        <v>12921</v>
      </c>
      <c r="AF24" s="29">
        <v>1219</v>
      </c>
      <c r="AG24" s="29">
        <v>731</v>
      </c>
      <c r="AH24" s="29">
        <v>488</v>
      </c>
      <c r="AI24" s="29">
        <v>731</v>
      </c>
      <c r="AJ24" s="30">
        <v>1219</v>
      </c>
    </row>
    <row r="25" spans="1:36" x14ac:dyDescent="0.3">
      <c r="A25" t="s">
        <v>175</v>
      </c>
      <c r="B25">
        <v>12</v>
      </c>
      <c r="C25" t="s">
        <v>173</v>
      </c>
      <c r="D25" t="s">
        <v>22</v>
      </c>
      <c r="E25" t="s">
        <v>243</v>
      </c>
      <c r="F25">
        <v>180200</v>
      </c>
      <c r="G25" t="s">
        <v>227</v>
      </c>
      <c r="U25" s="23" t="s">
        <v>77</v>
      </c>
      <c r="V25" s="24">
        <v>2</v>
      </c>
      <c r="W25" s="24" t="s">
        <v>29</v>
      </c>
      <c r="X25" s="24" t="s">
        <v>28</v>
      </c>
      <c r="Y25" s="27">
        <v>87700</v>
      </c>
      <c r="Z25" s="27">
        <v>7805</v>
      </c>
      <c r="AA25" s="27">
        <v>789</v>
      </c>
      <c r="AB25" s="27">
        <v>0</v>
      </c>
      <c r="AC25" s="27">
        <v>175</v>
      </c>
      <c r="AD25" s="27">
        <v>59548</v>
      </c>
      <c r="AE25" s="27">
        <v>18066</v>
      </c>
      <c r="AF25" s="27">
        <v>614</v>
      </c>
      <c r="AG25" s="27">
        <v>175</v>
      </c>
      <c r="AH25" s="27">
        <v>88</v>
      </c>
      <c r="AI25" s="27">
        <v>0</v>
      </c>
      <c r="AJ25" s="28">
        <v>439</v>
      </c>
    </row>
    <row r="26" spans="1:36" x14ac:dyDescent="0.3">
      <c r="A26" t="s">
        <v>158</v>
      </c>
      <c r="B26">
        <v>15</v>
      </c>
      <c r="C26" t="s">
        <v>15</v>
      </c>
      <c r="D26" t="s">
        <v>14</v>
      </c>
      <c r="E26" t="s">
        <v>229</v>
      </c>
      <c r="F26">
        <v>300800</v>
      </c>
      <c r="G26" t="s">
        <v>228</v>
      </c>
      <c r="H26">
        <v>60000</v>
      </c>
      <c r="I26">
        <v>8444</v>
      </c>
      <c r="J26">
        <v>131000</v>
      </c>
      <c r="L26">
        <v>87000</v>
      </c>
      <c r="M26">
        <v>16000</v>
      </c>
      <c r="N26">
        <v>16000</v>
      </c>
      <c r="R26">
        <v>2971</v>
      </c>
      <c r="U26" s="25" t="s">
        <v>73</v>
      </c>
      <c r="V26" s="26">
        <v>1</v>
      </c>
      <c r="W26" s="26" t="s">
        <v>33</v>
      </c>
      <c r="X26" s="26" t="s">
        <v>31</v>
      </c>
      <c r="Y26" s="29">
        <v>32100</v>
      </c>
      <c r="Z26" s="29">
        <v>578</v>
      </c>
      <c r="AA26" s="29">
        <v>6837</v>
      </c>
      <c r="AB26" s="29">
        <v>289</v>
      </c>
      <c r="AC26" s="29">
        <v>0</v>
      </c>
      <c r="AD26" s="29">
        <v>19228</v>
      </c>
      <c r="AE26" s="29">
        <v>64</v>
      </c>
      <c r="AF26" s="29">
        <v>4719</v>
      </c>
      <c r="AG26" s="29">
        <v>353</v>
      </c>
      <c r="AH26" s="29">
        <v>0</v>
      </c>
      <c r="AI26" s="29">
        <v>0</v>
      </c>
      <c r="AJ26" s="30">
        <v>32</v>
      </c>
    </row>
    <row r="27" spans="1:36" x14ac:dyDescent="0.3">
      <c r="A27" t="s">
        <v>163</v>
      </c>
      <c r="B27">
        <v>17</v>
      </c>
      <c r="C27" t="s">
        <v>15</v>
      </c>
      <c r="D27" t="s">
        <v>17</v>
      </c>
      <c r="E27" t="s">
        <v>229</v>
      </c>
      <c r="F27">
        <v>277000</v>
      </c>
      <c r="G27" t="s">
        <v>228</v>
      </c>
      <c r="U27" s="23" t="s">
        <v>73</v>
      </c>
      <c r="V27" s="24">
        <v>3</v>
      </c>
      <c r="W27" s="24" t="s">
        <v>33</v>
      </c>
      <c r="X27" s="24" t="s">
        <v>30</v>
      </c>
      <c r="Y27" s="27">
        <v>72205</v>
      </c>
      <c r="Z27" s="27">
        <v>60797</v>
      </c>
      <c r="AA27" s="27">
        <v>6571</v>
      </c>
      <c r="AB27" s="27">
        <v>0</v>
      </c>
      <c r="AC27" s="27">
        <v>0</v>
      </c>
      <c r="AD27" s="27">
        <v>1444</v>
      </c>
      <c r="AE27" s="27">
        <v>217</v>
      </c>
      <c r="AF27" s="27">
        <v>2022</v>
      </c>
      <c r="AG27" s="27">
        <v>794</v>
      </c>
      <c r="AH27" s="27">
        <v>0</v>
      </c>
      <c r="AI27" s="27">
        <v>144</v>
      </c>
      <c r="AJ27" s="28">
        <v>217</v>
      </c>
    </row>
    <row r="28" spans="1:36" x14ac:dyDescent="0.3">
      <c r="B28">
        <v>4</v>
      </c>
      <c r="C28" t="s">
        <v>6</v>
      </c>
      <c r="D28" t="s">
        <v>66</v>
      </c>
      <c r="E28" t="s">
        <v>223</v>
      </c>
      <c r="G28" t="s">
        <v>66</v>
      </c>
      <c r="H28">
        <v>13060</v>
      </c>
      <c r="I28">
        <v>2663</v>
      </c>
      <c r="J28" t="s">
        <v>222</v>
      </c>
      <c r="L28">
        <v>17647</v>
      </c>
      <c r="M28">
        <v>25695</v>
      </c>
      <c r="N28">
        <v>13108</v>
      </c>
      <c r="O28">
        <v>37905</v>
      </c>
      <c r="P28">
        <v>7459</v>
      </c>
      <c r="R28">
        <v>15773</v>
      </c>
      <c r="U28" s="25" t="s">
        <v>75</v>
      </c>
      <c r="V28" s="26">
        <v>1</v>
      </c>
      <c r="W28" s="26" t="s">
        <v>33</v>
      </c>
      <c r="X28" s="26" t="s">
        <v>32</v>
      </c>
      <c r="Y28" s="29">
        <v>255700</v>
      </c>
      <c r="Z28" s="29">
        <v>20456</v>
      </c>
      <c r="AA28" s="29">
        <v>219646</v>
      </c>
      <c r="AB28" s="29">
        <v>0</v>
      </c>
      <c r="AC28" s="29">
        <v>0</v>
      </c>
      <c r="AD28" s="29">
        <v>3068</v>
      </c>
      <c r="AE28" s="29">
        <v>767</v>
      </c>
      <c r="AF28" s="29">
        <v>9461</v>
      </c>
      <c r="AG28" s="29">
        <v>1023</v>
      </c>
      <c r="AH28" s="29">
        <v>256</v>
      </c>
      <c r="AI28" s="29">
        <v>767</v>
      </c>
      <c r="AJ28" s="30">
        <v>256</v>
      </c>
    </row>
    <row r="29" spans="1:36" x14ac:dyDescent="0.3">
      <c r="A29" t="s">
        <v>154</v>
      </c>
      <c r="B29">
        <v>5</v>
      </c>
      <c r="C29" t="s">
        <v>6</v>
      </c>
      <c r="D29" t="s">
        <v>67</v>
      </c>
      <c r="E29" t="s">
        <v>225</v>
      </c>
      <c r="F29">
        <v>341700</v>
      </c>
      <c r="G29" t="s">
        <v>67</v>
      </c>
      <c r="H29">
        <v>215781</v>
      </c>
      <c r="I29">
        <v>71537</v>
      </c>
      <c r="J29">
        <v>5397</v>
      </c>
      <c r="K29">
        <v>113</v>
      </c>
      <c r="L29">
        <v>6452</v>
      </c>
      <c r="M29">
        <v>17379</v>
      </c>
      <c r="N29">
        <v>5663</v>
      </c>
      <c r="O29">
        <v>5744</v>
      </c>
      <c r="Q29">
        <v>2810</v>
      </c>
      <c r="R29">
        <v>11846</v>
      </c>
      <c r="S29">
        <v>4555</v>
      </c>
      <c r="U29" s="23" t="s">
        <v>75</v>
      </c>
      <c r="V29" s="24">
        <v>3</v>
      </c>
      <c r="W29" s="24" t="s">
        <v>33</v>
      </c>
      <c r="X29" s="24" t="s">
        <v>76</v>
      </c>
      <c r="Y29" s="27">
        <v>224395</v>
      </c>
      <c r="Z29" s="27">
        <v>6732</v>
      </c>
      <c r="AA29" s="27">
        <v>166052</v>
      </c>
      <c r="AB29" s="27">
        <v>224</v>
      </c>
      <c r="AC29" s="27">
        <v>0</v>
      </c>
      <c r="AD29" s="27">
        <v>21766</v>
      </c>
      <c r="AE29" s="27">
        <v>449</v>
      </c>
      <c r="AF29" s="27">
        <v>26479</v>
      </c>
      <c r="AG29" s="27">
        <v>1346</v>
      </c>
      <c r="AH29" s="27">
        <v>0</v>
      </c>
      <c r="AI29" s="27">
        <v>1122</v>
      </c>
      <c r="AJ29" s="28">
        <v>224</v>
      </c>
    </row>
    <row r="30" spans="1:36" x14ac:dyDescent="0.3">
      <c r="C30" t="s">
        <v>215</v>
      </c>
    </row>
    <row r="32" spans="1:36" x14ac:dyDescent="0.3">
      <c r="G32">
        <f>SUM(H32:S32)</f>
        <v>3618901</v>
      </c>
      <c r="H32">
        <f>SUM(Table4[Sunni])</f>
        <v>1202301</v>
      </c>
      <c r="I32">
        <f>SUM(Table4[Shia])</f>
        <v>1068847</v>
      </c>
      <c r="J32">
        <f>SUM(Table4[Druze])</f>
        <v>206112</v>
      </c>
      <c r="K32">
        <f>SUM(Table4[Alawite])</f>
        <v>34595</v>
      </c>
      <c r="L32">
        <f>SUM(Table4[Maronite])</f>
        <v>570670</v>
      </c>
      <c r="M32">
        <f>SUM(Table4[Orthodox])</f>
        <v>202568</v>
      </c>
      <c r="N32">
        <f>SUM(Table4[Catholic])</f>
        <v>161934</v>
      </c>
      <c r="O32">
        <f>SUM(Table4[Armenian Orthodox])</f>
        <v>81975</v>
      </c>
      <c r="P32">
        <f>SUM(Table4[Armenian Catholic])</f>
        <v>17292</v>
      </c>
      <c r="Q32">
        <f>SUM(Table4[Evangelical])</f>
        <v>2810</v>
      </c>
      <c r="R32">
        <f>SUM(Table4[Other Christians])</f>
        <v>65242</v>
      </c>
      <c r="S32">
        <f>SUM(Table4[Israeli])</f>
        <v>4555</v>
      </c>
    </row>
    <row r="33" spans="3:19" x14ac:dyDescent="0.3">
      <c r="C33" s="21" t="s">
        <v>244</v>
      </c>
      <c r="D33" t="s">
        <v>246</v>
      </c>
    </row>
    <row r="34" spans="3:19" x14ac:dyDescent="0.3">
      <c r="C34" s="22" t="s">
        <v>208</v>
      </c>
      <c r="D34">
        <v>177400</v>
      </c>
      <c r="H34">
        <f>H32/$G$32</f>
        <v>0.33222820961391319</v>
      </c>
      <c r="I34">
        <f t="shared" ref="I34:S34" si="0">I32/$G$32</f>
        <v>0.29535126824414371</v>
      </c>
      <c r="J34">
        <f t="shared" si="0"/>
        <v>5.6954307398848436E-2</v>
      </c>
      <c r="K34">
        <f t="shared" si="0"/>
        <v>9.5595320236723808E-3</v>
      </c>
      <c r="L34">
        <f t="shared" si="0"/>
        <v>0.15769152016040228</v>
      </c>
      <c r="M34">
        <f t="shared" si="0"/>
        <v>5.5975004566303416E-2</v>
      </c>
      <c r="N34">
        <f t="shared" si="0"/>
        <v>4.4746733884126699E-2</v>
      </c>
      <c r="O34">
        <f t="shared" si="0"/>
        <v>2.2651904542290602E-2</v>
      </c>
      <c r="P34">
        <f t="shared" si="0"/>
        <v>4.778246213422252E-3</v>
      </c>
      <c r="Q34">
        <f t="shared" si="0"/>
        <v>7.7647882603033348E-4</v>
      </c>
      <c r="R34">
        <f t="shared" si="0"/>
        <v>1.8028125113121359E-2</v>
      </c>
      <c r="S34">
        <f t="shared" si="0"/>
        <v>1.258669413725327E-3</v>
      </c>
    </row>
    <row r="35" spans="3:19" x14ac:dyDescent="0.3">
      <c r="C35" s="22" t="s">
        <v>216</v>
      </c>
      <c r="D35">
        <v>390000</v>
      </c>
    </row>
    <row r="36" spans="3:19" x14ac:dyDescent="0.3">
      <c r="C36" s="22" t="s">
        <v>207</v>
      </c>
      <c r="D36">
        <v>324000</v>
      </c>
    </row>
    <row r="37" spans="3:19" x14ac:dyDescent="0.3">
      <c r="C37" s="22" t="s">
        <v>206</v>
      </c>
      <c r="D37">
        <v>32100</v>
      </c>
    </row>
    <row r="38" spans="3:19" x14ac:dyDescent="0.3">
      <c r="C38" s="22" t="s">
        <v>211</v>
      </c>
      <c r="D38">
        <v>120200</v>
      </c>
    </row>
    <row r="39" spans="3:19" x14ac:dyDescent="0.3">
      <c r="C39" s="22" t="s">
        <v>218</v>
      </c>
      <c r="D39">
        <v>511000</v>
      </c>
    </row>
    <row r="40" spans="3:19" x14ac:dyDescent="0.3">
      <c r="C40" s="22" t="s">
        <v>200</v>
      </c>
      <c r="D40">
        <v>384600</v>
      </c>
    </row>
    <row r="41" spans="3:19" x14ac:dyDescent="0.3">
      <c r="C41" s="22" t="s">
        <v>201</v>
      </c>
      <c r="D41">
        <v>552300</v>
      </c>
    </row>
    <row r="42" spans="3:19" x14ac:dyDescent="0.3">
      <c r="C42" s="22" t="s">
        <v>213</v>
      </c>
      <c r="D42">
        <v>245100</v>
      </c>
    </row>
    <row r="43" spans="3:19" x14ac:dyDescent="0.3">
      <c r="C43" s="22" t="s">
        <v>220</v>
      </c>
      <c r="D43">
        <v>553800</v>
      </c>
    </row>
    <row r="44" spans="3:19" x14ac:dyDescent="0.3">
      <c r="C44" s="22" t="s">
        <v>205</v>
      </c>
      <c r="D44">
        <v>253300</v>
      </c>
    </row>
    <row r="45" spans="3:19" x14ac:dyDescent="0.3">
      <c r="C45" s="22" t="s">
        <v>227</v>
      </c>
      <c r="D45">
        <v>379100</v>
      </c>
    </row>
    <row r="46" spans="3:19" x14ac:dyDescent="0.3">
      <c r="C46" s="22" t="s">
        <v>228</v>
      </c>
      <c r="D46">
        <v>577800</v>
      </c>
    </row>
    <row r="47" spans="3:19" x14ac:dyDescent="0.3">
      <c r="C47" s="22" t="s">
        <v>66</v>
      </c>
    </row>
    <row r="48" spans="3:19" x14ac:dyDescent="0.3">
      <c r="C48" s="22" t="s">
        <v>67</v>
      </c>
      <c r="D48">
        <v>341700</v>
      </c>
    </row>
    <row r="49" spans="3:4" x14ac:dyDescent="0.3">
      <c r="C49" s="22" t="s">
        <v>245</v>
      </c>
      <c r="D49">
        <v>4842400</v>
      </c>
    </row>
  </sheetData>
  <phoneticPr fontId="3" type="noConversion"/>
  <pageMargins left="0.7" right="0.7" top="0.75" bottom="0.75" header="0.3" footer="0.3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2D51C-C9B8-44F9-9827-9A46D38C3545}">
  <dimension ref="A1:AT36"/>
  <sheetViews>
    <sheetView zoomScale="105" workbookViewId="0">
      <selection activeCell="G4" sqref="G4"/>
    </sheetView>
  </sheetViews>
  <sheetFormatPr defaultRowHeight="14.4" x14ac:dyDescent="0.3"/>
  <sheetData>
    <row r="1" spans="1:46" s="1" customFormat="1" x14ac:dyDescent="0.3">
      <c r="A1" s="1" t="s">
        <v>188</v>
      </c>
      <c r="B1" s="1" t="s">
        <v>80</v>
      </c>
      <c r="C1" s="1" t="s">
        <v>1</v>
      </c>
      <c r="D1" s="1" t="s">
        <v>0</v>
      </c>
      <c r="E1" s="1" t="s">
        <v>230</v>
      </c>
      <c r="F1" s="1" t="s">
        <v>199</v>
      </c>
      <c r="G1" s="1" t="s">
        <v>199</v>
      </c>
      <c r="J1" s="1" t="s">
        <v>190</v>
      </c>
      <c r="K1" s="1" t="s">
        <v>191</v>
      </c>
      <c r="L1" s="1" t="s">
        <v>38</v>
      </c>
      <c r="M1" s="1" t="s">
        <v>192</v>
      </c>
      <c r="N1" s="1" t="s">
        <v>41</v>
      </c>
      <c r="O1" s="1" t="s">
        <v>48</v>
      </c>
      <c r="P1" s="1" t="s">
        <v>193</v>
      </c>
      <c r="Q1" s="1" t="s">
        <v>49</v>
      </c>
      <c r="R1" s="1" t="s">
        <v>194</v>
      </c>
      <c r="S1" s="1" t="s">
        <v>195</v>
      </c>
      <c r="T1" s="1" t="s">
        <v>202</v>
      </c>
      <c r="U1" s="1" t="s">
        <v>224</v>
      </c>
    </row>
    <row r="2" spans="1:46" x14ac:dyDescent="0.3">
      <c r="A2" t="s">
        <v>151</v>
      </c>
      <c r="B2" t="s">
        <v>204</v>
      </c>
      <c r="C2" t="s">
        <v>152</v>
      </c>
      <c r="D2" t="s">
        <v>9</v>
      </c>
      <c r="E2" t="s">
        <v>208</v>
      </c>
      <c r="F2">
        <v>177400</v>
      </c>
      <c r="G2">
        <v>177400</v>
      </c>
      <c r="H2">
        <f>F2/I2</f>
        <v>1.02807800411463</v>
      </c>
      <c r="I2">
        <f>SUM(J2:U2)</f>
        <v>172555</v>
      </c>
      <c r="J2">
        <v>48867</v>
      </c>
      <c r="K2">
        <v>27538</v>
      </c>
      <c r="L2">
        <v>906</v>
      </c>
      <c r="N2">
        <v>27049</v>
      </c>
      <c r="O2">
        <v>16470</v>
      </c>
      <c r="P2">
        <v>32295</v>
      </c>
      <c r="Q2">
        <v>8604</v>
      </c>
      <c r="R2">
        <v>1846</v>
      </c>
      <c r="T2">
        <v>8980</v>
      </c>
      <c r="V2">
        <v>0.28319666193387616</v>
      </c>
      <c r="W2">
        <v>0.1595896960389441</v>
      </c>
      <c r="X2">
        <v>5.250499840630524E-3</v>
      </c>
      <c r="Y2">
        <v>0</v>
      </c>
      <c r="Z2">
        <v>0.15675581698588856</v>
      </c>
      <c r="AA2">
        <v>9.5447828228680712E-2</v>
      </c>
      <c r="AB2">
        <v>0.18715771782909796</v>
      </c>
      <c r="AC2">
        <v>4.9862362724928284E-2</v>
      </c>
      <c r="AD2">
        <v>1.0698038306626873E-2</v>
      </c>
      <c r="AE2">
        <v>0</v>
      </c>
      <c r="AF2">
        <v>5.2041378111326822E-2</v>
      </c>
      <c r="AG2">
        <v>0</v>
      </c>
      <c r="AI2" cm="1">
        <f t="array" ref="AI2:AT2">V2:AG2*F2</f>
        <v>50239.087827069634</v>
      </c>
      <c r="AJ2">
        <v>28311.212077308683</v>
      </c>
      <c r="AK2">
        <v>931.43867172785497</v>
      </c>
      <c r="AL2">
        <v>0</v>
      </c>
      <c r="AM2">
        <v>27808.481933296629</v>
      </c>
      <c r="AN2">
        <v>16932.444727767957</v>
      </c>
      <c r="AO2">
        <v>33201.779142881976</v>
      </c>
      <c r="AP2">
        <v>8845.583147402278</v>
      </c>
      <c r="AQ2">
        <v>1897.8319955956074</v>
      </c>
      <c r="AR2">
        <v>0</v>
      </c>
      <c r="AS2">
        <v>9232.1404769493784</v>
      </c>
      <c r="AT2">
        <v>0</v>
      </c>
    </row>
    <row r="3" spans="1:46" x14ac:dyDescent="0.3">
      <c r="A3" t="s">
        <v>143</v>
      </c>
      <c r="B3" t="s">
        <v>234</v>
      </c>
      <c r="C3" t="s">
        <v>13</v>
      </c>
      <c r="D3" t="s">
        <v>11</v>
      </c>
      <c r="E3" t="s">
        <v>216</v>
      </c>
      <c r="G3">
        <v>129500</v>
      </c>
      <c r="H3" t="e">
        <f t="shared" ref="H3:H29" si="0">F3/I3</f>
        <v>#DIV/0!</v>
      </c>
      <c r="I3">
        <f t="shared" ref="I3:I28" si="1">SUM(J3:U3)</f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I3" cm="1">
        <f t="array" ref="AI3:AT3">V3:AG3*F3</f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 x14ac:dyDescent="0.3">
      <c r="A4" t="s">
        <v>146</v>
      </c>
      <c r="B4" t="s">
        <v>217</v>
      </c>
      <c r="C4" t="s">
        <v>13</v>
      </c>
      <c r="D4" t="s">
        <v>12</v>
      </c>
      <c r="E4" t="s">
        <v>216</v>
      </c>
      <c r="F4">
        <v>390000</v>
      </c>
      <c r="G4">
        <v>260500</v>
      </c>
      <c r="H4">
        <f>F4/I4</f>
        <v>2.2281385330850005</v>
      </c>
      <c r="I4">
        <f t="shared" si="1"/>
        <v>175034</v>
      </c>
      <c r="J4">
        <v>2340</v>
      </c>
      <c r="K4">
        <v>18756</v>
      </c>
      <c r="N4">
        <v>143632</v>
      </c>
      <c r="O4">
        <v>3345</v>
      </c>
      <c r="P4">
        <v>2308</v>
      </c>
      <c r="Q4">
        <v>2452</v>
      </c>
      <c r="T4">
        <v>2201</v>
      </c>
      <c r="V4">
        <v>1.3368831198510003E-2</v>
      </c>
      <c r="W4">
        <v>0.10715632391421095</v>
      </c>
      <c r="X4">
        <v>0</v>
      </c>
      <c r="Y4">
        <v>0</v>
      </c>
      <c r="Z4">
        <v>0.82059485585657643</v>
      </c>
      <c r="AA4">
        <v>1.9110572802998275E-2</v>
      </c>
      <c r="AB4">
        <v>1.3186009575282516E-2</v>
      </c>
      <c r="AC4">
        <v>1.400870687980621E-2</v>
      </c>
      <c r="AD4">
        <v>0</v>
      </c>
      <c r="AE4">
        <v>0</v>
      </c>
      <c r="AF4">
        <v>1.2574699772615607E-2</v>
      </c>
      <c r="AG4">
        <v>0</v>
      </c>
      <c r="AI4" cm="1">
        <f t="array" ref="AI4:AT4">V4:AG4*F4</f>
        <v>5213.8441674189007</v>
      </c>
      <c r="AJ4">
        <v>41790.966326542271</v>
      </c>
      <c r="AK4">
        <v>0</v>
      </c>
      <c r="AL4">
        <v>0</v>
      </c>
      <c r="AM4">
        <v>320031.99378406483</v>
      </c>
      <c r="AN4">
        <v>7453.1233931693268</v>
      </c>
      <c r="AO4">
        <v>5142.5437343601816</v>
      </c>
      <c r="AP4">
        <v>5463.3956831244222</v>
      </c>
      <c r="AQ4">
        <v>0</v>
      </c>
      <c r="AR4">
        <v>0</v>
      </c>
      <c r="AS4">
        <v>4904.1329113200864</v>
      </c>
      <c r="AT4">
        <v>0</v>
      </c>
    </row>
    <row r="5" spans="1:46" x14ac:dyDescent="0.3">
      <c r="A5" t="s">
        <v>117</v>
      </c>
      <c r="B5" t="s">
        <v>209</v>
      </c>
      <c r="C5" t="s">
        <v>2</v>
      </c>
      <c r="D5" t="s">
        <v>2</v>
      </c>
      <c r="E5" t="s">
        <v>207</v>
      </c>
      <c r="F5">
        <v>324000</v>
      </c>
      <c r="G5">
        <v>324000</v>
      </c>
      <c r="H5">
        <f t="shared" si="0"/>
        <v>1.1699369533975112</v>
      </c>
      <c r="I5">
        <f t="shared" si="1"/>
        <v>276938</v>
      </c>
      <c r="J5">
        <v>186920</v>
      </c>
      <c r="K5">
        <v>2911</v>
      </c>
      <c r="M5">
        <v>13765</v>
      </c>
      <c r="N5">
        <v>30208</v>
      </c>
      <c r="O5">
        <v>40606</v>
      </c>
      <c r="P5">
        <v>1710</v>
      </c>
      <c r="T5">
        <v>818</v>
      </c>
      <c r="V5">
        <v>0.6749525164477248</v>
      </c>
      <c r="W5">
        <v>1.0511377997963443E-2</v>
      </c>
      <c r="X5">
        <v>0</v>
      </c>
      <c r="Y5">
        <v>4.9704265936780075E-2</v>
      </c>
      <c r="Z5">
        <v>0.10907856632170378</v>
      </c>
      <c r="AA5">
        <v>0.1466248763261091</v>
      </c>
      <c r="AB5">
        <v>6.1746672540424208E-3</v>
      </c>
      <c r="AC5">
        <v>0</v>
      </c>
      <c r="AD5">
        <v>0</v>
      </c>
      <c r="AE5">
        <v>0</v>
      </c>
      <c r="AF5">
        <v>2.953729715676433E-3</v>
      </c>
      <c r="AG5">
        <v>0</v>
      </c>
      <c r="AI5" cm="1">
        <f t="array" ref="AI5:AT5">V5:AG5*F5</f>
        <v>218684.61532906283</v>
      </c>
      <c r="AJ5">
        <v>3405.6864713401555</v>
      </c>
      <c r="AK5">
        <v>0</v>
      </c>
      <c r="AL5">
        <v>16104.182163516743</v>
      </c>
      <c r="AM5">
        <v>35341.455488232023</v>
      </c>
      <c r="AN5">
        <v>47506.459929659351</v>
      </c>
      <c r="AO5">
        <v>2000.5921903097444</v>
      </c>
      <c r="AP5">
        <v>0</v>
      </c>
      <c r="AQ5">
        <v>0</v>
      </c>
      <c r="AR5">
        <v>0</v>
      </c>
      <c r="AS5">
        <v>957.00842787916429</v>
      </c>
      <c r="AT5">
        <v>0</v>
      </c>
    </row>
    <row r="6" spans="1:46" x14ac:dyDescent="0.3">
      <c r="A6" t="s">
        <v>168</v>
      </c>
      <c r="B6" t="s">
        <v>226</v>
      </c>
      <c r="C6" t="s">
        <v>169</v>
      </c>
      <c r="D6" t="s">
        <v>31</v>
      </c>
      <c r="E6" t="s">
        <v>206</v>
      </c>
      <c r="F6">
        <v>104300</v>
      </c>
      <c r="G6">
        <v>32100</v>
      </c>
      <c r="H6">
        <f t="shared" si="0"/>
        <v>0.86366082888254048</v>
      </c>
      <c r="I6">
        <f>SUM(J6:U6)</f>
        <v>120765</v>
      </c>
      <c r="J6">
        <v>53429</v>
      </c>
      <c r="K6">
        <v>18239</v>
      </c>
      <c r="L6">
        <v>585</v>
      </c>
      <c r="N6">
        <v>37214</v>
      </c>
      <c r="P6">
        <v>10489</v>
      </c>
      <c r="T6">
        <v>809</v>
      </c>
      <c r="V6">
        <v>0.44242123131702066</v>
      </c>
      <c r="W6">
        <v>0.15102885769883659</v>
      </c>
      <c r="X6">
        <v>4.8441187430132903E-3</v>
      </c>
      <c r="Y6">
        <v>0</v>
      </c>
      <c r="Z6">
        <v>0.30815219641452407</v>
      </c>
      <c r="AA6">
        <v>0</v>
      </c>
      <c r="AB6">
        <v>8.6854635034985306E-2</v>
      </c>
      <c r="AC6">
        <v>0</v>
      </c>
      <c r="AD6">
        <v>0</v>
      </c>
      <c r="AE6">
        <v>0</v>
      </c>
      <c r="AF6">
        <v>6.6989607916200884E-3</v>
      </c>
      <c r="AG6">
        <v>0</v>
      </c>
      <c r="AI6" cm="1">
        <f t="array" ref="AI6:AT6">V6:AG6*F6</f>
        <v>46144.534426365251</v>
      </c>
      <c r="AJ6">
        <v>15752.309857988655</v>
      </c>
      <c r="AK6">
        <v>505.24158489628616</v>
      </c>
      <c r="AL6">
        <v>0</v>
      </c>
      <c r="AM6">
        <v>32140.27408603486</v>
      </c>
      <c r="AN6">
        <v>0</v>
      </c>
      <c r="AO6">
        <v>9058.9384341489676</v>
      </c>
      <c r="AP6">
        <v>0</v>
      </c>
      <c r="AQ6">
        <v>0</v>
      </c>
      <c r="AR6">
        <v>0</v>
      </c>
      <c r="AS6">
        <v>698.70161056597522</v>
      </c>
      <c r="AT6">
        <v>0</v>
      </c>
    </row>
    <row r="7" spans="1:46" x14ac:dyDescent="0.3">
      <c r="A7" t="s">
        <v>172</v>
      </c>
      <c r="B7" t="s">
        <v>226</v>
      </c>
      <c r="C7" t="s">
        <v>169</v>
      </c>
      <c r="D7" t="s">
        <v>30</v>
      </c>
      <c r="E7" t="s">
        <v>206</v>
      </c>
      <c r="G7">
        <v>72200</v>
      </c>
      <c r="H7" t="e">
        <f t="shared" si="0"/>
        <v>#DIV/0!</v>
      </c>
      <c r="I7">
        <f t="shared" si="1"/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I7" cm="1">
        <f t="array" ref="AI7:AT7">V7:AG7*F7</f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 x14ac:dyDescent="0.3">
      <c r="A8" t="s">
        <v>166</v>
      </c>
      <c r="B8" t="s">
        <v>212</v>
      </c>
      <c r="C8" t="s">
        <v>152</v>
      </c>
      <c r="D8" t="s">
        <v>7</v>
      </c>
      <c r="E8" t="s">
        <v>211</v>
      </c>
      <c r="F8">
        <v>120200</v>
      </c>
      <c r="G8">
        <v>33800</v>
      </c>
      <c r="H8">
        <f t="shared" si="0"/>
        <v>0.85757296861511245</v>
      </c>
      <c r="I8">
        <f t="shared" si="1"/>
        <v>140163</v>
      </c>
      <c r="J8">
        <v>68362</v>
      </c>
      <c r="K8">
        <v>20566</v>
      </c>
      <c r="L8">
        <v>20678</v>
      </c>
      <c r="N8">
        <v>10117</v>
      </c>
      <c r="O8">
        <v>10042</v>
      </c>
      <c r="P8">
        <v>10398</v>
      </c>
      <c r="V8">
        <v>0.48773214043649182</v>
      </c>
      <c r="W8">
        <v>0.14672916532893845</v>
      </c>
      <c r="X8">
        <v>0.14752823498355486</v>
      </c>
      <c r="Y8">
        <v>0</v>
      </c>
      <c r="Z8">
        <v>7.2180247283519905E-2</v>
      </c>
      <c r="AA8">
        <v>7.1645155996946416E-2</v>
      </c>
      <c r="AB8">
        <v>7.4185055970548572E-2</v>
      </c>
      <c r="AC8">
        <v>0</v>
      </c>
      <c r="AD8">
        <v>0</v>
      </c>
      <c r="AE8">
        <v>0</v>
      </c>
      <c r="AF8">
        <v>0</v>
      </c>
      <c r="AG8">
        <v>0</v>
      </c>
      <c r="AI8" cm="1">
        <f t="array" ref="AI8:AT8">V8:AG8*F8</f>
        <v>58625.403280466315</v>
      </c>
      <c r="AJ8">
        <v>17636.845672538402</v>
      </c>
      <c r="AK8">
        <v>17732.893845023293</v>
      </c>
      <c r="AL8">
        <v>0</v>
      </c>
      <c r="AM8">
        <v>8676.0657234790924</v>
      </c>
      <c r="AN8">
        <v>8611.7477508329594</v>
      </c>
      <c r="AO8">
        <v>8917.0437276599387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 x14ac:dyDescent="0.3">
      <c r="A9" t="s">
        <v>161</v>
      </c>
      <c r="B9" t="s">
        <v>235</v>
      </c>
      <c r="C9" t="s">
        <v>152</v>
      </c>
      <c r="D9" t="s">
        <v>8</v>
      </c>
      <c r="E9" t="s">
        <v>211</v>
      </c>
      <c r="G9">
        <v>86400</v>
      </c>
      <c r="H9" t="e">
        <f t="shared" si="0"/>
        <v>#DIV/0!</v>
      </c>
      <c r="I9">
        <f t="shared" si="1"/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I9" cm="1">
        <f t="array" ref="AI9:AT9">V9:AG9*F9</f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 x14ac:dyDescent="0.3">
      <c r="A10" t="s">
        <v>149</v>
      </c>
      <c r="B10" t="s">
        <v>219</v>
      </c>
      <c r="C10" t="s">
        <v>15</v>
      </c>
      <c r="D10" t="s">
        <v>18</v>
      </c>
      <c r="E10" t="s">
        <v>218</v>
      </c>
      <c r="F10">
        <v>511000</v>
      </c>
      <c r="G10">
        <v>511000</v>
      </c>
      <c r="H10">
        <f t="shared" si="0"/>
        <v>2.8681278590071</v>
      </c>
      <c r="I10">
        <f t="shared" si="1"/>
        <v>178165</v>
      </c>
      <c r="J10">
        <v>3354</v>
      </c>
      <c r="K10">
        <v>5398</v>
      </c>
      <c r="L10">
        <v>2458</v>
      </c>
      <c r="N10">
        <v>79907</v>
      </c>
      <c r="O10">
        <v>25971</v>
      </c>
      <c r="P10">
        <v>17510</v>
      </c>
      <c r="Q10">
        <v>25499</v>
      </c>
      <c r="R10">
        <v>6886</v>
      </c>
      <c r="T10">
        <v>11182</v>
      </c>
      <c r="V10">
        <v>1.8825246260488874E-2</v>
      </c>
      <c r="W10">
        <v>3.0297757696517272E-2</v>
      </c>
      <c r="X10">
        <v>1.3796200151544917E-2</v>
      </c>
      <c r="Y10">
        <v>0</v>
      </c>
      <c r="Z10">
        <v>0.44849998596806329</v>
      </c>
      <c r="AA10">
        <v>0.14576937108859764</v>
      </c>
      <c r="AB10">
        <v>9.8279684562063249E-2</v>
      </c>
      <c r="AC10">
        <v>0.14312014144192181</v>
      </c>
      <c r="AD10">
        <v>3.8649566413156346E-2</v>
      </c>
      <c r="AE10">
        <v>0</v>
      </c>
      <c r="AF10">
        <v>6.2762046417646558E-2</v>
      </c>
      <c r="AG10">
        <v>0</v>
      </c>
      <c r="AI10" cm="1">
        <f t="array" ref="AI10:AT10">V10:AG10*F10</f>
        <v>9619.7008391098152</v>
      </c>
      <c r="AJ10">
        <v>15482.154182920327</v>
      </c>
      <c r="AK10">
        <v>7049.8582774394526</v>
      </c>
      <c r="AL10">
        <v>0</v>
      </c>
      <c r="AM10">
        <v>229183.49282968033</v>
      </c>
      <c r="AN10">
        <v>74488.148626273396</v>
      </c>
      <c r="AO10">
        <v>50220.918811214324</v>
      </c>
      <c r="AP10">
        <v>73134.392276822051</v>
      </c>
      <c r="AQ10">
        <v>19749.928437122893</v>
      </c>
      <c r="AR10">
        <v>0</v>
      </c>
      <c r="AS10">
        <v>32071.405719417391</v>
      </c>
      <c r="AT10">
        <v>0</v>
      </c>
    </row>
    <row r="11" spans="1:46" x14ac:dyDescent="0.3">
      <c r="A11" t="s">
        <v>124</v>
      </c>
      <c r="B11" t="s">
        <v>203</v>
      </c>
      <c r="C11" t="s">
        <v>125</v>
      </c>
      <c r="D11" t="s">
        <v>26</v>
      </c>
      <c r="E11" t="s">
        <v>200</v>
      </c>
      <c r="F11">
        <v>384600</v>
      </c>
      <c r="G11">
        <v>140800</v>
      </c>
      <c r="H11">
        <f t="shared" si="0"/>
        <v>1.1210834224817161</v>
      </c>
      <c r="I11">
        <f t="shared" si="1"/>
        <v>343061</v>
      </c>
      <c r="J11">
        <v>284425</v>
      </c>
      <c r="M11">
        <v>20717</v>
      </c>
      <c r="N11">
        <v>11616</v>
      </c>
      <c r="O11">
        <v>21404</v>
      </c>
      <c r="Q11">
        <v>1771</v>
      </c>
      <c r="R11">
        <v>1101</v>
      </c>
      <c r="T11">
        <v>2027</v>
      </c>
      <c r="V11">
        <v>0.82907995954072311</v>
      </c>
      <c r="W11">
        <v>0</v>
      </c>
      <c r="X11">
        <v>0</v>
      </c>
      <c r="Y11">
        <v>6.0388677232328943E-2</v>
      </c>
      <c r="Z11">
        <v>3.3859867487123281E-2</v>
      </c>
      <c r="AA11">
        <v>6.2391236543938251E-2</v>
      </c>
      <c r="AB11">
        <v>0</v>
      </c>
      <c r="AC11">
        <v>5.1623472210481514E-3</v>
      </c>
      <c r="AD11">
        <v>3.2093417788673149E-3</v>
      </c>
      <c r="AE11">
        <v>0</v>
      </c>
      <c r="AF11">
        <v>5.9085701959709792E-3</v>
      </c>
      <c r="AG11">
        <v>0</v>
      </c>
      <c r="AI11" cm="1">
        <f t="array" ref="AI11:AT11">V11:AG11*F11</f>
        <v>318864.15243936214</v>
      </c>
      <c r="AJ11">
        <v>0</v>
      </c>
      <c r="AK11">
        <v>0</v>
      </c>
      <c r="AL11">
        <v>23225.48526355371</v>
      </c>
      <c r="AM11">
        <v>13022.505035547614</v>
      </c>
      <c r="AN11">
        <v>23995.669574798652</v>
      </c>
      <c r="AO11">
        <v>0</v>
      </c>
      <c r="AP11">
        <v>1985.4387412151191</v>
      </c>
      <c r="AQ11">
        <v>1234.3128481523693</v>
      </c>
      <c r="AR11">
        <v>0</v>
      </c>
      <c r="AS11">
        <v>2272.4360973704388</v>
      </c>
      <c r="AT11">
        <v>0</v>
      </c>
    </row>
    <row r="12" spans="1:46" x14ac:dyDescent="0.3">
      <c r="A12" t="s">
        <v>127</v>
      </c>
      <c r="B12" t="s">
        <v>236</v>
      </c>
      <c r="C12" t="s">
        <v>125</v>
      </c>
      <c r="D12" t="s">
        <v>27</v>
      </c>
      <c r="E12" t="s">
        <v>200</v>
      </c>
      <c r="G12">
        <v>243800</v>
      </c>
      <c r="H12" t="e">
        <f t="shared" si="0"/>
        <v>#DIV/0!</v>
      </c>
      <c r="I12">
        <f t="shared" si="1"/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I12" cm="1">
        <f t="array" ref="AI12:AT12">V12:AG12*F12</f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 x14ac:dyDescent="0.3">
      <c r="A13" t="s">
        <v>172</v>
      </c>
      <c r="B13" t="s">
        <v>232</v>
      </c>
      <c r="C13" t="s">
        <v>169</v>
      </c>
      <c r="D13" t="s">
        <v>274</v>
      </c>
      <c r="E13" t="s">
        <v>201</v>
      </c>
      <c r="G13">
        <v>224400</v>
      </c>
      <c r="H13" t="e">
        <f t="shared" si="0"/>
        <v>#DIV/0!</v>
      </c>
      <c r="I13">
        <f t="shared" si="1"/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I13" cm="1">
        <f t="array" ref="AI13:AT13">V13:AG13*F13</f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 x14ac:dyDescent="0.3">
      <c r="A14" t="s">
        <v>183</v>
      </c>
      <c r="B14" t="s">
        <v>232</v>
      </c>
      <c r="C14" t="s">
        <v>169</v>
      </c>
      <c r="D14" t="s">
        <v>32</v>
      </c>
      <c r="E14" t="s">
        <v>201</v>
      </c>
      <c r="F14">
        <v>480100</v>
      </c>
      <c r="G14">
        <v>255700</v>
      </c>
      <c r="H14">
        <f t="shared" si="0"/>
        <v>1.6127081807738044</v>
      </c>
      <c r="I14">
        <f t="shared" si="1"/>
        <v>297698</v>
      </c>
      <c r="J14">
        <v>18166</v>
      </c>
      <c r="K14">
        <v>242293</v>
      </c>
      <c r="N14">
        <v>13546</v>
      </c>
      <c r="P14">
        <v>20285</v>
      </c>
      <c r="T14">
        <v>3408</v>
      </c>
      <c r="V14">
        <v>6.1021572197327491E-2</v>
      </c>
      <c r="W14">
        <v>0.8138885716397154</v>
      </c>
      <c r="X14">
        <v>0</v>
      </c>
      <c r="Y14">
        <v>0</v>
      </c>
      <c r="Z14">
        <v>4.5502489099691637E-2</v>
      </c>
      <c r="AA14">
        <v>0</v>
      </c>
      <c r="AB14">
        <v>6.8139523947087319E-2</v>
      </c>
      <c r="AC14">
        <v>0</v>
      </c>
      <c r="AD14">
        <v>0</v>
      </c>
      <c r="AE14">
        <v>0</v>
      </c>
      <c r="AF14">
        <v>1.1447843116178141E-2</v>
      </c>
      <c r="AG14">
        <v>0</v>
      </c>
      <c r="AI14" cm="1">
        <f t="array" ref="AI14:AT14">V14:AG14*F14</f>
        <v>29296.456811936929</v>
      </c>
      <c r="AJ14">
        <v>390747.90324422735</v>
      </c>
      <c r="AK14">
        <v>0</v>
      </c>
      <c r="AL14">
        <v>0</v>
      </c>
      <c r="AM14">
        <v>21845.745016761954</v>
      </c>
      <c r="AN14">
        <v>0</v>
      </c>
      <c r="AO14">
        <v>32713.785446996622</v>
      </c>
      <c r="AP14">
        <v>0</v>
      </c>
      <c r="AQ14">
        <v>0</v>
      </c>
      <c r="AR14">
        <v>0</v>
      </c>
      <c r="AS14">
        <v>5496.1094800771252</v>
      </c>
      <c r="AT14">
        <v>0</v>
      </c>
    </row>
    <row r="15" spans="1:46" x14ac:dyDescent="0.3">
      <c r="A15" t="s">
        <v>131</v>
      </c>
      <c r="B15" t="s">
        <v>214</v>
      </c>
      <c r="C15" t="s">
        <v>121</v>
      </c>
      <c r="D15" t="s">
        <v>3</v>
      </c>
      <c r="E15" t="s">
        <v>213</v>
      </c>
      <c r="F15">
        <v>245100</v>
      </c>
      <c r="G15">
        <v>214600</v>
      </c>
      <c r="H15">
        <f t="shared" si="0"/>
        <v>0.79321158457849106</v>
      </c>
      <c r="I15">
        <f t="shared" si="1"/>
        <v>308997</v>
      </c>
      <c r="J15">
        <v>41081</v>
      </c>
      <c r="K15">
        <v>226405</v>
      </c>
      <c r="N15">
        <v>22706</v>
      </c>
      <c r="O15">
        <v>2236</v>
      </c>
      <c r="P15">
        <v>16569</v>
      </c>
      <c r="V15">
        <v>0.13294951083667478</v>
      </c>
      <c r="W15">
        <v>0.73270937905546007</v>
      </c>
      <c r="X15">
        <v>0</v>
      </c>
      <c r="Y15">
        <v>0</v>
      </c>
      <c r="Z15">
        <v>7.3482914073599415E-2</v>
      </c>
      <c r="AA15">
        <v>7.2363162101897428E-3</v>
      </c>
      <c r="AB15">
        <v>5.3621879824075964E-2</v>
      </c>
      <c r="AC15">
        <v>0</v>
      </c>
      <c r="AD15">
        <v>0</v>
      </c>
      <c r="AE15">
        <v>0</v>
      </c>
      <c r="AF15">
        <v>0</v>
      </c>
      <c r="AG15">
        <v>0</v>
      </c>
      <c r="AI15" cm="1">
        <f t="array" ref="AI15:AT15">V15:AG15*F15</f>
        <v>32585.925106068989</v>
      </c>
      <c r="AJ15">
        <v>179587.06880649328</v>
      </c>
      <c r="AK15">
        <v>0</v>
      </c>
      <c r="AL15">
        <v>0</v>
      </c>
      <c r="AM15">
        <v>18010.662239439218</v>
      </c>
      <c r="AN15">
        <v>1773.621103117506</v>
      </c>
      <c r="AO15">
        <v>13142.722744881019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 x14ac:dyDescent="0.3">
      <c r="A16" t="s">
        <v>120</v>
      </c>
      <c r="B16" t="s">
        <v>237</v>
      </c>
      <c r="C16" t="s">
        <v>121</v>
      </c>
      <c r="D16" t="s">
        <v>4</v>
      </c>
      <c r="E16" t="s">
        <v>213</v>
      </c>
      <c r="G16">
        <v>30500</v>
      </c>
      <c r="H16" t="e">
        <f t="shared" si="0"/>
        <v>#DIV/0!</v>
      </c>
      <c r="I16">
        <f t="shared" si="1"/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I16" cm="1">
        <f t="array" ref="AI16:AT16">V16:AG16*F16</f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 x14ac:dyDescent="0.3">
      <c r="A17" t="s">
        <v>156</v>
      </c>
      <c r="B17" t="s">
        <v>221</v>
      </c>
      <c r="C17" t="s">
        <v>15</v>
      </c>
      <c r="D17" t="s">
        <v>16</v>
      </c>
      <c r="E17" t="s">
        <v>220</v>
      </c>
      <c r="F17">
        <v>553800</v>
      </c>
      <c r="G17">
        <v>553800</v>
      </c>
      <c r="H17">
        <f t="shared" si="0"/>
        <v>3.4016781120625055</v>
      </c>
      <c r="I17">
        <f t="shared" si="1"/>
        <v>162802</v>
      </c>
      <c r="J17">
        <v>9946</v>
      </c>
      <c r="K17">
        <v>41033</v>
      </c>
      <c r="L17">
        <v>28631</v>
      </c>
      <c r="N17">
        <v>59837</v>
      </c>
      <c r="O17">
        <v>12385</v>
      </c>
      <c r="P17">
        <v>7488</v>
      </c>
      <c r="T17">
        <v>3482</v>
      </c>
      <c r="V17">
        <v>6.1092615569833295E-2</v>
      </c>
      <c r="W17">
        <v>0.25204235820198767</v>
      </c>
      <c r="X17">
        <v>0.17586393287551749</v>
      </c>
      <c r="Y17">
        <v>0</v>
      </c>
      <c r="Z17">
        <v>0.36754462475890959</v>
      </c>
      <c r="AA17">
        <v>7.6074004004864804E-2</v>
      </c>
      <c r="AB17">
        <v>4.5994520951831055E-2</v>
      </c>
      <c r="AC17">
        <v>0</v>
      </c>
      <c r="AD17">
        <v>0</v>
      </c>
      <c r="AE17">
        <v>0</v>
      </c>
      <c r="AF17">
        <v>2.1387943637056057E-2</v>
      </c>
      <c r="AG17">
        <v>0</v>
      </c>
      <c r="AI17" cm="1">
        <f t="array" ref="AI17:AT17">V17:AG17*F17</f>
        <v>33833.090502573679</v>
      </c>
      <c r="AJ17">
        <v>139581.05797226078</v>
      </c>
      <c r="AK17">
        <v>97393.446026461592</v>
      </c>
      <c r="AL17">
        <v>0</v>
      </c>
      <c r="AM17">
        <v>203546.21319148413</v>
      </c>
      <c r="AN17">
        <v>42129.783417894127</v>
      </c>
      <c r="AO17">
        <v>25471.765703124038</v>
      </c>
      <c r="AP17">
        <v>0</v>
      </c>
      <c r="AQ17">
        <v>0</v>
      </c>
      <c r="AR17">
        <v>0</v>
      </c>
      <c r="AS17">
        <v>11844.643186201643</v>
      </c>
      <c r="AT17">
        <v>0</v>
      </c>
    </row>
    <row r="18" spans="1:46" x14ac:dyDescent="0.3">
      <c r="A18" t="s">
        <v>137</v>
      </c>
      <c r="B18" t="s">
        <v>210</v>
      </c>
      <c r="C18" t="s">
        <v>125</v>
      </c>
      <c r="D18" t="s">
        <v>23</v>
      </c>
      <c r="E18" t="s">
        <v>205</v>
      </c>
      <c r="F18">
        <v>253300</v>
      </c>
      <c r="G18">
        <v>58900</v>
      </c>
      <c r="H18">
        <f t="shared" si="0"/>
        <v>1.3329684729012192</v>
      </c>
      <c r="I18">
        <f t="shared" si="1"/>
        <v>190027</v>
      </c>
      <c r="J18">
        <v>167966</v>
      </c>
      <c r="K18">
        <v>22061</v>
      </c>
      <c r="V18">
        <v>0.88390597125671611</v>
      </c>
      <c r="W18">
        <v>0.11609402874328385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I18" cm="1">
        <f t="array" ref="AI18:AT18">V18:AG18*F18</f>
        <v>223893.3825193262</v>
      </c>
      <c r="AJ18">
        <v>29406.617480673802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 x14ac:dyDescent="0.3">
      <c r="A19" t="s">
        <v>140</v>
      </c>
      <c r="B19" t="s">
        <v>238</v>
      </c>
      <c r="C19" t="s">
        <v>125</v>
      </c>
      <c r="D19" t="s">
        <v>24</v>
      </c>
      <c r="E19" t="s">
        <v>205</v>
      </c>
      <c r="G19">
        <v>22100</v>
      </c>
      <c r="H19" t="e">
        <f t="shared" si="0"/>
        <v>#DIV/0!</v>
      </c>
      <c r="I19">
        <f t="shared" si="1"/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I19" cm="1">
        <f t="array" ref="AI19:AT19">V19:AG19*F19</f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 x14ac:dyDescent="0.3">
      <c r="A20" t="s">
        <v>134</v>
      </c>
      <c r="B20" t="s">
        <v>239</v>
      </c>
      <c r="C20" t="s">
        <v>125</v>
      </c>
      <c r="D20" t="s">
        <v>25</v>
      </c>
      <c r="E20" t="s">
        <v>205</v>
      </c>
      <c r="G20">
        <v>84600</v>
      </c>
      <c r="H20" t="e">
        <f t="shared" si="0"/>
        <v>#DIV/0!</v>
      </c>
      <c r="I20">
        <f t="shared" si="1"/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I20" cm="1">
        <f t="array" ref="AI20:AT20">V20:AG20*F20</f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 x14ac:dyDescent="0.3">
      <c r="A21" t="s">
        <v>129</v>
      </c>
      <c r="B21" t="s">
        <v>240</v>
      </c>
      <c r="C21" t="s">
        <v>125</v>
      </c>
      <c r="D21" t="s">
        <v>28</v>
      </c>
      <c r="E21" t="s">
        <v>205</v>
      </c>
      <c r="G21">
        <v>87700</v>
      </c>
      <c r="H21" t="e">
        <f t="shared" si="0"/>
        <v>#DIV/0!</v>
      </c>
      <c r="I21">
        <f t="shared" si="1"/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I21" cm="1">
        <f t="array" ref="AI21:AT21">V21:AG21*F21</f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 x14ac:dyDescent="0.3">
      <c r="A22" t="s">
        <v>186</v>
      </c>
      <c r="B22" t="s">
        <v>233</v>
      </c>
      <c r="C22" t="s">
        <v>173</v>
      </c>
      <c r="D22" t="s">
        <v>19</v>
      </c>
      <c r="E22" t="s">
        <v>227</v>
      </c>
      <c r="F22">
        <v>379100</v>
      </c>
      <c r="G22">
        <v>96200</v>
      </c>
      <c r="H22">
        <f t="shared" si="0"/>
        <v>0.84114720852729341</v>
      </c>
      <c r="I22">
        <f>SUM(J22:U22)</f>
        <v>450694</v>
      </c>
      <c r="J22">
        <v>28604</v>
      </c>
      <c r="K22">
        <v>361003</v>
      </c>
      <c r="L22">
        <v>16457</v>
      </c>
      <c r="N22">
        <v>23739</v>
      </c>
      <c r="O22">
        <v>11035</v>
      </c>
      <c r="P22">
        <v>8111</v>
      </c>
      <c r="T22">
        <v>1745</v>
      </c>
      <c r="V22">
        <v>6.3466564897691119E-2</v>
      </c>
      <c r="W22">
        <v>0.80099357879181887</v>
      </c>
      <c r="X22">
        <v>3.651479717946101E-2</v>
      </c>
      <c r="Y22">
        <v>0</v>
      </c>
      <c r="Z22">
        <v>5.2672101248297069E-2</v>
      </c>
      <c r="AA22">
        <v>2.4484461741225753E-2</v>
      </c>
      <c r="AB22">
        <v>1.7996689549894165E-2</v>
      </c>
      <c r="AC22">
        <v>0</v>
      </c>
      <c r="AD22">
        <v>0</v>
      </c>
      <c r="AE22">
        <v>0</v>
      </c>
      <c r="AF22">
        <v>3.8718065916120473E-3</v>
      </c>
      <c r="AG22">
        <v>0</v>
      </c>
      <c r="AI22" cm="1">
        <f t="array" ref="AI22:AT22">V22:AG22*F22</f>
        <v>24060.174752714702</v>
      </c>
      <c r="AJ22">
        <v>303656.66571997851</v>
      </c>
      <c r="AK22">
        <v>13842.759610733669</v>
      </c>
      <c r="AL22">
        <v>0</v>
      </c>
      <c r="AM22">
        <v>19967.993583229418</v>
      </c>
      <c r="AN22">
        <v>9282.0594460986831</v>
      </c>
      <c r="AO22">
        <v>6822.5450083648775</v>
      </c>
      <c r="AP22">
        <v>0</v>
      </c>
      <c r="AQ22">
        <v>0</v>
      </c>
      <c r="AR22">
        <v>0</v>
      </c>
      <c r="AS22">
        <v>1467.8018788801271</v>
      </c>
      <c r="AT22">
        <v>0</v>
      </c>
    </row>
    <row r="23" spans="1:46" x14ac:dyDescent="0.3">
      <c r="A23" t="s">
        <v>177</v>
      </c>
      <c r="B23" t="s">
        <v>241</v>
      </c>
      <c r="C23" t="s">
        <v>173</v>
      </c>
      <c r="D23" t="s">
        <v>20</v>
      </c>
      <c r="E23" t="s">
        <v>227</v>
      </c>
      <c r="G23">
        <v>28700</v>
      </c>
      <c r="H23" t="e">
        <f t="shared" si="0"/>
        <v>#DIV/0!</v>
      </c>
      <c r="I23">
        <f t="shared" si="1"/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I23" cm="1">
        <f t="array" ref="AI23:AT23">V23:AG23*F23</f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 x14ac:dyDescent="0.3">
      <c r="A24" t="s">
        <v>180</v>
      </c>
      <c r="B24" t="s">
        <v>242</v>
      </c>
      <c r="C24" t="s">
        <v>173</v>
      </c>
      <c r="D24" t="s">
        <v>21</v>
      </c>
      <c r="E24" t="s">
        <v>227</v>
      </c>
      <c r="G24">
        <v>74000</v>
      </c>
      <c r="H24" t="e">
        <f t="shared" si="0"/>
        <v>#DIV/0!</v>
      </c>
      <c r="I24">
        <f t="shared" si="1"/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I24" cm="1">
        <f t="array" ref="AI24:AT24">V24:AG24*F24</f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 x14ac:dyDescent="0.3">
      <c r="A25" t="s">
        <v>175</v>
      </c>
      <c r="B25" t="s">
        <v>243</v>
      </c>
      <c r="C25" t="s">
        <v>173</v>
      </c>
      <c r="D25" t="s">
        <v>22</v>
      </c>
      <c r="E25" t="s">
        <v>227</v>
      </c>
      <c r="G25">
        <v>180200</v>
      </c>
      <c r="H25" t="e">
        <f t="shared" si="0"/>
        <v>#DIV/0!</v>
      </c>
      <c r="I25">
        <f t="shared" si="1"/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I25" cm="1">
        <f t="array" ref="AI25:AT25">V25:AG25*F25</f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 x14ac:dyDescent="0.3">
      <c r="A26" t="s">
        <v>158</v>
      </c>
      <c r="B26" t="s">
        <v>229</v>
      </c>
      <c r="C26" t="s">
        <v>15</v>
      </c>
      <c r="D26" t="s">
        <v>14</v>
      </c>
      <c r="E26" t="s">
        <v>228</v>
      </c>
      <c r="F26">
        <v>577800</v>
      </c>
      <c r="G26">
        <v>300800</v>
      </c>
      <c r="H26">
        <f t="shared" si="0"/>
        <v>1.7976759018714124</v>
      </c>
      <c r="I26">
        <f t="shared" si="1"/>
        <v>321415</v>
      </c>
      <c r="J26">
        <v>60000</v>
      </c>
      <c r="K26">
        <v>8444</v>
      </c>
      <c r="L26">
        <v>131000</v>
      </c>
      <c r="N26">
        <v>87000</v>
      </c>
      <c r="O26">
        <v>16000</v>
      </c>
      <c r="P26">
        <v>16000</v>
      </c>
      <c r="T26">
        <v>2971</v>
      </c>
      <c r="V26">
        <v>0.18667454848093587</v>
      </c>
      <c r="W26">
        <v>2.6271331456217042E-2</v>
      </c>
      <c r="X26">
        <v>0.40757276418337662</v>
      </c>
      <c r="Y26">
        <v>0</v>
      </c>
      <c r="Z26">
        <v>0.27067809529735698</v>
      </c>
      <c r="AA26">
        <v>4.9779879594916226E-2</v>
      </c>
      <c r="AB26">
        <v>4.9779879594916226E-2</v>
      </c>
      <c r="AC26">
        <v>0</v>
      </c>
      <c r="AD26">
        <v>0</v>
      </c>
      <c r="AE26">
        <v>0</v>
      </c>
      <c r="AF26">
        <v>9.2435013922810075E-3</v>
      </c>
      <c r="AG26">
        <v>0</v>
      </c>
      <c r="AI26" cm="1">
        <f t="array" ref="AI26:AT26">V26:AG26*F26</f>
        <v>107860.55411228475</v>
      </c>
      <c r="AJ26">
        <v>15179.575315402206</v>
      </c>
      <c r="AK26">
        <v>235495.54314515501</v>
      </c>
      <c r="AL26">
        <v>0</v>
      </c>
      <c r="AM26">
        <v>156397.80346281285</v>
      </c>
      <c r="AN26">
        <v>28762.814429942595</v>
      </c>
      <c r="AO26">
        <v>28762.814429942595</v>
      </c>
      <c r="AP26">
        <v>0</v>
      </c>
      <c r="AQ26">
        <v>0</v>
      </c>
      <c r="AR26">
        <v>0</v>
      </c>
      <c r="AS26">
        <v>5340.8951044599662</v>
      </c>
      <c r="AT26">
        <v>0</v>
      </c>
    </row>
    <row r="27" spans="1:46" x14ac:dyDescent="0.3">
      <c r="A27" t="s">
        <v>163</v>
      </c>
      <c r="B27" t="s">
        <v>229</v>
      </c>
      <c r="C27" t="s">
        <v>15</v>
      </c>
      <c r="D27" t="s">
        <v>17</v>
      </c>
      <c r="E27" t="s">
        <v>228</v>
      </c>
      <c r="G27">
        <v>277000</v>
      </c>
      <c r="H27" t="e">
        <f t="shared" si="0"/>
        <v>#DIV/0!</v>
      </c>
      <c r="I27">
        <f t="shared" si="1"/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I27" cm="1">
        <f t="array" ref="AI27:AT27">V27:AG27*F27</f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 x14ac:dyDescent="0.3">
      <c r="B28" t="s">
        <v>223</v>
      </c>
      <c r="C28" t="s">
        <v>6</v>
      </c>
      <c r="D28" t="s">
        <v>66</v>
      </c>
      <c r="E28" t="s">
        <v>66</v>
      </c>
      <c r="F28">
        <v>120200</v>
      </c>
      <c r="G28">
        <v>120200</v>
      </c>
      <c r="H28">
        <f t="shared" si="0"/>
        <v>0.89834232672157366</v>
      </c>
      <c r="I28">
        <f t="shared" si="1"/>
        <v>133802</v>
      </c>
      <c r="J28">
        <v>13060</v>
      </c>
      <c r="K28">
        <v>2663</v>
      </c>
      <c r="L28">
        <v>292</v>
      </c>
      <c r="M28">
        <v>200</v>
      </c>
      <c r="N28">
        <v>17647</v>
      </c>
      <c r="O28">
        <v>25695</v>
      </c>
      <c r="P28">
        <v>13108</v>
      </c>
      <c r="Q28">
        <v>37905</v>
      </c>
      <c r="R28">
        <v>7459</v>
      </c>
      <c r="T28">
        <v>15773</v>
      </c>
      <c r="V28">
        <v>9.796714425024379E-2</v>
      </c>
      <c r="W28">
        <v>1.9975995799264873E-2</v>
      </c>
      <c r="X28">
        <v>0</v>
      </c>
      <c r="Y28">
        <v>0</v>
      </c>
      <c r="Z28">
        <v>0.13237566574150475</v>
      </c>
      <c r="AA28">
        <v>0.19274623059035331</v>
      </c>
      <c r="AB28">
        <v>9.8327207261270727E-2</v>
      </c>
      <c r="AC28">
        <v>0.28433725902032858</v>
      </c>
      <c r="AD28">
        <v>5.5952291651038932E-2</v>
      </c>
      <c r="AE28">
        <v>0</v>
      </c>
      <c r="AF28">
        <v>0.11831820568599505</v>
      </c>
      <c r="AG28">
        <v>0</v>
      </c>
      <c r="AI28" cm="1">
        <f t="array" ref="AI28:AT28">V28:AG28*F28</f>
        <v>11775.650738879303</v>
      </c>
      <c r="AJ28">
        <v>2401.1146950716379</v>
      </c>
      <c r="AK28">
        <v>0</v>
      </c>
      <c r="AL28">
        <v>0</v>
      </c>
      <c r="AM28">
        <v>15911.55502212887</v>
      </c>
      <c r="AN28">
        <v>23168.096916960469</v>
      </c>
      <c r="AO28">
        <v>11818.930312804741</v>
      </c>
      <c r="AP28">
        <v>34177.338534243492</v>
      </c>
      <c r="AQ28">
        <v>6725.46545645488</v>
      </c>
      <c r="AR28">
        <v>0</v>
      </c>
      <c r="AS28">
        <v>14221.848323456605</v>
      </c>
      <c r="AT28">
        <v>0</v>
      </c>
    </row>
    <row r="29" spans="1:46" x14ac:dyDescent="0.3">
      <c r="A29" t="s">
        <v>154</v>
      </c>
      <c r="B29" t="s">
        <v>225</v>
      </c>
      <c r="C29" t="s">
        <v>6</v>
      </c>
      <c r="D29" t="s">
        <v>67</v>
      </c>
      <c r="E29" t="s">
        <v>67</v>
      </c>
      <c r="F29">
        <v>221500</v>
      </c>
      <c r="G29">
        <v>221500</v>
      </c>
      <c r="H29">
        <f t="shared" si="0"/>
        <v>0.63781937761498742</v>
      </c>
      <c r="I29">
        <f>SUM(J29:U29)</f>
        <v>347277</v>
      </c>
      <c r="J29">
        <v>215781</v>
      </c>
      <c r="K29">
        <v>71537</v>
      </c>
      <c r="L29">
        <v>5397</v>
      </c>
      <c r="M29">
        <v>113</v>
      </c>
      <c r="N29">
        <v>6452</v>
      </c>
      <c r="O29">
        <v>17379</v>
      </c>
      <c r="P29">
        <v>5663</v>
      </c>
      <c r="Q29">
        <v>5744</v>
      </c>
      <c r="S29">
        <v>2810</v>
      </c>
      <c r="T29">
        <v>11846</v>
      </c>
      <c r="U29">
        <v>4555</v>
      </c>
      <c r="V29">
        <v>0.62135125562591242</v>
      </c>
      <c r="W29">
        <v>0.20599406237671944</v>
      </c>
      <c r="X29">
        <v>1.5540908266311907E-2</v>
      </c>
      <c r="Y29">
        <v>3.2538866668394397E-4</v>
      </c>
      <c r="Z29">
        <v>1.8578829003936339E-2</v>
      </c>
      <c r="AA29">
        <v>5.0043625117701433E-2</v>
      </c>
      <c r="AB29">
        <v>1.6306867428594465E-2</v>
      </c>
      <c r="AC29">
        <v>1.6540110632146672E-2</v>
      </c>
      <c r="AD29">
        <v>0</v>
      </c>
      <c r="AE29">
        <v>8.0915234812555976E-3</v>
      </c>
      <c r="AF29">
        <v>3.4111098633079644E-2</v>
      </c>
      <c r="AG29">
        <v>1.3116330767658094E-2</v>
      </c>
      <c r="AI29" cm="1">
        <f t="array" ref="AI29:AT29">V29:AG29*F29</f>
        <v>137629.30312113962</v>
      </c>
      <c r="AJ29">
        <v>45627.684816443354</v>
      </c>
      <c r="AK29">
        <v>3442.3111809880875</v>
      </c>
      <c r="AL29">
        <v>72.07358967049359</v>
      </c>
      <c r="AM29">
        <v>4115.210624371899</v>
      </c>
      <c r="AN29">
        <v>11084.662963570867</v>
      </c>
      <c r="AO29">
        <v>3611.9711354336741</v>
      </c>
      <c r="AP29">
        <v>3663.6345050204877</v>
      </c>
      <c r="AQ29">
        <v>0</v>
      </c>
      <c r="AR29">
        <v>1792.272451098115</v>
      </c>
      <c r="AS29">
        <v>7555.6083472271412</v>
      </c>
      <c r="AT29">
        <v>2905.2672650362679</v>
      </c>
    </row>
    <row r="31" spans="1:46" x14ac:dyDescent="0.3">
      <c r="J31">
        <f>SUM(J2:J29)</f>
        <v>1202301</v>
      </c>
      <c r="K31">
        <f t="shared" ref="K31:T31" si="2">SUM(K2:K29)</f>
        <v>1068847</v>
      </c>
      <c r="L31">
        <f t="shared" si="2"/>
        <v>206404</v>
      </c>
      <c r="M31">
        <f t="shared" si="2"/>
        <v>34795</v>
      </c>
      <c r="N31">
        <f t="shared" si="2"/>
        <v>570670</v>
      </c>
      <c r="O31">
        <f t="shared" si="2"/>
        <v>202568</v>
      </c>
      <c r="P31">
        <f t="shared" si="2"/>
        <v>161934</v>
      </c>
      <c r="Q31">
        <f t="shared" si="2"/>
        <v>81975</v>
      </c>
      <c r="R31">
        <f t="shared" si="2"/>
        <v>17292</v>
      </c>
      <c r="S31">
        <f t="shared" si="2"/>
        <v>2810</v>
      </c>
      <c r="T31">
        <f t="shared" si="2"/>
        <v>65242</v>
      </c>
      <c r="U31">
        <f>SUM(U2:U29)</f>
        <v>4555</v>
      </c>
      <c r="AI31" s="1" t="s">
        <v>190</v>
      </c>
      <c r="AJ31" s="1" t="s">
        <v>191</v>
      </c>
      <c r="AK31" s="1" t="s">
        <v>38</v>
      </c>
      <c r="AL31" s="1" t="s">
        <v>192</v>
      </c>
      <c r="AM31" s="1" t="s">
        <v>41</v>
      </c>
      <c r="AN31" s="1" t="s">
        <v>48</v>
      </c>
      <c r="AO31" s="1" t="s">
        <v>193</v>
      </c>
      <c r="AP31" s="1" t="s">
        <v>49</v>
      </c>
      <c r="AQ31" s="1" t="s">
        <v>194</v>
      </c>
      <c r="AR31" s="1" t="s">
        <v>195</v>
      </c>
      <c r="AS31" s="1" t="s">
        <v>202</v>
      </c>
      <c r="AT31" s="1" t="s">
        <v>224</v>
      </c>
    </row>
    <row r="32" spans="1:46" x14ac:dyDescent="0.3">
      <c r="AH32">
        <f>SUM(AI32:AT32)</f>
        <v>4842400</v>
      </c>
      <c r="AI32">
        <f>SUM(AI2:AI29)</f>
        <v>1308325.875973779</v>
      </c>
      <c r="AJ32">
        <f t="shared" ref="AJ32:AT32" si="3">SUM(AJ2:AJ29)</f>
        <v>1228566.8626391895</v>
      </c>
      <c r="AK32">
        <f t="shared" si="3"/>
        <v>376393.49234242528</v>
      </c>
      <c r="AL32">
        <f t="shared" si="3"/>
        <v>39401.741016740947</v>
      </c>
      <c r="AM32">
        <f t="shared" si="3"/>
        <v>1105999.4520205637</v>
      </c>
      <c r="AN32">
        <f t="shared" si="3"/>
        <v>295188.63228008588</v>
      </c>
      <c r="AO32">
        <f t="shared" si="3"/>
        <v>230886.35082212274</v>
      </c>
      <c r="AP32">
        <f t="shared" si="3"/>
        <v>127269.78288782784</v>
      </c>
      <c r="AQ32">
        <f t="shared" si="3"/>
        <v>29607.538737325751</v>
      </c>
      <c r="AR32">
        <f t="shared" si="3"/>
        <v>1792.272451098115</v>
      </c>
      <c r="AS32">
        <f t="shared" si="3"/>
        <v>96062.73156380505</v>
      </c>
      <c r="AT32">
        <f t="shared" si="3"/>
        <v>2905.2672650362679</v>
      </c>
    </row>
    <row r="33" spans="10:46" x14ac:dyDescent="0.3">
      <c r="J33" cm="1">
        <f t="array" ref="J33:U33">J31:U31/SUM(J31:U31)</f>
        <v>0.33218304837302831</v>
      </c>
      <c r="K33">
        <v>0.29531111984799663</v>
      </c>
      <c r="L33">
        <v>5.7027241860720841E-2</v>
      </c>
      <c r="M33">
        <v>9.6134904388664073E-3</v>
      </c>
      <c r="N33">
        <v>0.15767008445891342</v>
      </c>
      <c r="O33">
        <v>5.596739563788735E-2</v>
      </c>
      <c r="P33">
        <v>4.4740651263899776E-2</v>
      </c>
      <c r="Q33">
        <v>2.2648825369336791E-2</v>
      </c>
      <c r="R33">
        <v>4.7775966854110624E-3</v>
      </c>
      <c r="S33">
        <v>7.7637327585039809E-4</v>
      </c>
      <c r="T33">
        <v>1.8025674470829776E-2</v>
      </c>
      <c r="U33">
        <v>1.2584983172592753E-3</v>
      </c>
    </row>
    <row r="34" spans="10:46" x14ac:dyDescent="0.3">
      <c r="AI34" cm="1">
        <f t="array" ref="AI34:AT34">AI32:AT32/AH32</f>
        <v>0.27018128943783642</v>
      </c>
      <c r="AJ34">
        <v>0.2537103218732838</v>
      </c>
      <c r="AK34">
        <v>7.7728707323315979E-2</v>
      </c>
      <c r="AL34">
        <v>8.1368207948002945E-3</v>
      </c>
      <c r="AM34">
        <v>0.22839902775907889</v>
      </c>
      <c r="AN34">
        <v>6.0959159152504105E-2</v>
      </c>
      <c r="AO34">
        <v>4.768014844335923E-2</v>
      </c>
      <c r="AP34">
        <v>2.6282377103879862E-2</v>
      </c>
      <c r="AQ34">
        <v>6.1142282209907797E-3</v>
      </c>
      <c r="AR34">
        <v>3.7012069451059702E-4</v>
      </c>
      <c r="AS34">
        <v>1.9837834867793874E-2</v>
      </c>
      <c r="AT34">
        <v>5.9996432864618116E-4</v>
      </c>
    </row>
    <row r="36" spans="10:46" x14ac:dyDescent="0.3">
      <c r="AI36">
        <f>AI34+AJ34+AL34</f>
        <v>0.53202843210592055</v>
      </c>
      <c r="AK36">
        <f>AK34</f>
        <v>7.7728707323315979E-2</v>
      </c>
      <c r="AM36">
        <f>SUM(AM34:AS34)</f>
        <v>0.38964289624211734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54F25-EC64-4CF9-B46A-61F5E682DF1A}">
  <dimension ref="A1:BN36"/>
  <sheetViews>
    <sheetView zoomScale="105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AA4" sqref="AA4"/>
    </sheetView>
  </sheetViews>
  <sheetFormatPr defaultRowHeight="14.4" x14ac:dyDescent="0.3"/>
  <sheetData>
    <row r="1" spans="1:66" s="1" customFormat="1" x14ac:dyDescent="0.3">
      <c r="A1" s="1" t="s">
        <v>188</v>
      </c>
      <c r="B1" s="1" t="s">
        <v>80</v>
      </c>
      <c r="C1" s="1" t="s">
        <v>1</v>
      </c>
      <c r="D1" s="1" t="s">
        <v>0</v>
      </c>
      <c r="E1" s="1" t="s">
        <v>230</v>
      </c>
      <c r="F1" s="1" t="s">
        <v>199</v>
      </c>
      <c r="G1" s="1" t="s">
        <v>199</v>
      </c>
      <c r="I1" s="1" t="s">
        <v>190</v>
      </c>
      <c r="J1" s="1" t="s">
        <v>191</v>
      </c>
      <c r="K1" s="1" t="s">
        <v>38</v>
      </c>
      <c r="L1" s="1" t="s">
        <v>192</v>
      </c>
      <c r="M1" s="1" t="s">
        <v>41</v>
      </c>
      <c r="N1" s="1" t="s">
        <v>48</v>
      </c>
      <c r="O1" s="1" t="s">
        <v>193</v>
      </c>
      <c r="P1" s="1" t="s">
        <v>49</v>
      </c>
      <c r="Q1" s="1" t="s">
        <v>194</v>
      </c>
      <c r="R1" s="1" t="s">
        <v>195</v>
      </c>
      <c r="S1" s="1" t="s">
        <v>202</v>
      </c>
      <c r="T1" s="1" t="s">
        <v>224</v>
      </c>
      <c r="W1" s="1" t="s">
        <v>190</v>
      </c>
      <c r="X1" s="1" t="s">
        <v>191</v>
      </c>
      <c r="Y1" s="1" t="s">
        <v>38</v>
      </c>
      <c r="Z1" s="1" t="s">
        <v>192</v>
      </c>
      <c r="AA1" s="1" t="s">
        <v>41</v>
      </c>
      <c r="AB1" s="1" t="s">
        <v>48</v>
      </c>
      <c r="AC1" s="1" t="s">
        <v>193</v>
      </c>
      <c r="AD1" s="1" t="s">
        <v>49</v>
      </c>
      <c r="AE1" s="1" t="s">
        <v>194</v>
      </c>
      <c r="AF1" s="1" t="s">
        <v>195</v>
      </c>
      <c r="AG1" s="1" t="s">
        <v>202</v>
      </c>
      <c r="AJ1" s="1" t="s">
        <v>190</v>
      </c>
      <c r="AK1" s="1" t="s">
        <v>191</v>
      </c>
      <c r="AL1" s="1" t="s">
        <v>38</v>
      </c>
      <c r="AM1" s="1" t="s">
        <v>192</v>
      </c>
      <c r="AN1" s="1" t="s">
        <v>41</v>
      </c>
      <c r="AO1" s="1" t="s">
        <v>48</v>
      </c>
      <c r="AP1" s="1" t="s">
        <v>193</v>
      </c>
      <c r="AQ1" s="1" t="s">
        <v>49</v>
      </c>
      <c r="AR1" s="1" t="s">
        <v>194</v>
      </c>
      <c r="AS1" s="1" t="s">
        <v>195</v>
      </c>
      <c r="AT1" s="1" t="s">
        <v>202</v>
      </c>
      <c r="AU1" s="1" t="s">
        <v>224</v>
      </c>
      <c r="AV1" s="1" t="s">
        <v>281</v>
      </c>
      <c r="AW1" s="1" t="s">
        <v>42</v>
      </c>
      <c r="AX1"/>
      <c r="AZ1" s="1" t="s">
        <v>281</v>
      </c>
      <c r="BB1" s="1" t="s">
        <v>282</v>
      </c>
      <c r="BD1" s="1" t="s">
        <v>283</v>
      </c>
      <c r="BE1" s="1" t="s">
        <v>284</v>
      </c>
      <c r="BG1" s="1" t="s">
        <v>41</v>
      </c>
      <c r="BH1" s="1" t="s">
        <v>48</v>
      </c>
      <c r="BI1" s="1" t="s">
        <v>193</v>
      </c>
      <c r="BJ1" s="1" t="s">
        <v>49</v>
      </c>
      <c r="BK1" s="1" t="s">
        <v>194</v>
      </c>
      <c r="BL1" s="1" t="s">
        <v>195</v>
      </c>
      <c r="BM1" s="1" t="s">
        <v>202</v>
      </c>
      <c r="BN1" s="1" t="s">
        <v>224</v>
      </c>
    </row>
    <row r="2" spans="1:66" s="36" customFormat="1" x14ac:dyDescent="0.3">
      <c r="A2" s="36" t="s">
        <v>151</v>
      </c>
      <c r="B2" s="36" t="s">
        <v>204</v>
      </c>
      <c r="C2" s="36" t="s">
        <v>152</v>
      </c>
      <c r="D2" s="36" t="s">
        <v>9</v>
      </c>
      <c r="E2" s="36" t="s">
        <v>208</v>
      </c>
      <c r="F2" s="36">
        <v>177400</v>
      </c>
      <c r="G2" s="36">
        <v>177400</v>
      </c>
      <c r="H2" s="36">
        <f t="shared" ref="H2:H29" si="0">SUM(I2:T2)</f>
        <v>172555</v>
      </c>
      <c r="I2" s="36">
        <v>48867</v>
      </c>
      <c r="J2" s="36">
        <v>27538</v>
      </c>
      <c r="K2" s="36">
        <v>906</v>
      </c>
      <c r="M2" s="36">
        <v>27049</v>
      </c>
      <c r="N2" s="36">
        <v>16470</v>
      </c>
      <c r="O2" s="36">
        <v>32295</v>
      </c>
      <c r="P2" s="36">
        <v>8604</v>
      </c>
      <c r="Q2" s="36">
        <v>1846</v>
      </c>
      <c r="S2" s="36">
        <v>8980</v>
      </c>
      <c r="V2" s="36">
        <f>M2/F2</f>
        <v>0.15247463359639232</v>
      </c>
      <c r="W2" s="36">
        <v>0.28319666193387599</v>
      </c>
      <c r="X2" s="36">
        <v>0.1595896960389441</v>
      </c>
      <c r="Y2" s="36">
        <v>5.250499840630524E-3</v>
      </c>
      <c r="Z2" s="36">
        <v>0</v>
      </c>
      <c r="AA2" s="36">
        <v>0.15675581698588856</v>
      </c>
      <c r="AB2" s="36">
        <v>9.5447828228680712E-2</v>
      </c>
      <c r="AC2" s="36">
        <v>0.18715771782909796</v>
      </c>
      <c r="AD2" s="36">
        <v>4.9862362724928284E-2</v>
      </c>
      <c r="AE2" s="36">
        <v>1.0698038306626873E-2</v>
      </c>
      <c r="AF2" s="36">
        <v>7.7506021042381655E-3</v>
      </c>
      <c r="AG2" s="36">
        <v>4.429077600708866E-2</v>
      </c>
      <c r="AI2" s="36">
        <f t="shared" ref="AI2:AI28" si="1">SUM(AJ2:AT2)</f>
        <v>177399.99999999991</v>
      </c>
      <c r="AJ2" s="36" cm="1">
        <f t="array" ref="AJ2:AU2">W2:AH2*F2</f>
        <v>50239.087827069598</v>
      </c>
      <c r="AK2" s="36">
        <v>28311.212077308683</v>
      </c>
      <c r="AL2" s="36">
        <v>931.43867172785497</v>
      </c>
      <c r="AM2" s="36">
        <v>0</v>
      </c>
      <c r="AN2" s="36">
        <v>27808.481933296629</v>
      </c>
      <c r="AO2" s="36">
        <v>16932.444727767957</v>
      </c>
      <c r="AP2" s="36">
        <v>33201.779142881976</v>
      </c>
      <c r="AQ2" s="36">
        <v>8845.583147402278</v>
      </c>
      <c r="AR2" s="36">
        <v>1897.8319955956074</v>
      </c>
      <c r="AS2" s="36">
        <v>1374.9568132918505</v>
      </c>
      <c r="AT2" s="36">
        <v>7857.1836636575281</v>
      </c>
      <c r="AU2" s="36">
        <v>0</v>
      </c>
      <c r="AV2" s="36">
        <v>1366</v>
      </c>
      <c r="AW2" s="36">
        <v>7806</v>
      </c>
      <c r="AX2" s="36">
        <v>9172</v>
      </c>
      <c r="AY2">
        <f>AV2/AX2</f>
        <v>0.14893153074574794</v>
      </c>
      <c r="AZ2">
        <f>AY2*AT2</f>
        <v>1170.1823903789996</v>
      </c>
      <c r="BB2">
        <f>AT2-AZ2</f>
        <v>6687.001273278529</v>
      </c>
      <c r="BC2">
        <f>1-AY2</f>
        <v>0.85106846925425206</v>
      </c>
      <c r="BD2">
        <f t="shared" ref="BD2:BD7" si="2">AZ2/F2</f>
        <v>6.5962930686527593E-3</v>
      </c>
      <c r="BE2">
        <f>BB2/F2</f>
        <v>3.76944829384359E-2</v>
      </c>
      <c r="BF2"/>
      <c r="BG2" s="36">
        <v>177400</v>
      </c>
    </row>
    <row r="3" spans="1:66" x14ac:dyDescent="0.3">
      <c r="A3" t="s">
        <v>143</v>
      </c>
      <c r="B3" s="36" t="s">
        <v>234</v>
      </c>
      <c r="C3" t="s">
        <v>13</v>
      </c>
      <c r="D3" t="s">
        <v>11</v>
      </c>
      <c r="E3" t="s">
        <v>216</v>
      </c>
      <c r="G3">
        <v>129500</v>
      </c>
      <c r="H3">
        <f t="shared" si="0"/>
        <v>0</v>
      </c>
      <c r="U3" s="36"/>
      <c r="V3" s="36" t="e">
        <f t="shared" ref="V3:V29" si="3">M3/F3</f>
        <v>#DIV/0!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I3" s="36">
        <f t="shared" si="1"/>
        <v>0</v>
      </c>
      <c r="AJ3" cm="1">
        <f t="array" ref="AJ3:AU3">W3:AH3*F3</f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155</v>
      </c>
      <c r="AW3">
        <v>207</v>
      </c>
      <c r="AX3">
        <v>362</v>
      </c>
      <c r="AY3">
        <f t="shared" ref="AY3:AY29" si="4">AV3/AX3</f>
        <v>0.42817679558011051</v>
      </c>
      <c r="AZ3">
        <f t="shared" ref="AZ3:AZ29" si="5">AY3*AT3</f>
        <v>0</v>
      </c>
      <c r="BB3">
        <f t="shared" ref="BB3:BB29" si="6">AT3-AZ3</f>
        <v>0</v>
      </c>
      <c r="BC3">
        <f t="shared" ref="BC3:BC29" si="7">1-AY3</f>
        <v>0.57182320441988943</v>
      </c>
      <c r="BD3" t="e">
        <f t="shared" si="2"/>
        <v>#DIV/0!</v>
      </c>
      <c r="BE3" t="e">
        <f t="shared" ref="BE3:BE29" si="8">BB3/F3</f>
        <v>#DIV/0!</v>
      </c>
      <c r="BG3">
        <v>129500</v>
      </c>
      <c r="BH3">
        <f>(AY3+AY4)/(BG3+BG4)</f>
        <v>1.3881154251553442E-6</v>
      </c>
    </row>
    <row r="4" spans="1:66" s="36" customFormat="1" x14ac:dyDescent="0.3">
      <c r="A4" s="36" t="s">
        <v>146</v>
      </c>
      <c r="B4" s="36" t="s">
        <v>217</v>
      </c>
      <c r="C4" s="36" t="s">
        <v>13</v>
      </c>
      <c r="D4" s="36" t="s">
        <v>12</v>
      </c>
      <c r="E4" s="36" t="s">
        <v>216</v>
      </c>
      <c r="F4" s="36">
        <v>390000</v>
      </c>
      <c r="G4" s="36">
        <v>260500</v>
      </c>
      <c r="H4" s="36">
        <f t="shared" si="0"/>
        <v>175034</v>
      </c>
      <c r="I4" s="36">
        <v>2340</v>
      </c>
      <c r="J4" s="36">
        <v>18756</v>
      </c>
      <c r="M4" s="36">
        <v>143632</v>
      </c>
      <c r="N4" s="36">
        <v>3345</v>
      </c>
      <c r="O4" s="36">
        <v>2308</v>
      </c>
      <c r="P4" s="36">
        <v>2452</v>
      </c>
      <c r="S4" s="36">
        <v>2201</v>
      </c>
      <c r="V4" s="36">
        <f t="shared" si="3"/>
        <v>0.36828717948717948</v>
      </c>
      <c r="W4" s="36">
        <v>1.3368831198510003E-2</v>
      </c>
      <c r="X4" s="36">
        <v>0.10715632391421095</v>
      </c>
      <c r="Z4" s="36">
        <v>1.6000000000000001E-4</v>
      </c>
      <c r="AA4" s="36">
        <v>0.81573485585657635</v>
      </c>
      <c r="AB4" s="36">
        <v>1.9110572802998275E-2</v>
      </c>
      <c r="AC4" s="36">
        <v>1.3186009575282516E-2</v>
      </c>
      <c r="AD4" s="36">
        <v>1.400870687980621E-2</v>
      </c>
      <c r="AE4" s="36">
        <v>4.7000000000000002E-3</v>
      </c>
      <c r="AF4" s="36">
        <v>1.4233078871949037E-3</v>
      </c>
      <c r="AG4" s="36">
        <v>1.1151391885420704E-2</v>
      </c>
      <c r="AI4" s="36">
        <f t="shared" si="1"/>
        <v>389999.99999999994</v>
      </c>
      <c r="AJ4" s="36" cm="1">
        <f t="array" ref="AJ4:AU4">W4:AH4*F4</f>
        <v>5213.8441674189007</v>
      </c>
      <c r="AK4" s="36">
        <v>41790.966326542271</v>
      </c>
      <c r="AL4" s="36">
        <v>0</v>
      </c>
      <c r="AM4" s="36">
        <v>62.400000000000006</v>
      </c>
      <c r="AN4" s="36">
        <v>318136.59378406475</v>
      </c>
      <c r="AO4" s="36">
        <v>7453.1233931693268</v>
      </c>
      <c r="AP4" s="36">
        <v>5142.5437343601816</v>
      </c>
      <c r="AQ4" s="36">
        <v>5463.3956831244222</v>
      </c>
      <c r="AR4" s="36">
        <v>1833</v>
      </c>
      <c r="AS4" s="36">
        <v>555.0900760060124</v>
      </c>
      <c r="AT4" s="36">
        <v>4349.0428353140742</v>
      </c>
      <c r="AU4" s="36">
        <v>0</v>
      </c>
      <c r="AV4" s="36">
        <v>442</v>
      </c>
      <c r="AW4" s="36">
        <v>3463</v>
      </c>
      <c r="AX4" s="36">
        <v>3905</v>
      </c>
      <c r="AY4">
        <f t="shared" si="4"/>
        <v>0.11318822023047376</v>
      </c>
      <c r="AZ4">
        <f t="shared" si="5"/>
        <v>492.26041823529346</v>
      </c>
      <c r="BB4">
        <f t="shared" si="6"/>
        <v>3856.7824170787808</v>
      </c>
      <c r="BC4">
        <f>1-AY4</f>
        <v>0.8868117797695263</v>
      </c>
      <c r="BD4">
        <f t="shared" si="2"/>
        <v>1.2622062006033166E-3</v>
      </c>
      <c r="BE4">
        <f t="shared" si="8"/>
        <v>9.8891856848173868E-3</v>
      </c>
      <c r="BF4"/>
      <c r="BG4" s="36">
        <v>260500</v>
      </c>
    </row>
    <row r="5" spans="1:66" s="36" customFormat="1" x14ac:dyDescent="0.3">
      <c r="A5" s="36" t="s">
        <v>117</v>
      </c>
      <c r="B5" s="36" t="s">
        <v>209</v>
      </c>
      <c r="C5" s="36" t="s">
        <v>2</v>
      </c>
      <c r="D5" s="36" t="s">
        <v>2</v>
      </c>
      <c r="E5" s="36" t="s">
        <v>207</v>
      </c>
      <c r="F5" s="36">
        <v>324000</v>
      </c>
      <c r="G5" s="36">
        <v>324000</v>
      </c>
      <c r="H5" s="36">
        <f t="shared" si="0"/>
        <v>276938</v>
      </c>
      <c r="I5" s="36">
        <v>186920</v>
      </c>
      <c r="J5" s="36">
        <v>2911</v>
      </c>
      <c r="L5" s="36">
        <v>13765</v>
      </c>
      <c r="M5" s="36">
        <v>30208</v>
      </c>
      <c r="N5" s="36">
        <v>40606</v>
      </c>
      <c r="O5" s="36">
        <v>1710</v>
      </c>
      <c r="S5" s="36">
        <v>818</v>
      </c>
      <c r="V5" s="36">
        <f t="shared" si="3"/>
        <v>9.3234567901234564E-2</v>
      </c>
      <c r="W5" s="36">
        <v>0.67475498558352698</v>
      </c>
      <c r="X5" s="36">
        <v>1.0511377997963443E-2</v>
      </c>
      <c r="Y5" s="36">
        <v>0</v>
      </c>
      <c r="Z5" s="36">
        <v>4.9704265936780075E-2</v>
      </c>
      <c r="AA5" s="36">
        <v>0.10907856632170378</v>
      </c>
      <c r="AB5" s="36">
        <v>0.1466248763261091</v>
      </c>
      <c r="AC5" s="36">
        <v>6.1746672540424208E-3</v>
      </c>
      <c r="AD5" s="36">
        <v>9.8765432098765426E-5</v>
      </c>
      <c r="AE5" s="36">
        <v>9.8765432098765426E-5</v>
      </c>
      <c r="AF5" s="36">
        <v>2.953729715676433E-3</v>
      </c>
      <c r="AG5" s="36">
        <v>0</v>
      </c>
      <c r="AI5" s="36">
        <f t="shared" si="1"/>
        <v>323999.99999999994</v>
      </c>
      <c r="AJ5" s="36" cm="1">
        <f t="array" ref="AJ5:AU5">W5:AH5*F5</f>
        <v>218620.61532906274</v>
      </c>
      <c r="AK5" s="36">
        <v>3405.6864713401555</v>
      </c>
      <c r="AL5" s="36">
        <v>0</v>
      </c>
      <c r="AM5" s="36">
        <v>16104.182163516743</v>
      </c>
      <c r="AN5" s="36">
        <v>35341.455488232023</v>
      </c>
      <c r="AO5" s="36">
        <v>47506.459929659351</v>
      </c>
      <c r="AP5" s="36">
        <v>2000.5921903097444</v>
      </c>
      <c r="AQ5" s="36">
        <v>31.999999999999996</v>
      </c>
      <c r="AR5" s="36">
        <v>31.999999999999996</v>
      </c>
      <c r="AS5" s="36">
        <v>957.00842787916429</v>
      </c>
      <c r="AT5" s="36">
        <v>0</v>
      </c>
      <c r="AU5" s="36">
        <v>0</v>
      </c>
      <c r="AV5" s="36">
        <v>842</v>
      </c>
      <c r="AW5" s="36">
        <v>0</v>
      </c>
      <c r="AX5" s="36">
        <v>842</v>
      </c>
      <c r="AY5">
        <f t="shared" si="4"/>
        <v>1</v>
      </c>
      <c r="AZ5">
        <f t="shared" si="5"/>
        <v>0</v>
      </c>
      <c r="BB5">
        <f t="shared" si="6"/>
        <v>0</v>
      </c>
      <c r="BC5">
        <f t="shared" si="7"/>
        <v>0</v>
      </c>
      <c r="BD5">
        <f t="shared" si="2"/>
        <v>0</v>
      </c>
      <c r="BE5">
        <f t="shared" si="8"/>
        <v>0</v>
      </c>
      <c r="BF5"/>
      <c r="BG5" s="36">
        <v>324000</v>
      </c>
    </row>
    <row r="6" spans="1:66" s="36" customFormat="1" x14ac:dyDescent="0.3">
      <c r="A6" s="36" t="s">
        <v>168</v>
      </c>
      <c r="B6" s="36" t="s">
        <v>226</v>
      </c>
      <c r="C6" s="36" t="s">
        <v>169</v>
      </c>
      <c r="D6" s="36" t="s">
        <v>31</v>
      </c>
      <c r="E6" s="36" t="s">
        <v>206</v>
      </c>
      <c r="F6" s="36">
        <v>104300</v>
      </c>
      <c r="G6" s="36">
        <v>32100</v>
      </c>
      <c r="H6" s="36">
        <f t="shared" si="0"/>
        <v>120765</v>
      </c>
      <c r="I6" s="36">
        <v>53429</v>
      </c>
      <c r="J6" s="36">
        <v>18239</v>
      </c>
      <c r="K6" s="36">
        <v>585</v>
      </c>
      <c r="M6" s="36">
        <v>37214</v>
      </c>
      <c r="O6" s="36">
        <v>10489</v>
      </c>
      <c r="S6" s="36">
        <v>809</v>
      </c>
      <c r="V6" s="36">
        <f t="shared" si="3"/>
        <v>0.35679769894534996</v>
      </c>
      <c r="W6" s="36">
        <v>0.43115565125949401</v>
      </c>
      <c r="X6" s="36">
        <v>0.15102885769883659</v>
      </c>
      <c r="Y6" s="36">
        <v>4.8441187430132903E-3</v>
      </c>
      <c r="Z6" s="36">
        <v>0</v>
      </c>
      <c r="AA6" s="36">
        <v>0.30565219641452407</v>
      </c>
      <c r="AB6" s="36">
        <v>2.5000000000000001E-3</v>
      </c>
      <c r="AC6" s="36">
        <v>8.6854635034985306E-2</v>
      </c>
      <c r="AD6" s="36">
        <v>1.0891658676893576E-2</v>
      </c>
      <c r="AE6" s="36">
        <v>3.7392138063279003E-4</v>
      </c>
      <c r="AF6" s="36">
        <v>2.6939520609732259E-3</v>
      </c>
      <c r="AG6" s="36">
        <v>4.0050087306468625E-3</v>
      </c>
      <c r="AI6" s="36">
        <f t="shared" si="1"/>
        <v>104299.99999999996</v>
      </c>
      <c r="AJ6" s="36" cm="1">
        <f t="array" ref="AJ6:AU6">W6:AH6*F6</f>
        <v>44969.534426365222</v>
      </c>
      <c r="AK6" s="36">
        <v>15752.309857988655</v>
      </c>
      <c r="AL6" s="36">
        <v>505.24158489628616</v>
      </c>
      <c r="AM6" s="36">
        <v>0</v>
      </c>
      <c r="AN6" s="36">
        <v>31879.52408603486</v>
      </c>
      <c r="AO6" s="36">
        <v>260.75</v>
      </c>
      <c r="AP6" s="36">
        <v>9058.9384341489676</v>
      </c>
      <c r="AQ6" s="36">
        <v>1136</v>
      </c>
      <c r="AR6" s="36">
        <v>39</v>
      </c>
      <c r="AS6" s="36">
        <v>280.97919995950747</v>
      </c>
      <c r="AT6" s="36">
        <v>417.72241060646775</v>
      </c>
      <c r="AU6" s="36">
        <v>0</v>
      </c>
      <c r="AV6" s="36">
        <v>150</v>
      </c>
      <c r="AW6" s="36">
        <v>223</v>
      </c>
      <c r="AX6" s="36">
        <v>373</v>
      </c>
      <c r="AY6">
        <f>AV6/AX6</f>
        <v>0.40214477211796246</v>
      </c>
      <c r="AZ6">
        <f>AY6*AT6</f>
        <v>167.98488362190392</v>
      </c>
      <c r="BB6">
        <f t="shared" si="6"/>
        <v>249.73752698456383</v>
      </c>
      <c r="BC6">
        <f>1-AY6</f>
        <v>0.59785522788203749</v>
      </c>
      <c r="BD6">
        <f t="shared" si="2"/>
        <v>1.6105933233164327E-3</v>
      </c>
      <c r="BE6">
        <f t="shared" si="8"/>
        <v>2.3944154073304298E-3</v>
      </c>
      <c r="BF6"/>
      <c r="BG6" s="36">
        <v>32100</v>
      </c>
    </row>
    <row r="7" spans="1:66" x14ac:dyDescent="0.3">
      <c r="A7" t="s">
        <v>172</v>
      </c>
      <c r="B7" t="s">
        <v>226</v>
      </c>
      <c r="C7" t="s">
        <v>169</v>
      </c>
      <c r="D7" t="s">
        <v>30</v>
      </c>
      <c r="E7" t="s">
        <v>206</v>
      </c>
      <c r="G7">
        <v>72200</v>
      </c>
      <c r="H7">
        <f t="shared" si="0"/>
        <v>0</v>
      </c>
      <c r="U7" s="36"/>
      <c r="V7" s="36" t="e">
        <f t="shared" si="3"/>
        <v>#DIV/0!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I7" s="36">
        <f t="shared" si="1"/>
        <v>0</v>
      </c>
      <c r="AJ7" cm="1">
        <f t="array" ref="AJ7:AU7">W7:AH7*F7</f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144</v>
      </c>
      <c r="AW7">
        <v>217</v>
      </c>
      <c r="AX7">
        <v>361</v>
      </c>
      <c r="AY7">
        <f t="shared" si="4"/>
        <v>0.39889196675900279</v>
      </c>
      <c r="AZ7">
        <f t="shared" si="5"/>
        <v>0</v>
      </c>
      <c r="BB7">
        <f t="shared" si="6"/>
        <v>0</v>
      </c>
      <c r="BC7">
        <f t="shared" si="7"/>
        <v>0.60110803324099726</v>
      </c>
      <c r="BD7" t="e">
        <f t="shared" si="2"/>
        <v>#DIV/0!</v>
      </c>
      <c r="BE7" t="e">
        <f t="shared" si="8"/>
        <v>#DIV/0!</v>
      </c>
      <c r="BF7">
        <v>530</v>
      </c>
      <c r="BG7">
        <v>72200</v>
      </c>
    </row>
    <row r="8" spans="1:66" s="36" customFormat="1" x14ac:dyDescent="0.3">
      <c r="A8" s="36" t="s">
        <v>166</v>
      </c>
      <c r="B8" s="36" t="s">
        <v>212</v>
      </c>
      <c r="C8" s="36" t="s">
        <v>152</v>
      </c>
      <c r="D8" s="36" t="s">
        <v>7</v>
      </c>
      <c r="E8" s="36" t="s">
        <v>211</v>
      </c>
      <c r="F8" s="36">
        <v>120200</v>
      </c>
      <c r="G8" s="36">
        <v>33800</v>
      </c>
      <c r="H8" s="36">
        <f t="shared" si="0"/>
        <v>140163</v>
      </c>
      <c r="I8" s="36">
        <v>68362</v>
      </c>
      <c r="J8" s="36">
        <v>20566</v>
      </c>
      <c r="K8" s="36">
        <v>20678</v>
      </c>
      <c r="M8" s="36">
        <v>10117</v>
      </c>
      <c r="N8" s="36">
        <v>10042</v>
      </c>
      <c r="O8" s="36">
        <v>10398</v>
      </c>
      <c r="V8" s="36">
        <f t="shared" si="3"/>
        <v>8.4168053244592353E-2</v>
      </c>
      <c r="W8" s="36">
        <v>0.4828428226328314</v>
      </c>
      <c r="X8" s="36">
        <v>0.14672916532893845</v>
      </c>
      <c r="Y8" s="36">
        <v>0.14752823498355486</v>
      </c>
      <c r="Z8" s="36">
        <v>0</v>
      </c>
      <c r="AA8" s="36">
        <v>7.2180247283519905E-2</v>
      </c>
      <c r="AB8" s="36">
        <v>7.1645155996946416E-2</v>
      </c>
      <c r="AC8" s="36">
        <v>7.4185055970548572E-2</v>
      </c>
      <c r="AD8" s="36">
        <v>1.9000000000000001E-4</v>
      </c>
      <c r="AE8" s="36">
        <v>2.9E-4</v>
      </c>
      <c r="AF8" s="36">
        <v>3.3334768608080799E-3</v>
      </c>
      <c r="AG8" s="36">
        <v>1.0758409428524855E-3</v>
      </c>
      <c r="AI8" s="36">
        <f t="shared" si="1"/>
        <v>120200.00000000003</v>
      </c>
      <c r="AJ8" s="36" cm="1">
        <f t="array" ref="AJ8:AU8">W8:AH8*F8</f>
        <v>58037.707280466333</v>
      </c>
      <c r="AK8" s="36">
        <v>17636.845672538402</v>
      </c>
      <c r="AL8" s="36">
        <v>17732.893845023293</v>
      </c>
      <c r="AM8" s="36">
        <v>0</v>
      </c>
      <c r="AN8" s="36">
        <v>8676.0657234790924</v>
      </c>
      <c r="AO8" s="36">
        <v>8611.7477508329594</v>
      </c>
      <c r="AP8" s="36">
        <v>8917.0437276599387</v>
      </c>
      <c r="AQ8" s="36">
        <v>22.838000000000001</v>
      </c>
      <c r="AR8" s="36">
        <v>34.857999999999997</v>
      </c>
      <c r="AS8" s="36">
        <v>400.68391866913123</v>
      </c>
      <c r="AT8" s="36">
        <v>129.31608133086877</v>
      </c>
      <c r="AU8" s="36">
        <v>0</v>
      </c>
      <c r="AV8" s="36">
        <v>409</v>
      </c>
      <c r="AW8" s="36">
        <v>132</v>
      </c>
      <c r="AX8" s="37">
        <v>541</v>
      </c>
      <c r="AY8">
        <f>AV8/AX8</f>
        <v>0.75600739371534198</v>
      </c>
      <c r="AZ8">
        <f>AY8*BF7</f>
        <v>400.68391866913123</v>
      </c>
      <c r="BB8">
        <f>BF7-AZ8</f>
        <v>129.31608133086877</v>
      </c>
      <c r="BC8">
        <f t="shared" si="7"/>
        <v>0.24399260628465802</v>
      </c>
      <c r="BD8">
        <f>BF8/F8</f>
        <v>3.3334768608080799E-3</v>
      </c>
      <c r="BE8">
        <f t="shared" si="8"/>
        <v>1.0758409428524855E-3</v>
      </c>
      <c r="BF8" s="36">
        <f>AY8*BF7</f>
        <v>400.68391866913123</v>
      </c>
      <c r="BG8" s="36">
        <v>33800</v>
      </c>
    </row>
    <row r="9" spans="1:66" x14ac:dyDescent="0.3">
      <c r="A9" t="s">
        <v>161</v>
      </c>
      <c r="B9" t="s">
        <v>235</v>
      </c>
      <c r="C9" t="s">
        <v>152</v>
      </c>
      <c r="D9" t="s">
        <v>8</v>
      </c>
      <c r="E9" t="s">
        <v>211</v>
      </c>
      <c r="G9">
        <v>86400</v>
      </c>
      <c r="H9">
        <f t="shared" si="0"/>
        <v>0</v>
      </c>
      <c r="U9" s="36"/>
      <c r="V9" s="36" t="e">
        <f t="shared" si="3"/>
        <v>#DIV/0!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I9" s="36">
        <f t="shared" si="1"/>
        <v>0</v>
      </c>
      <c r="AJ9" cm="1">
        <f t="array" ref="AJ9:AU9">W9:AH9*F9</f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302</v>
      </c>
      <c r="AW9">
        <v>97</v>
      </c>
      <c r="AX9">
        <v>399</v>
      </c>
      <c r="AY9">
        <f>AV9/AX9</f>
        <v>0.75689223057644106</v>
      </c>
      <c r="AZ9">
        <f t="shared" si="5"/>
        <v>0</v>
      </c>
      <c r="BB9">
        <f t="shared" si="6"/>
        <v>0</v>
      </c>
      <c r="BC9">
        <f t="shared" si="7"/>
        <v>0.24310776942355894</v>
      </c>
      <c r="BD9" t="e">
        <f t="shared" ref="BD9:BD29" si="9">AZ9/F9</f>
        <v>#DIV/0!</v>
      </c>
      <c r="BE9" t="e">
        <f t="shared" si="8"/>
        <v>#DIV/0!</v>
      </c>
      <c r="BG9">
        <v>86400</v>
      </c>
    </row>
    <row r="10" spans="1:66" s="36" customFormat="1" x14ac:dyDescent="0.3">
      <c r="A10" s="36" t="s">
        <v>149</v>
      </c>
      <c r="B10" s="36" t="s">
        <v>219</v>
      </c>
      <c r="C10" s="36" t="s">
        <v>15</v>
      </c>
      <c r="D10" s="36" t="s">
        <v>18</v>
      </c>
      <c r="E10" s="36" t="s">
        <v>218</v>
      </c>
      <c r="F10" s="36">
        <v>511000</v>
      </c>
      <c r="G10" s="36">
        <v>511000</v>
      </c>
      <c r="H10" s="36">
        <f t="shared" si="0"/>
        <v>178165</v>
      </c>
      <c r="I10" s="36">
        <v>3354</v>
      </c>
      <c r="J10" s="36">
        <v>5398</v>
      </c>
      <c r="K10" s="36">
        <v>2458</v>
      </c>
      <c r="M10" s="36">
        <v>79907</v>
      </c>
      <c r="N10" s="36">
        <v>25971</v>
      </c>
      <c r="O10" s="36">
        <v>17510</v>
      </c>
      <c r="P10" s="36">
        <v>25499</v>
      </c>
      <c r="Q10" s="36">
        <v>6886</v>
      </c>
      <c r="S10" s="36">
        <v>11182</v>
      </c>
      <c r="V10" s="36">
        <f t="shared" si="3"/>
        <v>0.15637377690802348</v>
      </c>
      <c r="W10" s="36">
        <v>1.8825246260488874E-2</v>
      </c>
      <c r="X10" s="36">
        <v>3.0297757696517272E-2</v>
      </c>
      <c r="Y10" s="36">
        <v>1.3796200151544917E-2</v>
      </c>
      <c r="Z10" s="36">
        <v>1.1900000000000001E-3</v>
      </c>
      <c r="AA10" s="36">
        <v>0.44730998596806326</v>
      </c>
      <c r="AB10" s="36">
        <v>0.14576937108859764</v>
      </c>
      <c r="AC10" s="36">
        <v>9.8279684562063249E-2</v>
      </c>
      <c r="AD10" s="36">
        <v>0.14312014144192181</v>
      </c>
      <c r="AE10" s="36">
        <v>3.8649566413156346E-2</v>
      </c>
      <c r="AF10" s="36">
        <v>1.5741032805301147E-2</v>
      </c>
      <c r="AG10" s="36">
        <v>4.7021013612345411E-2</v>
      </c>
      <c r="AI10" s="36">
        <f t="shared" si="1"/>
        <v>511000.00000000006</v>
      </c>
      <c r="AJ10" s="36" cm="1">
        <f t="array" ref="AJ10:AU10">W10:AH10*F10</f>
        <v>9619.7008391098152</v>
      </c>
      <c r="AK10" s="36">
        <v>15482.154182920327</v>
      </c>
      <c r="AL10" s="36">
        <v>7049.8582774394526</v>
      </c>
      <c r="AM10" s="36">
        <v>608.09</v>
      </c>
      <c r="AN10" s="36">
        <v>228575.40282968033</v>
      </c>
      <c r="AO10" s="36">
        <v>74488.148626273396</v>
      </c>
      <c r="AP10" s="36">
        <v>50220.918811214324</v>
      </c>
      <c r="AQ10" s="36">
        <v>73134.392276822051</v>
      </c>
      <c r="AR10" s="36">
        <v>19749.928437122893</v>
      </c>
      <c r="AS10" s="36">
        <v>8043.6677635088863</v>
      </c>
      <c r="AT10" s="36">
        <v>24027.737955908506</v>
      </c>
      <c r="AU10" s="36">
        <v>0</v>
      </c>
      <c r="AV10" s="36">
        <v>8023</v>
      </c>
      <c r="AW10" s="36">
        <v>23966</v>
      </c>
      <c r="AX10" s="36">
        <v>31989</v>
      </c>
      <c r="AY10">
        <f t="shared" si="4"/>
        <v>0.25080496420644599</v>
      </c>
      <c r="AZ10">
        <f t="shared" si="5"/>
        <v>6026.2759579934964</v>
      </c>
      <c r="BB10">
        <f t="shared" si="6"/>
        <v>18001.461997915008</v>
      </c>
      <c r="BC10">
        <f t="shared" si="7"/>
        <v>0.74919503579355395</v>
      </c>
      <c r="BD10">
        <f t="shared" si="9"/>
        <v>1.1793103635995101E-2</v>
      </c>
      <c r="BE10">
        <f t="shared" si="8"/>
        <v>3.5227909976350308E-2</v>
      </c>
      <c r="BF10"/>
      <c r="BG10" s="36">
        <v>511000</v>
      </c>
    </row>
    <row r="11" spans="1:66" s="36" customFormat="1" x14ac:dyDescent="0.3">
      <c r="A11" s="36" t="s">
        <v>124</v>
      </c>
      <c r="B11" s="36" t="s">
        <v>203</v>
      </c>
      <c r="C11" s="36" t="s">
        <v>125</v>
      </c>
      <c r="D11" s="36" t="s">
        <v>26</v>
      </c>
      <c r="E11" s="36" t="s">
        <v>200</v>
      </c>
      <c r="F11" s="36">
        <v>384600</v>
      </c>
      <c r="G11" s="36">
        <v>140800</v>
      </c>
      <c r="H11" s="36">
        <f t="shared" si="0"/>
        <v>343061</v>
      </c>
      <c r="I11" s="36">
        <v>284425</v>
      </c>
      <c r="L11" s="36">
        <v>20717</v>
      </c>
      <c r="M11" s="36">
        <v>11616</v>
      </c>
      <c r="N11" s="36">
        <v>21404</v>
      </c>
      <c r="P11" s="36">
        <v>1771</v>
      </c>
      <c r="Q11" s="36">
        <v>1101</v>
      </c>
      <c r="S11" s="36">
        <v>2027</v>
      </c>
      <c r="V11" s="36">
        <f t="shared" si="3"/>
        <v>3.0202808112324495E-2</v>
      </c>
      <c r="W11" s="36">
        <v>0.8206899595407231</v>
      </c>
      <c r="X11" s="36">
        <v>2.5899999999999999E-3</v>
      </c>
      <c r="Y11" s="36">
        <v>2.8E-3</v>
      </c>
      <c r="Z11" s="36">
        <v>6.0388677232328943E-2</v>
      </c>
      <c r="AA11" s="36">
        <v>3.3859867487123281E-2</v>
      </c>
      <c r="AB11" s="36">
        <v>6.2391236543938251E-2</v>
      </c>
      <c r="AC11" s="36">
        <v>3.0000000000000001E-3</v>
      </c>
      <c r="AD11" s="36">
        <v>5.1623472210481514E-3</v>
      </c>
      <c r="AE11" s="36">
        <v>3.2093417788673149E-3</v>
      </c>
      <c r="AF11" s="36">
        <v>2.0550021192883611E-3</v>
      </c>
      <c r="AG11" s="36">
        <v>3.8535680766826185E-3</v>
      </c>
      <c r="AI11" s="36">
        <f t="shared" si="1"/>
        <v>384599.99999999994</v>
      </c>
      <c r="AJ11" s="36" cm="1">
        <f t="array" ref="AJ11:AU11">W11:AH11*F11</f>
        <v>315637.35843936208</v>
      </c>
      <c r="AK11" s="36">
        <v>996.11399999999992</v>
      </c>
      <c r="AL11" s="36">
        <v>1076.8799999999999</v>
      </c>
      <c r="AM11" s="36">
        <v>23225.48526355371</v>
      </c>
      <c r="AN11" s="36">
        <v>13022.505035547614</v>
      </c>
      <c r="AO11" s="36">
        <v>23995.669574798652</v>
      </c>
      <c r="AP11" s="36">
        <v>1153.8</v>
      </c>
      <c r="AQ11" s="36">
        <v>1985.4387412151191</v>
      </c>
      <c r="AR11" s="36">
        <v>1234.3128481523693</v>
      </c>
      <c r="AS11" s="36">
        <v>790.35381507830368</v>
      </c>
      <c r="AT11" s="36">
        <v>1482.082282292135</v>
      </c>
      <c r="AU11" s="36">
        <v>0</v>
      </c>
      <c r="AV11" s="39">
        <v>585</v>
      </c>
      <c r="AW11" s="39">
        <v>1097</v>
      </c>
      <c r="AX11" s="39">
        <v>1682</v>
      </c>
      <c r="AY11">
        <f t="shared" si="4"/>
        <v>0.34780023781212843</v>
      </c>
      <c r="AZ11">
        <f t="shared" si="5"/>
        <v>515.46857023834662</v>
      </c>
      <c r="BB11">
        <f t="shared" si="6"/>
        <v>966.61371205378839</v>
      </c>
      <c r="BC11">
        <f t="shared" si="7"/>
        <v>0.65219976218787157</v>
      </c>
      <c r="BD11">
        <f t="shared" si="9"/>
        <v>1.3402718934954409E-3</v>
      </c>
      <c r="BE11">
        <f t="shared" si="8"/>
        <v>2.5132961831871772E-3</v>
      </c>
      <c r="BF11"/>
      <c r="BG11" s="36">
        <v>85300</v>
      </c>
    </row>
    <row r="12" spans="1:66" x14ac:dyDescent="0.3">
      <c r="A12" t="s">
        <v>127</v>
      </c>
      <c r="B12" t="s">
        <v>236</v>
      </c>
      <c r="C12" t="s">
        <v>125</v>
      </c>
      <c r="D12" t="s">
        <v>27</v>
      </c>
      <c r="E12" t="s">
        <v>200</v>
      </c>
      <c r="G12">
        <v>243800</v>
      </c>
      <c r="H12">
        <f t="shared" si="0"/>
        <v>0</v>
      </c>
      <c r="U12" s="36"/>
      <c r="V12" s="36" t="e">
        <f t="shared" si="3"/>
        <v>#DIV/0!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I12" s="36">
        <f t="shared" si="1"/>
        <v>0</v>
      </c>
      <c r="AJ12" cm="1">
        <f t="array" ref="AJ12:AU12">W12:AH12*F12</f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f>AV26+AV27</f>
        <v>3904</v>
      </c>
      <c r="AW12">
        <f t="shared" ref="AW12:AX12" si="10">AW26+AW27</f>
        <v>1451</v>
      </c>
      <c r="AX12">
        <f t="shared" si="10"/>
        <v>5355</v>
      </c>
      <c r="AY12">
        <f t="shared" si="4"/>
        <v>0.72903828197945841</v>
      </c>
      <c r="AZ12">
        <f t="shared" si="5"/>
        <v>0</v>
      </c>
      <c r="BB12">
        <f t="shared" si="6"/>
        <v>0</v>
      </c>
      <c r="BC12">
        <f t="shared" si="7"/>
        <v>0.27096171802054159</v>
      </c>
      <c r="BD12" t="e">
        <f t="shared" si="9"/>
        <v>#DIV/0!</v>
      </c>
      <c r="BE12" t="e">
        <f t="shared" si="8"/>
        <v>#DIV/0!</v>
      </c>
      <c r="BG12">
        <v>55500</v>
      </c>
      <c r="BH12">
        <v>243800</v>
      </c>
    </row>
    <row r="13" spans="1:66" x14ac:dyDescent="0.3">
      <c r="A13" t="s">
        <v>172</v>
      </c>
      <c r="B13" t="s">
        <v>232</v>
      </c>
      <c r="C13" t="s">
        <v>169</v>
      </c>
      <c r="D13" t="s">
        <v>274</v>
      </c>
      <c r="E13" t="s">
        <v>201</v>
      </c>
      <c r="G13">
        <v>224400</v>
      </c>
      <c r="H13">
        <f t="shared" si="0"/>
        <v>0</v>
      </c>
      <c r="U13" s="36"/>
      <c r="V13" s="36" t="e">
        <f t="shared" si="3"/>
        <v>#DIV/0!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I13" s="36">
        <f t="shared" si="1"/>
        <v>0</v>
      </c>
      <c r="AJ13" cm="1">
        <f t="array" ref="AJ13:AU13">W13:AH13*F13</f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1122</v>
      </c>
      <c r="AW13">
        <v>22</v>
      </c>
      <c r="AX13">
        <v>1144</v>
      </c>
      <c r="AY13">
        <f t="shared" si="4"/>
        <v>0.98076923076923073</v>
      </c>
      <c r="AZ13">
        <f t="shared" si="5"/>
        <v>0</v>
      </c>
      <c r="BB13">
        <f t="shared" si="6"/>
        <v>0</v>
      </c>
      <c r="BC13">
        <f t="shared" si="7"/>
        <v>1.9230769230769273E-2</v>
      </c>
      <c r="BD13" t="e">
        <f t="shared" si="9"/>
        <v>#DIV/0!</v>
      </c>
      <c r="BE13" t="e">
        <f t="shared" si="8"/>
        <v>#DIV/0!</v>
      </c>
      <c r="BG13" s="36">
        <v>224400</v>
      </c>
    </row>
    <row r="14" spans="1:66" s="36" customFormat="1" x14ac:dyDescent="0.3">
      <c r="A14" s="36" t="s">
        <v>183</v>
      </c>
      <c r="B14" s="36" t="s">
        <v>232</v>
      </c>
      <c r="C14" s="36" t="s">
        <v>169</v>
      </c>
      <c r="D14" s="36" t="s">
        <v>32</v>
      </c>
      <c r="E14" s="36" t="s">
        <v>201</v>
      </c>
      <c r="F14" s="36">
        <v>480100</v>
      </c>
      <c r="G14" s="36">
        <v>255700</v>
      </c>
      <c r="H14" s="36">
        <f t="shared" si="0"/>
        <v>297698</v>
      </c>
      <c r="I14" s="36">
        <v>18166</v>
      </c>
      <c r="J14" s="36">
        <v>242293</v>
      </c>
      <c r="M14" s="36">
        <v>13546</v>
      </c>
      <c r="O14" s="36">
        <v>20285</v>
      </c>
      <c r="S14" s="36">
        <v>3408</v>
      </c>
      <c r="V14" s="36">
        <f t="shared" si="3"/>
        <v>2.8214955217662988E-2</v>
      </c>
      <c r="W14" s="36">
        <v>6.1021572197327491E-2</v>
      </c>
      <c r="X14" s="36">
        <v>0.80566838001297092</v>
      </c>
      <c r="Y14" s="36">
        <v>4.4000000000000002E-4</v>
      </c>
      <c r="Z14" s="36">
        <v>0</v>
      </c>
      <c r="AA14" s="36">
        <v>4.5502489099691637E-2</v>
      </c>
      <c r="AB14" s="36">
        <v>2.7000000000000001E-3</v>
      </c>
      <c r="AC14" s="36">
        <v>6.8139523947087319E-2</v>
      </c>
      <c r="AD14" s="36">
        <v>4.6219537596334098E-3</v>
      </c>
      <c r="AE14" s="36">
        <v>4.5823786711101852E-4</v>
      </c>
      <c r="AF14" s="36">
        <v>9.7694383099292056E-3</v>
      </c>
      <c r="AG14" s="36">
        <v>1.6784048062489347E-3</v>
      </c>
      <c r="AI14" s="36">
        <f t="shared" si="1"/>
        <v>480100</v>
      </c>
      <c r="AJ14" s="36" cm="1">
        <f t="array" ref="AJ14:AU14">W14:AH14*F14</f>
        <v>29296.456811936929</v>
      </c>
      <c r="AK14" s="36">
        <v>386801.38924422732</v>
      </c>
      <c r="AL14" s="36">
        <v>211.244</v>
      </c>
      <c r="AM14" s="36">
        <v>0</v>
      </c>
      <c r="AN14" s="36">
        <v>21845.745016761954</v>
      </c>
      <c r="AO14" s="36">
        <v>1296.27</v>
      </c>
      <c r="AP14" s="36">
        <v>32713.785446996622</v>
      </c>
      <c r="AQ14" s="36">
        <v>2219</v>
      </c>
      <c r="AR14" s="36">
        <v>220</v>
      </c>
      <c r="AS14" s="36">
        <v>4690.3073325970117</v>
      </c>
      <c r="AT14" s="36">
        <v>805.80214748011349</v>
      </c>
      <c r="AU14" s="36">
        <v>0</v>
      </c>
      <c r="AV14" s="39">
        <v>1915</v>
      </c>
      <c r="AW14" s="39">
        <v>329</v>
      </c>
      <c r="AX14" s="39">
        <v>2244</v>
      </c>
      <c r="AY14">
        <f t="shared" si="4"/>
        <v>0.85338680926916222</v>
      </c>
      <c r="AZ14">
        <f t="shared" si="5"/>
        <v>687.66092354029297</v>
      </c>
      <c r="BB14">
        <f t="shared" si="6"/>
        <v>118.14122393982052</v>
      </c>
      <c r="BC14">
        <f t="shared" si="7"/>
        <v>0.14661319073083778</v>
      </c>
      <c r="BD14">
        <f t="shared" si="9"/>
        <v>1.4323285222668047E-3</v>
      </c>
      <c r="BE14">
        <f t="shared" si="8"/>
        <v>2.4607628398212982E-4</v>
      </c>
      <c r="BF14"/>
      <c r="BG14" s="36">
        <v>255700</v>
      </c>
    </row>
    <row r="15" spans="1:66" s="36" customFormat="1" x14ac:dyDescent="0.3">
      <c r="A15" s="36" t="s">
        <v>131</v>
      </c>
      <c r="B15" s="36" t="s">
        <v>214</v>
      </c>
      <c r="C15" s="36" t="s">
        <v>121</v>
      </c>
      <c r="D15" s="36" t="s">
        <v>3</v>
      </c>
      <c r="E15" s="36" t="s">
        <v>213</v>
      </c>
      <c r="F15" s="36">
        <v>245100</v>
      </c>
      <c r="G15" s="36">
        <v>214600</v>
      </c>
      <c r="H15" s="36">
        <f t="shared" si="0"/>
        <v>308997</v>
      </c>
      <c r="I15" s="36">
        <v>41081</v>
      </c>
      <c r="J15" s="36">
        <v>226405</v>
      </c>
      <c r="M15" s="36">
        <v>22706</v>
      </c>
      <c r="N15" s="36">
        <v>2236</v>
      </c>
      <c r="O15" s="36">
        <v>16569</v>
      </c>
      <c r="V15" s="36">
        <f t="shared" si="3"/>
        <v>9.2639738882088943E-2</v>
      </c>
      <c r="W15" s="36">
        <v>0.13294951083667478</v>
      </c>
      <c r="X15" s="36">
        <v>0.73200954225415449</v>
      </c>
      <c r="Y15" s="36">
        <v>0</v>
      </c>
      <c r="Z15" s="36">
        <v>2.9999999999999997E-4</v>
      </c>
      <c r="AA15" s="36">
        <v>7.3482914073599415E-2</v>
      </c>
      <c r="AB15" s="36">
        <v>7.2363162101897428E-3</v>
      </c>
      <c r="AC15" s="36">
        <v>5.3621879824075964E-2</v>
      </c>
      <c r="AD15" s="36">
        <v>3.9983680130558957E-4</v>
      </c>
      <c r="AE15" s="36">
        <v>0</v>
      </c>
      <c r="AF15" s="36">
        <v>0</v>
      </c>
      <c r="AG15" s="36">
        <v>0</v>
      </c>
      <c r="AI15" s="36">
        <f t="shared" si="1"/>
        <v>245100</v>
      </c>
      <c r="AJ15" s="36" cm="1">
        <f t="array" ref="AJ15:AU15">W15:AH15*F15</f>
        <v>32585.925106068989</v>
      </c>
      <c r="AK15" s="36">
        <v>179415.53880649328</v>
      </c>
      <c r="AL15" s="36">
        <v>0</v>
      </c>
      <c r="AM15" s="36">
        <v>73.529999999999987</v>
      </c>
      <c r="AN15" s="36">
        <v>18010.662239439218</v>
      </c>
      <c r="AO15" s="36">
        <v>1773.621103117506</v>
      </c>
      <c r="AP15" s="36">
        <v>13142.722744881019</v>
      </c>
      <c r="AQ15" s="36">
        <v>98</v>
      </c>
      <c r="AR15" s="36">
        <v>0</v>
      </c>
      <c r="AS15" s="36">
        <v>0</v>
      </c>
      <c r="AT15" s="36">
        <v>0</v>
      </c>
      <c r="AU15" s="36">
        <v>0</v>
      </c>
      <c r="AV15" s="39">
        <v>49</v>
      </c>
      <c r="AW15" s="39">
        <v>0</v>
      </c>
      <c r="AX15" s="38">
        <v>49</v>
      </c>
      <c r="AY15">
        <f t="shared" si="4"/>
        <v>1</v>
      </c>
      <c r="AZ15">
        <f t="shared" si="5"/>
        <v>0</v>
      </c>
      <c r="BB15">
        <f t="shared" si="6"/>
        <v>0</v>
      </c>
      <c r="BC15">
        <f t="shared" si="7"/>
        <v>0</v>
      </c>
      <c r="BD15">
        <f t="shared" si="9"/>
        <v>0</v>
      </c>
      <c r="BE15">
        <f t="shared" si="8"/>
        <v>0</v>
      </c>
      <c r="BF15"/>
      <c r="BG15">
        <v>214600</v>
      </c>
    </row>
    <row r="16" spans="1:66" ht="12.6" customHeight="1" x14ac:dyDescent="0.3">
      <c r="A16" t="s">
        <v>120</v>
      </c>
      <c r="B16" t="s">
        <v>237</v>
      </c>
      <c r="C16" t="s">
        <v>121</v>
      </c>
      <c r="D16" t="s">
        <v>4</v>
      </c>
      <c r="E16" t="s">
        <v>213</v>
      </c>
      <c r="G16">
        <v>30500</v>
      </c>
      <c r="H16">
        <f t="shared" si="0"/>
        <v>0</v>
      </c>
      <c r="U16" s="36"/>
      <c r="V16" s="36" t="e">
        <f t="shared" si="3"/>
        <v>#DIV/0!</v>
      </c>
      <c r="W16">
        <v>0</v>
      </c>
      <c r="X16">
        <v>0</v>
      </c>
      <c r="Y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I16" s="36">
        <f t="shared" si="1"/>
        <v>0</v>
      </c>
      <c r="AJ16" cm="1">
        <f t="array" ref="AJ16:AU16">W16:AH16*F16</f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5</v>
      </c>
      <c r="AY16">
        <f t="shared" si="4"/>
        <v>1</v>
      </c>
      <c r="AZ16">
        <f t="shared" si="5"/>
        <v>0</v>
      </c>
      <c r="BB16">
        <f t="shared" si="6"/>
        <v>0</v>
      </c>
      <c r="BC16">
        <f t="shared" si="7"/>
        <v>0</v>
      </c>
      <c r="BD16" t="e">
        <f t="shared" si="9"/>
        <v>#DIV/0!</v>
      </c>
      <c r="BE16" t="e">
        <f t="shared" si="8"/>
        <v>#DIV/0!</v>
      </c>
      <c r="BG16" s="36">
        <v>30500</v>
      </c>
    </row>
    <row r="17" spans="1:60" s="36" customFormat="1" x14ac:dyDescent="0.3">
      <c r="A17" s="36" t="s">
        <v>156</v>
      </c>
      <c r="B17" s="36" t="s">
        <v>221</v>
      </c>
      <c r="C17" s="36" t="s">
        <v>15</v>
      </c>
      <c r="D17" s="36" t="s">
        <v>16</v>
      </c>
      <c r="E17" s="36" t="s">
        <v>220</v>
      </c>
      <c r="F17" s="36">
        <v>553800</v>
      </c>
      <c r="G17" s="36">
        <v>553800</v>
      </c>
      <c r="H17" s="36">
        <f t="shared" si="0"/>
        <v>162802</v>
      </c>
      <c r="I17" s="36">
        <v>9946</v>
      </c>
      <c r="J17" s="36">
        <v>41033</v>
      </c>
      <c r="K17" s="36">
        <v>28631</v>
      </c>
      <c r="M17" s="36">
        <v>59837</v>
      </c>
      <c r="N17" s="36">
        <v>12385</v>
      </c>
      <c r="O17" s="36">
        <v>7488</v>
      </c>
      <c r="S17" s="36">
        <v>3482</v>
      </c>
      <c r="V17" s="36">
        <f t="shared" si="3"/>
        <v>0.10804803178042614</v>
      </c>
      <c r="W17" s="36">
        <v>6.1092615569833295E-2</v>
      </c>
      <c r="X17" s="36">
        <v>0.25204235820198767</v>
      </c>
      <c r="Y17" s="36">
        <v>0.17586393287551749</v>
      </c>
      <c r="Z17" s="36">
        <v>9.8999999999999994E-5</v>
      </c>
      <c r="AA17" s="36">
        <v>0.35544562475890956</v>
      </c>
      <c r="AB17" s="36">
        <v>7.6074004004864804E-2</v>
      </c>
      <c r="AC17" s="36">
        <v>4.5994520951831055E-2</v>
      </c>
      <c r="AD17" s="36">
        <v>8.0000000000000002E-3</v>
      </c>
      <c r="AE17" s="36">
        <v>4.0000000000000001E-3</v>
      </c>
      <c r="AF17" s="36">
        <v>3.947022702582249E-3</v>
      </c>
      <c r="AG17" s="36">
        <v>1.7440920934473806E-2</v>
      </c>
      <c r="AI17" s="36">
        <f t="shared" si="1"/>
        <v>553800</v>
      </c>
      <c r="AJ17" s="36" cm="1">
        <f t="array" ref="AJ17:AU17">W17:AH17*F17</f>
        <v>33833.090502573679</v>
      </c>
      <c r="AK17" s="36">
        <v>139581.05797226078</v>
      </c>
      <c r="AL17" s="36">
        <v>97393.446026461592</v>
      </c>
      <c r="AM17" s="36">
        <v>54.8262</v>
      </c>
      <c r="AN17" s="36">
        <v>196845.78699148411</v>
      </c>
      <c r="AO17" s="36">
        <v>42129.783417894127</v>
      </c>
      <c r="AP17" s="36">
        <v>25471.765703124038</v>
      </c>
      <c r="AQ17" s="36">
        <v>4430.4000000000005</v>
      </c>
      <c r="AR17" s="36">
        <v>2215.2000000000003</v>
      </c>
      <c r="AS17" s="36">
        <v>2185.8611726900494</v>
      </c>
      <c r="AT17" s="36">
        <v>9658.7820135115944</v>
      </c>
      <c r="AU17" s="36">
        <v>0</v>
      </c>
      <c r="AV17" s="39">
        <v>1717</v>
      </c>
      <c r="AW17" s="39">
        <v>7587</v>
      </c>
      <c r="AX17" s="39">
        <v>9304</v>
      </c>
      <c r="AY17">
        <f t="shared" si="4"/>
        <v>0.18454428202923473</v>
      </c>
      <c r="AZ17">
        <f t="shared" si="5"/>
        <v>1782.4729919603833</v>
      </c>
      <c r="BB17">
        <f t="shared" si="6"/>
        <v>7876.3090215512111</v>
      </c>
      <c r="BC17">
        <f t="shared" si="7"/>
        <v>0.81545571797076533</v>
      </c>
      <c r="BD17">
        <f t="shared" si="9"/>
        <v>3.2186222317811181E-3</v>
      </c>
      <c r="BE17">
        <f t="shared" si="8"/>
        <v>1.4222298702692688E-2</v>
      </c>
      <c r="BF17"/>
      <c r="BG17" s="36">
        <v>553800</v>
      </c>
    </row>
    <row r="18" spans="1:60" s="36" customFormat="1" x14ac:dyDescent="0.3">
      <c r="A18" s="36" t="s">
        <v>137</v>
      </c>
      <c r="B18" s="36" t="s">
        <v>210</v>
      </c>
      <c r="C18" s="36" t="s">
        <v>125</v>
      </c>
      <c r="D18" s="36" t="s">
        <v>23</v>
      </c>
      <c r="E18" s="36" t="s">
        <v>205</v>
      </c>
      <c r="F18" s="36">
        <v>253300</v>
      </c>
      <c r="G18" s="36">
        <v>58900</v>
      </c>
      <c r="H18" s="36">
        <f t="shared" si="0"/>
        <v>246644</v>
      </c>
      <c r="I18" s="36">
        <v>22061</v>
      </c>
      <c r="J18" s="36">
        <v>2304</v>
      </c>
      <c r="L18" s="36">
        <v>600</v>
      </c>
      <c r="M18" s="36">
        <v>167966</v>
      </c>
      <c r="N18" s="36">
        <v>50951</v>
      </c>
      <c r="O18" s="36">
        <v>1817</v>
      </c>
      <c r="S18" s="36">
        <v>945</v>
      </c>
      <c r="V18" s="36">
        <f t="shared" si="3"/>
        <v>0.66311093564942758</v>
      </c>
      <c r="W18" s="36">
        <f>I18/$H$18</f>
        <v>8.9444705729715704E-2</v>
      </c>
      <c r="X18" s="36">
        <f>J18/$H$18</f>
        <v>9.3413989393619952E-3</v>
      </c>
      <c r="Y18" s="36">
        <f>K18/$H$18</f>
        <v>0</v>
      </c>
      <c r="Z18" s="36">
        <f>L18/$H$18</f>
        <v>2.4326559737921864E-3</v>
      </c>
      <c r="AA18" s="36">
        <v>0.67860550632560024</v>
      </c>
      <c r="AB18" s="36">
        <f>N18/$H$18</f>
        <v>0.20657709086780948</v>
      </c>
      <c r="AC18" s="36">
        <f>O18/$H$18</f>
        <v>7.3668931739673373E-3</v>
      </c>
      <c r="AD18" s="36">
        <v>1.5001973943939992E-3</v>
      </c>
      <c r="AE18" s="36">
        <v>9.0011843663639955E-4</v>
      </c>
      <c r="AF18" s="36">
        <v>2.2698063736508847E-4</v>
      </c>
      <c r="AG18" s="36">
        <v>3.6044525213576048E-3</v>
      </c>
      <c r="AI18" s="36">
        <f t="shared" si="1"/>
        <v>253300</v>
      </c>
      <c r="AJ18" s="36" cm="1">
        <f t="array" ref="AJ18:AU18">W18:AH18*F18</f>
        <v>22656.343961336988</v>
      </c>
      <c r="AK18" s="36">
        <v>2366.1763513403935</v>
      </c>
      <c r="AL18" s="36">
        <v>0</v>
      </c>
      <c r="AM18" s="36">
        <v>616.19175816156076</v>
      </c>
      <c r="AN18" s="36">
        <v>171890.77475227453</v>
      </c>
      <c r="AO18" s="36">
        <v>52325.977116816139</v>
      </c>
      <c r="AP18" s="36">
        <v>1866.0340409659266</v>
      </c>
      <c r="AQ18" s="36">
        <v>380</v>
      </c>
      <c r="AR18" s="36">
        <v>228</v>
      </c>
      <c r="AS18" s="36">
        <v>57.49419544457691</v>
      </c>
      <c r="AT18" s="36">
        <v>913.0078236598813</v>
      </c>
      <c r="AU18" s="36">
        <v>0</v>
      </c>
      <c r="AV18" s="39">
        <v>75</v>
      </c>
      <c r="AW18" s="39">
        <v>1191</v>
      </c>
      <c r="AX18" s="39">
        <v>1266</v>
      </c>
      <c r="AY18">
        <f t="shared" si="4"/>
        <v>5.9241706161137442E-2</v>
      </c>
      <c r="AZ18">
        <f t="shared" si="5"/>
        <v>54.088141212078277</v>
      </c>
      <c r="BB18">
        <f t="shared" si="6"/>
        <v>858.91968244780298</v>
      </c>
      <c r="BC18">
        <f t="shared" si="7"/>
        <v>0.94075829383886256</v>
      </c>
      <c r="BD18">
        <f t="shared" si="9"/>
        <v>2.1353391714203819E-4</v>
      </c>
      <c r="BE18">
        <f t="shared" si="8"/>
        <v>3.3909186042155666E-3</v>
      </c>
      <c r="BF18"/>
      <c r="BG18">
        <v>58900</v>
      </c>
    </row>
    <row r="19" spans="1:60" x14ac:dyDescent="0.3">
      <c r="A19" t="s">
        <v>140</v>
      </c>
      <c r="B19" t="s">
        <v>238</v>
      </c>
      <c r="C19" t="s">
        <v>125</v>
      </c>
      <c r="D19" t="s">
        <v>24</v>
      </c>
      <c r="E19" t="s">
        <v>205</v>
      </c>
      <c r="G19">
        <v>22100</v>
      </c>
      <c r="H19">
        <f t="shared" si="0"/>
        <v>0</v>
      </c>
      <c r="U19" s="36"/>
      <c r="V19" s="36" t="e">
        <f t="shared" si="3"/>
        <v>#DIV/0!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I19" s="36">
        <f t="shared" si="1"/>
        <v>0</v>
      </c>
      <c r="AJ19" cm="1">
        <f t="array" ref="AJ19:AU19">W19:AH19*F19</f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4</v>
      </c>
      <c r="AW19">
        <v>68</v>
      </c>
      <c r="AX19">
        <v>72</v>
      </c>
      <c r="AY19">
        <f t="shared" si="4"/>
        <v>5.5555555555555552E-2</v>
      </c>
      <c r="AZ19">
        <f t="shared" si="5"/>
        <v>0</v>
      </c>
      <c r="BB19">
        <f t="shared" si="6"/>
        <v>0</v>
      </c>
      <c r="BC19">
        <f t="shared" si="7"/>
        <v>0.94444444444444442</v>
      </c>
      <c r="BD19" t="e">
        <f t="shared" si="9"/>
        <v>#DIV/0!</v>
      </c>
      <c r="BE19" t="e">
        <f t="shared" si="8"/>
        <v>#DIV/0!</v>
      </c>
      <c r="BG19">
        <v>22100</v>
      </c>
    </row>
    <row r="20" spans="1:60" x14ac:dyDescent="0.3">
      <c r="A20" t="s">
        <v>134</v>
      </c>
      <c r="B20" t="s">
        <v>239</v>
      </c>
      <c r="C20" t="s">
        <v>125</v>
      </c>
      <c r="D20" t="s">
        <v>25</v>
      </c>
      <c r="E20" t="s">
        <v>205</v>
      </c>
      <c r="G20">
        <v>84600</v>
      </c>
      <c r="H20">
        <f t="shared" si="0"/>
        <v>0</v>
      </c>
      <c r="U20" s="36"/>
      <c r="V20" s="36" t="e">
        <f t="shared" si="3"/>
        <v>#DIV/0!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I20" s="36">
        <f t="shared" si="1"/>
        <v>0</v>
      </c>
      <c r="AJ20" cm="1">
        <f t="array" ref="AJ20:AU20">W20:AH20*F20</f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39</v>
      </c>
      <c r="AW20">
        <v>617</v>
      </c>
      <c r="AX20">
        <v>656</v>
      </c>
      <c r="AY20">
        <f t="shared" si="4"/>
        <v>5.9451219512195119E-2</v>
      </c>
      <c r="AZ20">
        <f t="shared" si="5"/>
        <v>0</v>
      </c>
      <c r="BB20">
        <f t="shared" si="6"/>
        <v>0</v>
      </c>
      <c r="BC20">
        <f t="shared" si="7"/>
        <v>0.94054878048780488</v>
      </c>
      <c r="BD20" t="e">
        <f t="shared" si="9"/>
        <v>#DIV/0!</v>
      </c>
      <c r="BE20" t="e">
        <f t="shared" si="8"/>
        <v>#DIV/0!</v>
      </c>
      <c r="BG20">
        <v>84600</v>
      </c>
    </row>
    <row r="21" spans="1:60" x14ac:dyDescent="0.3">
      <c r="A21" t="s">
        <v>129</v>
      </c>
      <c r="B21" t="s">
        <v>240</v>
      </c>
      <c r="C21" t="s">
        <v>125</v>
      </c>
      <c r="D21" t="s">
        <v>28</v>
      </c>
      <c r="E21" t="s">
        <v>205</v>
      </c>
      <c r="G21">
        <v>87700</v>
      </c>
      <c r="H21">
        <f t="shared" si="0"/>
        <v>0</v>
      </c>
      <c r="U21" s="36"/>
      <c r="V21" s="36" t="e">
        <f t="shared" si="3"/>
        <v>#DIV/0!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I21" s="36">
        <f t="shared" si="1"/>
        <v>0</v>
      </c>
      <c r="AJ21" cm="1">
        <f t="array" ref="AJ21:AU21">W21:AH21*F21</f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19</v>
      </c>
      <c r="AW21">
        <v>302</v>
      </c>
      <c r="AX21">
        <v>321</v>
      </c>
      <c r="AY21">
        <f t="shared" si="4"/>
        <v>5.9190031152647975E-2</v>
      </c>
      <c r="AZ21">
        <f t="shared" si="5"/>
        <v>0</v>
      </c>
      <c r="BB21">
        <f t="shared" si="6"/>
        <v>0</v>
      </c>
      <c r="BC21">
        <f t="shared" si="7"/>
        <v>0.94080996884735202</v>
      </c>
      <c r="BD21" t="e">
        <f t="shared" si="9"/>
        <v>#DIV/0!</v>
      </c>
      <c r="BE21" t="e">
        <f t="shared" si="8"/>
        <v>#DIV/0!</v>
      </c>
      <c r="BG21" s="36">
        <v>87700</v>
      </c>
    </row>
    <row r="22" spans="1:60" s="36" customFormat="1" x14ac:dyDescent="0.3">
      <c r="A22" s="36" t="s">
        <v>186</v>
      </c>
      <c r="B22" s="36" t="s">
        <v>233</v>
      </c>
      <c r="C22" s="36" t="s">
        <v>173</v>
      </c>
      <c r="D22" s="36" t="s">
        <v>19</v>
      </c>
      <c r="E22" s="36" t="s">
        <v>227</v>
      </c>
      <c r="F22" s="36">
        <v>379100</v>
      </c>
      <c r="G22" s="36">
        <v>96200</v>
      </c>
      <c r="H22" s="36">
        <f t="shared" si="0"/>
        <v>450694</v>
      </c>
      <c r="I22" s="36">
        <v>28604</v>
      </c>
      <c r="J22" s="36">
        <v>361003</v>
      </c>
      <c r="K22" s="36">
        <v>16457</v>
      </c>
      <c r="M22" s="36">
        <v>23739</v>
      </c>
      <c r="N22" s="36">
        <v>11035</v>
      </c>
      <c r="O22" s="36">
        <v>8111</v>
      </c>
      <c r="S22" s="36">
        <v>1745</v>
      </c>
      <c r="V22" s="36">
        <f t="shared" si="3"/>
        <v>6.2619361646003693E-2</v>
      </c>
      <c r="W22" s="36">
        <v>6.3466564897691119E-2</v>
      </c>
      <c r="X22" s="36">
        <v>0.79649872255335918</v>
      </c>
      <c r="Y22" s="36">
        <v>3.651479717946101E-2</v>
      </c>
      <c r="Z22" s="36">
        <v>0</v>
      </c>
      <c r="AA22" s="36">
        <v>5.2672101248297069E-2</v>
      </c>
      <c r="AB22" s="36">
        <v>2.4484461741225753E-2</v>
      </c>
      <c r="AC22" s="36">
        <v>1.7996689549894165E-2</v>
      </c>
      <c r="AD22" s="36">
        <v>4.3656027433394886E-3</v>
      </c>
      <c r="AE22" s="36">
        <v>1.2925349512002109E-4</v>
      </c>
      <c r="AF22" s="36">
        <v>3.3114647331274898E-3</v>
      </c>
      <c r="AG22" s="36">
        <v>5.6034185848455765E-4</v>
      </c>
      <c r="AI22" s="36">
        <f t="shared" si="1"/>
        <v>379099.99999999994</v>
      </c>
      <c r="AJ22" s="36" cm="1">
        <f t="array" ref="AJ22:AU22">W22:AH22*F22</f>
        <v>24060.174752714702</v>
      </c>
      <c r="AK22" s="36">
        <v>301952.66571997845</v>
      </c>
      <c r="AL22" s="36">
        <v>13842.759610733669</v>
      </c>
      <c r="AM22" s="36">
        <v>0</v>
      </c>
      <c r="AN22" s="36">
        <v>19967.993583229418</v>
      </c>
      <c r="AO22" s="36">
        <v>9282.0594460986831</v>
      </c>
      <c r="AP22" s="36">
        <v>6822.5450083648775</v>
      </c>
      <c r="AQ22" s="36">
        <v>1655.0000000000002</v>
      </c>
      <c r="AR22" s="36">
        <v>48.999999999999993</v>
      </c>
      <c r="AS22" s="36">
        <v>1255.3762803286313</v>
      </c>
      <c r="AT22" s="36">
        <v>212.4255985514958</v>
      </c>
      <c r="AU22" s="36">
        <v>0</v>
      </c>
      <c r="AV22" s="39">
        <v>851</v>
      </c>
      <c r="AW22" s="39">
        <v>144</v>
      </c>
      <c r="AX22" s="39">
        <v>995</v>
      </c>
      <c r="AY22">
        <f t="shared" si="4"/>
        <v>0.85527638190954769</v>
      </c>
      <c r="AZ22">
        <f t="shared" si="5"/>
        <v>181.68259735409339</v>
      </c>
      <c r="BB22">
        <f t="shared" si="6"/>
        <v>30.743001197402407</v>
      </c>
      <c r="BC22">
        <f t="shared" si="7"/>
        <v>0.14472361809045231</v>
      </c>
      <c r="BD22">
        <f t="shared" si="9"/>
        <v>4.7924715735714427E-4</v>
      </c>
      <c r="BE22">
        <f t="shared" si="8"/>
        <v>8.1094701127413363E-5</v>
      </c>
      <c r="BF22"/>
      <c r="BG22">
        <v>96200</v>
      </c>
    </row>
    <row r="23" spans="1:60" x14ac:dyDescent="0.3">
      <c r="A23" t="s">
        <v>177</v>
      </c>
      <c r="B23" t="s">
        <v>241</v>
      </c>
      <c r="C23" t="s">
        <v>173</v>
      </c>
      <c r="D23" t="s">
        <v>20</v>
      </c>
      <c r="E23" t="s">
        <v>227</v>
      </c>
      <c r="G23">
        <v>28700</v>
      </c>
      <c r="H23">
        <f t="shared" si="0"/>
        <v>0</v>
      </c>
      <c r="U23" s="36"/>
      <c r="V23" s="36" t="e">
        <f t="shared" si="3"/>
        <v>#DIV/0!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I23" s="36">
        <f t="shared" si="1"/>
        <v>0</v>
      </c>
      <c r="AJ23" cm="1">
        <f t="array" ref="AJ23:AU23">W23:AH23*F23</f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246</v>
      </c>
      <c r="AW23">
        <v>43</v>
      </c>
      <c r="AX23">
        <v>289</v>
      </c>
      <c r="AY23">
        <f t="shared" si="4"/>
        <v>0.85121107266435991</v>
      </c>
      <c r="AZ23">
        <f t="shared" si="5"/>
        <v>0</v>
      </c>
      <c r="BB23">
        <f t="shared" si="6"/>
        <v>0</v>
      </c>
      <c r="BC23">
        <f t="shared" si="7"/>
        <v>0.14878892733564009</v>
      </c>
      <c r="BD23" t="e">
        <f t="shared" si="9"/>
        <v>#DIV/0!</v>
      </c>
      <c r="BE23" t="e">
        <f t="shared" si="8"/>
        <v>#DIV/0!</v>
      </c>
      <c r="BG23">
        <v>28700</v>
      </c>
    </row>
    <row r="24" spans="1:60" x14ac:dyDescent="0.3">
      <c r="A24" t="s">
        <v>180</v>
      </c>
      <c r="B24" t="s">
        <v>242</v>
      </c>
      <c r="C24" t="s">
        <v>173</v>
      </c>
      <c r="D24" t="s">
        <v>21</v>
      </c>
      <c r="E24" t="s">
        <v>227</v>
      </c>
      <c r="G24">
        <v>74000</v>
      </c>
      <c r="H24">
        <f t="shared" si="0"/>
        <v>0</v>
      </c>
      <c r="U24" s="36"/>
      <c r="V24" s="36" t="e">
        <f t="shared" si="3"/>
        <v>#DIV/0!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I24" s="36">
        <f t="shared" si="1"/>
        <v>0</v>
      </c>
      <c r="AJ24" cm="1">
        <f t="array" ref="AJ24:AU24">W24:AH24*F24</f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576</v>
      </c>
      <c r="AW24">
        <v>101</v>
      </c>
      <c r="AX24">
        <v>677</v>
      </c>
      <c r="AY24">
        <f t="shared" si="4"/>
        <v>0.85081240768094535</v>
      </c>
      <c r="AZ24">
        <f t="shared" si="5"/>
        <v>0</v>
      </c>
      <c r="BB24">
        <f t="shared" si="6"/>
        <v>0</v>
      </c>
      <c r="BC24">
        <f t="shared" si="7"/>
        <v>0.14918759231905465</v>
      </c>
      <c r="BD24" t="e">
        <f t="shared" si="9"/>
        <v>#DIV/0!</v>
      </c>
      <c r="BE24" t="e">
        <f t="shared" si="8"/>
        <v>#DIV/0!</v>
      </c>
      <c r="BG24">
        <v>74000</v>
      </c>
    </row>
    <row r="25" spans="1:60" x14ac:dyDescent="0.3">
      <c r="A25" t="s">
        <v>175</v>
      </c>
      <c r="B25" t="s">
        <v>243</v>
      </c>
      <c r="C25" t="s">
        <v>173</v>
      </c>
      <c r="D25" t="s">
        <v>22</v>
      </c>
      <c r="E25" t="s">
        <v>227</v>
      </c>
      <c r="G25">
        <v>180200</v>
      </c>
      <c r="H25">
        <f t="shared" si="0"/>
        <v>0</v>
      </c>
      <c r="U25" s="36"/>
      <c r="V25" s="36" t="e">
        <f t="shared" si="3"/>
        <v>#DIV/0!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I25" s="36">
        <f t="shared" si="1"/>
        <v>0</v>
      </c>
      <c r="AJ25" cm="1">
        <f t="array" ref="AJ25:AU25">W25:AH25*F25</f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e">
        <f t="shared" si="4"/>
        <v>#DIV/0!</v>
      </c>
      <c r="AZ25" t="e">
        <f t="shared" si="5"/>
        <v>#DIV/0!</v>
      </c>
      <c r="BB25" t="e">
        <f t="shared" si="6"/>
        <v>#DIV/0!</v>
      </c>
      <c r="BC25" t="e">
        <f t="shared" si="7"/>
        <v>#DIV/0!</v>
      </c>
      <c r="BD25" t="e">
        <f t="shared" si="9"/>
        <v>#DIV/0!</v>
      </c>
      <c r="BE25" t="e">
        <f t="shared" si="8"/>
        <v>#DIV/0!</v>
      </c>
      <c r="BG25" s="36">
        <v>180200</v>
      </c>
    </row>
    <row r="26" spans="1:60" s="36" customFormat="1" x14ac:dyDescent="0.3">
      <c r="A26" s="36" t="s">
        <v>158</v>
      </c>
      <c r="B26" s="36" t="s">
        <v>229</v>
      </c>
      <c r="C26" s="36" t="s">
        <v>15</v>
      </c>
      <c r="D26" s="36" t="s">
        <v>14</v>
      </c>
      <c r="E26" s="36" t="s">
        <v>228</v>
      </c>
      <c r="F26" s="36">
        <v>577800</v>
      </c>
      <c r="G26" s="36">
        <v>300800</v>
      </c>
      <c r="H26" s="36">
        <f t="shared" si="0"/>
        <v>321415</v>
      </c>
      <c r="I26" s="36">
        <v>60000</v>
      </c>
      <c r="J26" s="36">
        <v>8444</v>
      </c>
      <c r="K26" s="36">
        <v>131000</v>
      </c>
      <c r="M26" s="36">
        <v>87000</v>
      </c>
      <c r="N26" s="36">
        <v>16000</v>
      </c>
      <c r="O26" s="36">
        <v>16000</v>
      </c>
      <c r="S26" s="36">
        <v>2971</v>
      </c>
      <c r="V26" s="36">
        <f t="shared" si="3"/>
        <v>0.1505711318795431</v>
      </c>
      <c r="W26" s="36">
        <v>0.18667454848093587</v>
      </c>
      <c r="X26" s="36">
        <v>2.6271331456217042E-2</v>
      </c>
      <c r="Y26" s="36">
        <v>0.40307276418337662</v>
      </c>
      <c r="Z26" s="36">
        <v>0</v>
      </c>
      <c r="AA26" s="36">
        <v>0.27067809529735698</v>
      </c>
      <c r="AB26" s="36">
        <v>4.9779879594916226E-2</v>
      </c>
      <c r="AC26" s="36">
        <v>4.9779879594916226E-2</v>
      </c>
      <c r="AD26" s="36">
        <v>4.0000000000000001E-3</v>
      </c>
      <c r="AE26" s="36">
        <v>5.0000000000000001E-4</v>
      </c>
      <c r="AF26" s="36">
        <v>6.4244698193677849E-3</v>
      </c>
      <c r="AG26" s="36">
        <v>2.819031572913223E-3</v>
      </c>
      <c r="AI26" s="36">
        <f t="shared" si="1"/>
        <v>577800</v>
      </c>
      <c r="AJ26" s="36" cm="1">
        <f t="array" ref="AJ26:AU26">W26:AH26*F26</f>
        <v>107860.55411228475</v>
      </c>
      <c r="AK26" s="36">
        <v>15179.575315402206</v>
      </c>
      <c r="AL26" s="36">
        <v>232895.443145155</v>
      </c>
      <c r="AM26" s="36">
        <v>0</v>
      </c>
      <c r="AN26" s="36">
        <v>156397.80346281285</v>
      </c>
      <c r="AO26" s="36">
        <v>28762.814429942595</v>
      </c>
      <c r="AP26" s="36">
        <v>28762.814429942595</v>
      </c>
      <c r="AQ26" s="36">
        <v>2311.2000000000003</v>
      </c>
      <c r="AR26" s="36">
        <v>288.90000000000003</v>
      </c>
      <c r="AS26" s="36">
        <v>3712.058661630706</v>
      </c>
      <c r="AT26" s="36">
        <v>1628.8364428292602</v>
      </c>
      <c r="AU26" s="36">
        <v>0</v>
      </c>
      <c r="AV26" s="39">
        <v>2990</v>
      </c>
      <c r="AW26" s="39">
        <v>1312</v>
      </c>
      <c r="AX26" s="39">
        <v>4302</v>
      </c>
      <c r="AY26">
        <f t="shared" si="4"/>
        <v>0.69502556950255689</v>
      </c>
      <c r="AZ26">
        <f t="shared" si="5"/>
        <v>1132.0829763039255</v>
      </c>
      <c r="BB26">
        <f t="shared" si="6"/>
        <v>496.75346652533472</v>
      </c>
      <c r="BC26">
        <f t="shared" si="7"/>
        <v>0.30497443049744311</v>
      </c>
      <c r="BD26">
        <f t="shared" si="9"/>
        <v>1.9592990244097015E-3</v>
      </c>
      <c r="BE26">
        <f t="shared" si="8"/>
        <v>8.5973254850352145E-4</v>
      </c>
      <c r="BF26"/>
      <c r="BG26">
        <v>300800</v>
      </c>
      <c r="BH26" s="36" t="e" cm="1">
        <f t="array" ref="BH26:BH27">_xlfn.ANCHORARRAY(BG25)/G26:G27</f>
        <v>#REF!</v>
      </c>
    </row>
    <row r="27" spans="1:60" x14ac:dyDescent="0.3">
      <c r="A27" t="s">
        <v>163</v>
      </c>
      <c r="B27" t="s">
        <v>229</v>
      </c>
      <c r="C27" t="s">
        <v>15</v>
      </c>
      <c r="D27" t="s">
        <v>17</v>
      </c>
      <c r="E27" t="s">
        <v>228</v>
      </c>
      <c r="G27">
        <v>277000</v>
      </c>
      <c r="H27">
        <f t="shared" si="0"/>
        <v>0</v>
      </c>
      <c r="U27" s="36"/>
      <c r="V27" s="36" t="e">
        <f t="shared" si="3"/>
        <v>#DIV/0!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I27" s="36">
        <f t="shared" si="1"/>
        <v>0</v>
      </c>
      <c r="AJ27" cm="1">
        <f t="array" ref="AJ27:AU27">W27:AH27*F27</f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914</v>
      </c>
      <c r="AW27">
        <v>139</v>
      </c>
      <c r="AX27">
        <v>1053</v>
      </c>
      <c r="AY27">
        <f t="shared" si="4"/>
        <v>0.8679962013295347</v>
      </c>
      <c r="AZ27">
        <f t="shared" si="5"/>
        <v>0</v>
      </c>
      <c r="BB27">
        <f t="shared" si="6"/>
        <v>0</v>
      </c>
      <c r="BC27">
        <f t="shared" si="7"/>
        <v>0.1320037986704653</v>
      </c>
      <c r="BD27" t="e">
        <f t="shared" si="9"/>
        <v>#DIV/0!</v>
      </c>
      <c r="BE27" t="e">
        <f t="shared" si="8"/>
        <v>#DIV/0!</v>
      </c>
      <c r="BG27" s="36">
        <v>277000</v>
      </c>
      <c r="BH27" t="e">
        <v>#REF!</v>
      </c>
    </row>
    <row r="28" spans="1:60" s="36" customFormat="1" x14ac:dyDescent="0.3">
      <c r="B28" s="36" t="s">
        <v>223</v>
      </c>
      <c r="C28" s="36" t="s">
        <v>6</v>
      </c>
      <c r="D28" s="36" t="s">
        <v>66</v>
      </c>
      <c r="E28" s="36" t="s">
        <v>66</v>
      </c>
      <c r="F28" s="36">
        <v>120200</v>
      </c>
      <c r="G28" s="36">
        <v>120200</v>
      </c>
      <c r="H28" s="36">
        <f t="shared" si="0"/>
        <v>133802</v>
      </c>
      <c r="I28" s="36">
        <v>13060</v>
      </c>
      <c r="J28" s="36">
        <v>2663</v>
      </c>
      <c r="K28" s="36">
        <v>292</v>
      </c>
      <c r="L28" s="36">
        <v>200</v>
      </c>
      <c r="M28" s="36">
        <v>17647</v>
      </c>
      <c r="N28" s="36">
        <v>25695</v>
      </c>
      <c r="O28" s="36">
        <v>13108</v>
      </c>
      <c r="P28" s="36">
        <v>37905</v>
      </c>
      <c r="Q28" s="36">
        <v>7459</v>
      </c>
      <c r="S28" s="36">
        <v>15773</v>
      </c>
      <c r="V28" s="36">
        <f t="shared" si="3"/>
        <v>0.1468136439267887</v>
      </c>
      <c r="W28" s="36">
        <v>9.796714425024379E-2</v>
      </c>
      <c r="X28" s="36">
        <v>1.9975995799264873E-2</v>
      </c>
      <c r="Y28" s="36">
        <v>2.8E-3</v>
      </c>
      <c r="Z28" s="36">
        <v>9.9799999999999997E-4</v>
      </c>
      <c r="AA28" s="36">
        <v>0.13137766574150475</v>
      </c>
      <c r="AB28" s="36">
        <v>0.18994623059035332</v>
      </c>
      <c r="AC28" s="36">
        <v>9.8327207261270727E-2</v>
      </c>
      <c r="AD28" s="36">
        <v>0.28433725902032858</v>
      </c>
      <c r="AE28" s="36">
        <v>5.5952291651038932E-2</v>
      </c>
      <c r="AF28" s="36">
        <v>2.8678651378204384E-2</v>
      </c>
      <c r="AG28" s="36">
        <v>8.9639554307790664E-2</v>
      </c>
      <c r="AI28" s="36">
        <f t="shared" si="1"/>
        <v>120199.99999999999</v>
      </c>
      <c r="AJ28" s="36" cm="1">
        <f t="array" ref="AJ28:AU28">W28:AH28*F28</f>
        <v>11775.650738879303</v>
      </c>
      <c r="AK28" s="36">
        <v>2401.1146950716379</v>
      </c>
      <c r="AL28" s="36">
        <v>336.56</v>
      </c>
      <c r="AM28" s="36">
        <v>119.95959999999999</v>
      </c>
      <c r="AN28" s="36">
        <v>15791.59542212887</v>
      </c>
      <c r="AO28" s="36">
        <v>22831.536916960467</v>
      </c>
      <c r="AP28" s="36">
        <v>11818.930312804741</v>
      </c>
      <c r="AQ28" s="36">
        <v>34177.338534243492</v>
      </c>
      <c r="AR28" s="36">
        <v>6725.46545645488</v>
      </c>
      <c r="AS28" s="36">
        <v>3447.1738956601671</v>
      </c>
      <c r="AT28" s="36">
        <v>10774.674427796437</v>
      </c>
      <c r="AU28" s="36">
        <v>0</v>
      </c>
      <c r="AV28" s="39">
        <v>3438</v>
      </c>
      <c r="AW28" s="39">
        <v>10746</v>
      </c>
      <c r="AX28" s="39">
        <v>14184</v>
      </c>
      <c r="AY28">
        <f t="shared" si="4"/>
        <v>0.24238578680203046</v>
      </c>
      <c r="AZ28">
        <f t="shared" si="5"/>
        <v>2611.6279387171567</v>
      </c>
      <c r="BB28">
        <f t="shared" si="6"/>
        <v>8163.0464890792809</v>
      </c>
      <c r="BC28">
        <f t="shared" si="7"/>
        <v>0.75761421319796951</v>
      </c>
      <c r="BD28">
        <f t="shared" si="9"/>
        <v>2.1727353899477178E-2</v>
      </c>
      <c r="BE28">
        <f t="shared" si="8"/>
        <v>6.7912200408313486E-2</v>
      </c>
      <c r="BF28"/>
      <c r="BG28" s="36">
        <v>120200</v>
      </c>
    </row>
    <row r="29" spans="1:60" s="36" customFormat="1" x14ac:dyDescent="0.3">
      <c r="A29" s="36" t="s">
        <v>154</v>
      </c>
      <c r="B29" s="36" t="s">
        <v>225</v>
      </c>
      <c r="C29" s="36" t="s">
        <v>6</v>
      </c>
      <c r="D29" s="36" t="s">
        <v>67</v>
      </c>
      <c r="E29" s="36" t="s">
        <v>67</v>
      </c>
      <c r="F29" s="36">
        <v>221500</v>
      </c>
      <c r="G29" s="36">
        <v>221500</v>
      </c>
      <c r="H29" s="36">
        <f t="shared" si="0"/>
        <v>342722</v>
      </c>
      <c r="I29" s="36">
        <v>215781</v>
      </c>
      <c r="J29" s="36">
        <v>71537</v>
      </c>
      <c r="K29" s="36">
        <v>5397</v>
      </c>
      <c r="L29" s="36">
        <v>113</v>
      </c>
      <c r="M29" s="36">
        <v>6452</v>
      </c>
      <c r="N29" s="36">
        <v>17379</v>
      </c>
      <c r="O29" s="36">
        <v>5663</v>
      </c>
      <c r="P29" s="36">
        <v>5744</v>
      </c>
      <c r="R29" s="36">
        <v>2810</v>
      </c>
      <c r="S29" s="36">
        <v>11846</v>
      </c>
      <c r="V29" s="36">
        <f t="shared" si="3"/>
        <v>2.9128668171557563E-2</v>
      </c>
      <c r="W29" s="36">
        <v>0.62944277910716806</v>
      </c>
      <c r="X29" s="36">
        <v>0.20149406237671943</v>
      </c>
      <c r="Y29" s="36">
        <v>1.5540908266311907E-2</v>
      </c>
      <c r="Z29" s="36">
        <v>3.2538866668394397E-4</v>
      </c>
      <c r="AA29" s="36">
        <v>1.8578829003936339E-2</v>
      </c>
      <c r="AB29" s="36">
        <v>5.0043625117701433E-2</v>
      </c>
      <c r="AC29" s="36">
        <v>1.6306867428594465E-2</v>
      </c>
      <c r="AD29" s="36">
        <v>1.6540110632146672E-2</v>
      </c>
      <c r="AE29" s="36">
        <v>4.4999999999999997E-3</v>
      </c>
      <c r="AF29" s="36">
        <v>7.4923399013045993E-3</v>
      </c>
      <c r="AG29" s="36">
        <v>3.9735089499433135E-2</v>
      </c>
      <c r="AI29" s="36">
        <f>SUM(AJ29:AT29)</f>
        <v>221500</v>
      </c>
      <c r="AJ29" s="36" cm="1">
        <f t="array" ref="AJ29:AU29">W29:AH29*F29</f>
        <v>139421.57557223772</v>
      </c>
      <c r="AK29" s="36">
        <v>44630.934816443354</v>
      </c>
      <c r="AL29" s="36">
        <v>3442.3111809880875</v>
      </c>
      <c r="AM29" s="36">
        <v>72.07358967049359</v>
      </c>
      <c r="AN29" s="36">
        <v>4115.210624371899</v>
      </c>
      <c r="AO29" s="36">
        <v>11084.662963570867</v>
      </c>
      <c r="AP29" s="36">
        <v>3611.9711354336741</v>
      </c>
      <c r="AQ29" s="36">
        <v>3663.6345050204877</v>
      </c>
      <c r="AR29" s="36">
        <v>996.74999999999989</v>
      </c>
      <c r="AS29" s="36">
        <v>1659.5532881389688</v>
      </c>
      <c r="AT29" s="36">
        <v>8801.3223241244395</v>
      </c>
      <c r="AU29" s="36">
        <v>0</v>
      </c>
      <c r="AV29" s="39">
        <v>1750</v>
      </c>
      <c r="AW29" s="39">
        <v>9281</v>
      </c>
      <c r="AX29" s="39">
        <v>11031</v>
      </c>
      <c r="AY29">
        <f t="shared" si="4"/>
        <v>0.15864382195630497</v>
      </c>
      <c r="AZ29">
        <f t="shared" si="5"/>
        <v>1396.2754117684499</v>
      </c>
      <c r="BB29">
        <f t="shared" si="6"/>
        <v>7405.0469123559897</v>
      </c>
      <c r="BC29">
        <f t="shared" si="7"/>
        <v>0.841356178043695</v>
      </c>
      <c r="BD29">
        <f t="shared" si="9"/>
        <v>6.3037264639659134E-3</v>
      </c>
      <c r="BE29">
        <f t="shared" si="8"/>
        <v>3.3431363035467225E-2</v>
      </c>
      <c r="BF29"/>
      <c r="BG29">
        <v>221500</v>
      </c>
    </row>
    <row r="31" spans="1:60" x14ac:dyDescent="0.3">
      <c r="T31" s="36">
        <v>4555</v>
      </c>
      <c r="U31" s="36"/>
      <c r="AJ31" s="1" t="s">
        <v>190</v>
      </c>
      <c r="AK31" s="1" t="s">
        <v>191</v>
      </c>
      <c r="AL31" s="1" t="s">
        <v>38</v>
      </c>
      <c r="AM31" s="1" t="s">
        <v>192</v>
      </c>
      <c r="AN31" s="1" t="s">
        <v>41</v>
      </c>
      <c r="AO31" s="1" t="s">
        <v>48</v>
      </c>
      <c r="AP31" s="1" t="s">
        <v>193</v>
      </c>
      <c r="AQ31" s="1" t="s">
        <v>49</v>
      </c>
      <c r="AR31" s="1" t="s">
        <v>194</v>
      </c>
      <c r="AS31" s="1" t="s">
        <v>195</v>
      </c>
      <c r="AT31" s="1" t="s">
        <v>202</v>
      </c>
      <c r="AU31" s="1" t="s">
        <v>224</v>
      </c>
    </row>
    <row r="32" spans="1:60" x14ac:dyDescent="0.3">
      <c r="AI32">
        <f>SUM(AJ32:AU32)</f>
        <v>4842400</v>
      </c>
      <c r="AJ32">
        <f>SUM(AJ2:AJ29)</f>
        <v>1103827.6198668878</v>
      </c>
      <c r="AK32">
        <f t="shared" ref="AK32:AU32" si="11">SUM(AK2:AK29)</f>
        <v>1195703.741509856</v>
      </c>
      <c r="AL32">
        <f t="shared" si="11"/>
        <v>375418.07634242525</v>
      </c>
      <c r="AM32">
        <f t="shared" si="11"/>
        <v>40936.738574902512</v>
      </c>
      <c r="AN32">
        <f t="shared" si="11"/>
        <v>1268305.6009728382</v>
      </c>
      <c r="AO32">
        <f t="shared" si="11"/>
        <v>348735.06939690193</v>
      </c>
      <c r="AP32">
        <f t="shared" si="11"/>
        <v>233906.18486308865</v>
      </c>
      <c r="AQ32">
        <f t="shared" si="11"/>
        <v>139554.22088782783</v>
      </c>
      <c r="AR32">
        <f t="shared" si="11"/>
        <v>35544.246737325753</v>
      </c>
      <c r="AS32">
        <f t="shared" si="11"/>
        <v>29410.564840882966</v>
      </c>
      <c r="AT32">
        <f t="shared" si="11"/>
        <v>71057.936007062803</v>
      </c>
      <c r="AU32">
        <f t="shared" si="11"/>
        <v>0</v>
      </c>
    </row>
    <row r="34" spans="36:47" x14ac:dyDescent="0.3">
      <c r="AJ34" cm="1">
        <f t="array" ref="AJ34:AU34">AJ32:AU32/AI32</f>
        <v>0.22795052450580039</v>
      </c>
      <c r="AK34">
        <v>0.24692378603788534</v>
      </c>
      <c r="AL34">
        <v>7.7527274975719734E-2</v>
      </c>
      <c r="AM34">
        <v>8.4538118649641735E-3</v>
      </c>
      <c r="AN34">
        <v>0.26191673570395635</v>
      </c>
      <c r="AO34">
        <v>7.201698938478894E-2</v>
      </c>
      <c r="AP34">
        <v>4.8303771861698465E-2</v>
      </c>
      <c r="AQ34">
        <v>2.8819226186979151E-2</v>
      </c>
      <c r="AR34">
        <v>7.3402128567086056E-3</v>
      </c>
      <c r="AS34">
        <v>6.073551305320289E-3</v>
      </c>
      <c r="AT34">
        <v>1.4674115316178507E-2</v>
      </c>
      <c r="AU34">
        <v>0</v>
      </c>
    </row>
    <row r="36" spans="36:47" x14ac:dyDescent="0.3">
      <c r="AJ36">
        <f>AJ34+AK34+AM34</f>
        <v>0.48332812240864992</v>
      </c>
      <c r="AL36">
        <f>AL34</f>
        <v>7.7527274975719734E-2</v>
      </c>
      <c r="AN36">
        <f>SUM(AM34:AS34)</f>
        <v>0.43292429916441599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F20E4-3155-4CFD-B54B-A925C7DAA961}">
  <dimension ref="A1:U83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H17" sqref="H2:H17"/>
    </sheetView>
  </sheetViews>
  <sheetFormatPr defaultRowHeight="14.4" x14ac:dyDescent="0.3"/>
  <cols>
    <col min="1" max="3" width="4.21875" customWidth="1"/>
    <col min="4" max="4" width="5.21875" customWidth="1"/>
    <col min="5" max="7" width="10.109375" customWidth="1"/>
    <col min="8" max="8" width="19.88671875" bestFit="1" customWidth="1"/>
    <col min="9" max="9" width="16.77734375" bestFit="1" customWidth="1"/>
    <col min="10" max="10" width="10.109375" customWidth="1"/>
    <col min="11" max="21" width="11.109375" customWidth="1"/>
  </cols>
  <sheetData>
    <row r="1" spans="1:21" x14ac:dyDescent="0.3">
      <c r="A1" t="s">
        <v>188</v>
      </c>
      <c r="B1" t="s">
        <v>81</v>
      </c>
      <c r="C1" t="s">
        <v>231</v>
      </c>
      <c r="D1" t="s">
        <v>80</v>
      </c>
      <c r="E1" t="s">
        <v>1</v>
      </c>
      <c r="F1" t="s">
        <v>0</v>
      </c>
      <c r="G1" t="s">
        <v>230</v>
      </c>
      <c r="H1" t="s">
        <v>199</v>
      </c>
      <c r="I1" t="s">
        <v>280</v>
      </c>
      <c r="J1" t="s">
        <v>190</v>
      </c>
      <c r="K1" t="s">
        <v>191</v>
      </c>
      <c r="L1" t="s">
        <v>38</v>
      </c>
      <c r="M1" t="s">
        <v>192</v>
      </c>
      <c r="N1" t="s">
        <v>41</v>
      </c>
      <c r="O1" t="s">
        <v>48</v>
      </c>
      <c r="P1" t="s">
        <v>193</v>
      </c>
      <c r="Q1" t="s">
        <v>49</v>
      </c>
      <c r="R1" t="s">
        <v>194</v>
      </c>
      <c r="S1" t="s">
        <v>195</v>
      </c>
      <c r="T1" t="s">
        <v>202</v>
      </c>
      <c r="U1" t="s">
        <v>224</v>
      </c>
    </row>
    <row r="2" spans="1:21" x14ac:dyDescent="0.3">
      <c r="B2">
        <v>1</v>
      </c>
      <c r="C2">
        <v>27</v>
      </c>
      <c r="D2" t="s">
        <v>223</v>
      </c>
      <c r="E2" t="s">
        <v>6</v>
      </c>
      <c r="F2" t="s">
        <v>66</v>
      </c>
      <c r="G2" t="s">
        <v>66</v>
      </c>
      <c r="H2">
        <v>120200</v>
      </c>
      <c r="I2">
        <v>120200</v>
      </c>
      <c r="J2">
        <v>11775.650738879303</v>
      </c>
      <c r="K2">
        <v>2401.1146950716379</v>
      </c>
      <c r="L2">
        <v>0</v>
      </c>
      <c r="M2">
        <v>0</v>
      </c>
      <c r="N2">
        <v>15911.55502212887</v>
      </c>
      <c r="O2">
        <v>23168.096916960469</v>
      </c>
      <c r="P2">
        <v>11818.930312804741</v>
      </c>
      <c r="Q2">
        <v>34177.338534243492</v>
      </c>
      <c r="R2">
        <v>6725.46545645488</v>
      </c>
      <c r="S2">
        <v>0</v>
      </c>
      <c r="T2">
        <v>14221.848323456605</v>
      </c>
      <c r="U2">
        <v>0</v>
      </c>
    </row>
    <row r="3" spans="1:21" x14ac:dyDescent="0.3">
      <c r="A3" t="s">
        <v>154</v>
      </c>
      <c r="B3">
        <v>1</v>
      </c>
      <c r="C3">
        <v>28</v>
      </c>
      <c r="D3" t="s">
        <v>225</v>
      </c>
      <c r="E3" t="s">
        <v>6</v>
      </c>
      <c r="F3" t="s">
        <v>67</v>
      </c>
      <c r="G3" s="18" t="s">
        <v>67</v>
      </c>
      <c r="H3">
        <v>221500</v>
      </c>
      <c r="I3">
        <v>221500</v>
      </c>
      <c r="J3">
        <v>137629.30312113962</v>
      </c>
      <c r="K3">
        <v>45627.684816443354</v>
      </c>
      <c r="L3">
        <v>3442.3111809880875</v>
      </c>
      <c r="M3">
        <v>72.07358967049359</v>
      </c>
      <c r="N3">
        <v>4115.210624371899</v>
      </c>
      <c r="O3">
        <v>11084.662963570867</v>
      </c>
      <c r="P3">
        <v>3611.9711354336741</v>
      </c>
      <c r="Q3">
        <v>3663.6345050204877</v>
      </c>
      <c r="R3">
        <v>0</v>
      </c>
      <c r="S3">
        <v>1792.272451098115</v>
      </c>
      <c r="T3">
        <v>7555.6083472271412</v>
      </c>
      <c r="U3">
        <v>2905.2672650362679</v>
      </c>
    </row>
    <row r="4" spans="1:21" x14ac:dyDescent="0.3">
      <c r="A4" t="s">
        <v>151</v>
      </c>
      <c r="B4">
        <v>1</v>
      </c>
      <c r="C4">
        <v>1</v>
      </c>
      <c r="D4" t="s">
        <v>204</v>
      </c>
      <c r="E4" t="s">
        <v>152</v>
      </c>
      <c r="F4" t="s">
        <v>9</v>
      </c>
      <c r="G4" s="18" t="s">
        <v>253</v>
      </c>
      <c r="H4">
        <v>177400</v>
      </c>
      <c r="I4">
        <v>177400</v>
      </c>
      <c r="J4">
        <v>50239.087827069634</v>
      </c>
      <c r="K4">
        <v>28311.212077308683</v>
      </c>
      <c r="L4">
        <v>931.43867172785497</v>
      </c>
      <c r="M4">
        <v>0</v>
      </c>
      <c r="N4">
        <v>27808.481933296629</v>
      </c>
      <c r="O4">
        <v>16932.444727767957</v>
      </c>
      <c r="P4">
        <v>33201.779142881976</v>
      </c>
      <c r="Q4">
        <v>8845.583147402278</v>
      </c>
      <c r="R4">
        <v>1897.8319955956074</v>
      </c>
      <c r="S4">
        <v>0</v>
      </c>
      <c r="T4">
        <v>9232.1404769493784</v>
      </c>
      <c r="U4">
        <v>0</v>
      </c>
    </row>
    <row r="5" spans="1:21" x14ac:dyDescent="0.3">
      <c r="A5" t="s">
        <v>166</v>
      </c>
      <c r="B5">
        <v>1</v>
      </c>
      <c r="C5">
        <v>7</v>
      </c>
      <c r="D5" t="s">
        <v>212</v>
      </c>
      <c r="E5" t="s">
        <v>152</v>
      </c>
      <c r="F5" t="s">
        <v>7</v>
      </c>
      <c r="G5" t="s">
        <v>258</v>
      </c>
      <c r="H5">
        <v>120200</v>
      </c>
      <c r="I5">
        <v>33800</v>
      </c>
      <c r="J5">
        <v>58625.403280466315</v>
      </c>
      <c r="K5">
        <v>17636.845672538402</v>
      </c>
      <c r="L5">
        <v>17732.893845023293</v>
      </c>
      <c r="M5">
        <v>0</v>
      </c>
      <c r="N5">
        <v>8676.0657234790924</v>
      </c>
      <c r="O5">
        <v>8611.7477508329594</v>
      </c>
      <c r="P5">
        <v>8917.0437276599387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 t="s">
        <v>131</v>
      </c>
      <c r="B6">
        <v>1</v>
      </c>
      <c r="C6">
        <v>14</v>
      </c>
      <c r="D6" t="s">
        <v>214</v>
      </c>
      <c r="E6" t="s">
        <v>121</v>
      </c>
      <c r="F6" t="s">
        <v>3</v>
      </c>
      <c r="G6" t="s">
        <v>259</v>
      </c>
      <c r="H6">
        <v>245100</v>
      </c>
      <c r="I6">
        <v>214600</v>
      </c>
      <c r="J6">
        <v>32585.925106068989</v>
      </c>
      <c r="K6">
        <v>179587.06880649328</v>
      </c>
      <c r="L6">
        <v>0</v>
      </c>
      <c r="M6">
        <v>0</v>
      </c>
      <c r="N6">
        <v>18010.662239439218</v>
      </c>
      <c r="O6">
        <v>1773.621103117506</v>
      </c>
      <c r="P6">
        <v>13142.722744881019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">
      <c r="A7" t="s">
        <v>146</v>
      </c>
      <c r="B7">
        <v>1</v>
      </c>
      <c r="C7">
        <v>3</v>
      </c>
      <c r="D7" t="s">
        <v>217</v>
      </c>
      <c r="E7" t="s">
        <v>13</v>
      </c>
      <c r="F7" t="s">
        <v>12</v>
      </c>
      <c r="G7" t="s">
        <v>254</v>
      </c>
      <c r="H7">
        <v>390000</v>
      </c>
      <c r="I7">
        <v>260500</v>
      </c>
      <c r="J7">
        <v>5213.8441674189007</v>
      </c>
      <c r="K7">
        <v>41790.966326542271</v>
      </c>
      <c r="L7">
        <v>0</v>
      </c>
      <c r="M7">
        <v>0</v>
      </c>
      <c r="N7">
        <v>320031.99378406483</v>
      </c>
      <c r="O7">
        <v>7453.1233931693268</v>
      </c>
      <c r="P7">
        <v>5142.5437343601816</v>
      </c>
      <c r="Q7">
        <v>5463.3956831244222</v>
      </c>
      <c r="R7">
        <v>0</v>
      </c>
      <c r="S7">
        <v>0</v>
      </c>
      <c r="T7">
        <v>4904.1329113200864</v>
      </c>
      <c r="U7">
        <v>0</v>
      </c>
    </row>
    <row r="8" spans="1:21" x14ac:dyDescent="0.3">
      <c r="A8" t="s">
        <v>149</v>
      </c>
      <c r="B8">
        <v>1</v>
      </c>
      <c r="C8">
        <v>9</v>
      </c>
      <c r="D8" t="s">
        <v>219</v>
      </c>
      <c r="E8" t="s">
        <v>15</v>
      </c>
      <c r="F8" t="s">
        <v>18</v>
      </c>
      <c r="G8" t="s">
        <v>255</v>
      </c>
      <c r="H8">
        <v>511000</v>
      </c>
      <c r="I8">
        <v>511000</v>
      </c>
      <c r="J8">
        <v>9619.7008391098152</v>
      </c>
      <c r="K8">
        <v>15482.154182920327</v>
      </c>
      <c r="L8">
        <v>7049.8582774394526</v>
      </c>
      <c r="M8">
        <v>0</v>
      </c>
      <c r="N8">
        <v>229183.49282968033</v>
      </c>
      <c r="O8">
        <v>74488.148626273396</v>
      </c>
      <c r="P8">
        <v>50220.918811214324</v>
      </c>
      <c r="Q8">
        <v>73134.392276822051</v>
      </c>
      <c r="R8">
        <v>19749.928437122893</v>
      </c>
      <c r="S8">
        <v>0</v>
      </c>
      <c r="T8">
        <v>32071.405719417391</v>
      </c>
      <c r="U8">
        <v>0</v>
      </c>
    </row>
    <row r="9" spans="1:21" x14ac:dyDescent="0.3">
      <c r="A9" t="s">
        <v>156</v>
      </c>
      <c r="B9">
        <v>1</v>
      </c>
      <c r="C9">
        <v>16</v>
      </c>
      <c r="D9" t="s">
        <v>221</v>
      </c>
      <c r="E9" t="s">
        <v>15</v>
      </c>
      <c r="F9" t="s">
        <v>16</v>
      </c>
      <c r="G9" t="s">
        <v>264</v>
      </c>
      <c r="H9">
        <v>553800</v>
      </c>
      <c r="I9">
        <v>553800</v>
      </c>
      <c r="J9">
        <v>33833.090502573679</v>
      </c>
      <c r="K9">
        <v>139581.05797226078</v>
      </c>
      <c r="L9">
        <v>97393.446026461592</v>
      </c>
      <c r="M9">
        <v>0</v>
      </c>
      <c r="N9">
        <v>203546.21319148413</v>
      </c>
      <c r="O9">
        <v>42129.783417894127</v>
      </c>
      <c r="P9">
        <v>25471.765703124038</v>
      </c>
      <c r="Q9">
        <v>0</v>
      </c>
      <c r="R9">
        <v>0</v>
      </c>
      <c r="S9">
        <v>0</v>
      </c>
      <c r="T9">
        <v>11844.643186201643</v>
      </c>
      <c r="U9">
        <v>0</v>
      </c>
    </row>
    <row r="10" spans="1:21" x14ac:dyDescent="0.3">
      <c r="A10" t="s">
        <v>158</v>
      </c>
      <c r="B10">
        <v>1</v>
      </c>
      <c r="C10">
        <v>25</v>
      </c>
      <c r="D10" t="s">
        <v>229</v>
      </c>
      <c r="E10" t="s">
        <v>15</v>
      </c>
      <c r="F10" t="s">
        <v>14</v>
      </c>
      <c r="G10" s="18" t="s">
        <v>265</v>
      </c>
      <c r="H10">
        <v>577800</v>
      </c>
      <c r="I10">
        <v>300800</v>
      </c>
      <c r="J10">
        <v>107860.55411228475</v>
      </c>
      <c r="K10">
        <v>15179.575315402206</v>
      </c>
      <c r="L10">
        <v>235495.54314515501</v>
      </c>
      <c r="M10">
        <v>0</v>
      </c>
      <c r="N10">
        <v>156397.80346281285</v>
      </c>
      <c r="O10">
        <v>28762.814429942595</v>
      </c>
      <c r="P10">
        <v>28762.814429942595</v>
      </c>
      <c r="Q10">
        <v>0</v>
      </c>
      <c r="R10">
        <v>0</v>
      </c>
      <c r="S10">
        <v>0</v>
      </c>
      <c r="T10">
        <v>5340.8951044599662</v>
      </c>
      <c r="U10">
        <v>0</v>
      </c>
    </row>
    <row r="11" spans="1:21" x14ac:dyDescent="0.3">
      <c r="A11" t="s">
        <v>117</v>
      </c>
      <c r="B11">
        <v>1</v>
      </c>
      <c r="C11">
        <v>4</v>
      </c>
      <c r="D11" t="s">
        <v>209</v>
      </c>
      <c r="E11" t="s">
        <v>2</v>
      </c>
      <c r="F11" t="s">
        <v>2</v>
      </c>
      <c r="G11" t="s">
        <v>256</v>
      </c>
      <c r="H11">
        <v>324000</v>
      </c>
      <c r="I11">
        <v>324000</v>
      </c>
      <c r="J11">
        <v>218684.61532906283</v>
      </c>
      <c r="K11">
        <v>3405.6864713401555</v>
      </c>
      <c r="L11">
        <v>0</v>
      </c>
      <c r="M11">
        <v>16104.182163516743</v>
      </c>
      <c r="N11">
        <v>35341.455488232023</v>
      </c>
      <c r="O11">
        <v>47506.459929659351</v>
      </c>
      <c r="P11">
        <v>2000.5921903097444</v>
      </c>
      <c r="Q11">
        <v>0</v>
      </c>
      <c r="R11">
        <v>0</v>
      </c>
      <c r="S11">
        <v>0</v>
      </c>
      <c r="T11">
        <v>957.00842787916429</v>
      </c>
      <c r="U11">
        <v>0</v>
      </c>
    </row>
    <row r="12" spans="1:21" x14ac:dyDescent="0.3">
      <c r="A12" t="s">
        <v>124</v>
      </c>
      <c r="B12">
        <v>1</v>
      </c>
      <c r="C12">
        <v>10</v>
      </c>
      <c r="D12" t="s">
        <v>203</v>
      </c>
      <c r="E12" t="s">
        <v>125</v>
      </c>
      <c r="F12" t="s">
        <v>26</v>
      </c>
      <c r="G12" t="s">
        <v>260</v>
      </c>
      <c r="H12">
        <v>384600</v>
      </c>
      <c r="I12">
        <v>140800</v>
      </c>
      <c r="J12">
        <v>318864.15243936214</v>
      </c>
      <c r="K12">
        <v>0</v>
      </c>
      <c r="L12">
        <v>0</v>
      </c>
      <c r="M12">
        <v>23225.48526355371</v>
      </c>
      <c r="N12">
        <v>13022.505035547614</v>
      </c>
      <c r="O12">
        <v>23995.669574798652</v>
      </c>
      <c r="P12">
        <v>0</v>
      </c>
      <c r="Q12">
        <v>1985.4387412151191</v>
      </c>
      <c r="R12">
        <v>1234.3128481523693</v>
      </c>
      <c r="S12">
        <v>0</v>
      </c>
      <c r="T12">
        <v>2272.4360973704388</v>
      </c>
      <c r="U12">
        <v>0</v>
      </c>
    </row>
    <row r="13" spans="1:21" x14ac:dyDescent="0.3">
      <c r="A13" t="s">
        <v>137</v>
      </c>
      <c r="B13">
        <v>1</v>
      </c>
      <c r="C13">
        <v>17</v>
      </c>
      <c r="D13" t="s">
        <v>210</v>
      </c>
      <c r="E13" t="s">
        <v>125</v>
      </c>
      <c r="F13" t="s">
        <v>23</v>
      </c>
      <c r="G13" t="s">
        <v>261</v>
      </c>
      <c r="H13">
        <v>253300</v>
      </c>
      <c r="I13">
        <v>58900</v>
      </c>
      <c r="J13">
        <v>22656.343961336988</v>
      </c>
      <c r="K13">
        <v>2366.1763513403935</v>
      </c>
      <c r="L13">
        <v>0</v>
      </c>
      <c r="M13">
        <v>616.19175816156076</v>
      </c>
      <c r="N13">
        <v>172498.77475227453</v>
      </c>
      <c r="O13">
        <v>52325.977116816139</v>
      </c>
      <c r="P13">
        <v>1866.0340409659266</v>
      </c>
      <c r="Q13">
        <v>0</v>
      </c>
      <c r="R13">
        <v>0</v>
      </c>
      <c r="S13">
        <v>0</v>
      </c>
      <c r="T13">
        <v>970.50201910445821</v>
      </c>
      <c r="U13">
        <v>0</v>
      </c>
    </row>
    <row r="14" spans="1:21" x14ac:dyDescent="0.3">
      <c r="A14" t="s">
        <v>168</v>
      </c>
      <c r="B14">
        <v>1</v>
      </c>
      <c r="C14">
        <v>5</v>
      </c>
      <c r="D14" t="s">
        <v>226</v>
      </c>
      <c r="E14" t="s">
        <v>169</v>
      </c>
      <c r="F14" t="s">
        <v>31</v>
      </c>
      <c r="G14" t="s">
        <v>257</v>
      </c>
      <c r="H14">
        <v>104300</v>
      </c>
      <c r="I14">
        <v>32100</v>
      </c>
      <c r="J14">
        <v>46144.534426365251</v>
      </c>
      <c r="K14">
        <v>15752.309857988655</v>
      </c>
      <c r="L14">
        <v>505.24158489628616</v>
      </c>
      <c r="M14">
        <v>0</v>
      </c>
      <c r="N14">
        <v>32140.27408603486</v>
      </c>
      <c r="O14">
        <v>0</v>
      </c>
      <c r="P14">
        <v>9058.9384341489676</v>
      </c>
      <c r="Q14">
        <v>0</v>
      </c>
      <c r="R14">
        <v>0</v>
      </c>
      <c r="S14">
        <v>0</v>
      </c>
      <c r="T14">
        <v>698.70161056597522</v>
      </c>
      <c r="U14">
        <v>0</v>
      </c>
    </row>
    <row r="15" spans="1:21" x14ac:dyDescent="0.3">
      <c r="A15" t="s">
        <v>183</v>
      </c>
      <c r="B15">
        <v>1</v>
      </c>
      <c r="C15">
        <v>13</v>
      </c>
      <c r="D15" t="s">
        <v>232</v>
      </c>
      <c r="E15" t="s">
        <v>169</v>
      </c>
      <c r="F15" t="s">
        <v>32</v>
      </c>
      <c r="G15" t="s">
        <v>262</v>
      </c>
      <c r="H15">
        <v>480100</v>
      </c>
      <c r="I15">
        <v>255700</v>
      </c>
      <c r="J15">
        <v>29296.456811936929</v>
      </c>
      <c r="K15">
        <v>390747.90324422735</v>
      </c>
      <c r="L15">
        <v>0</v>
      </c>
      <c r="M15">
        <v>0</v>
      </c>
      <c r="N15">
        <v>21845.745016761954</v>
      </c>
      <c r="O15">
        <v>0</v>
      </c>
      <c r="P15">
        <v>32713.785446996622</v>
      </c>
      <c r="Q15">
        <v>0</v>
      </c>
      <c r="R15">
        <v>0</v>
      </c>
      <c r="S15">
        <v>0</v>
      </c>
      <c r="T15">
        <v>5496.1094800771252</v>
      </c>
      <c r="U15">
        <v>0</v>
      </c>
    </row>
    <row r="16" spans="1:21" x14ac:dyDescent="0.3">
      <c r="A16" t="s">
        <v>186</v>
      </c>
      <c r="B16">
        <v>1</v>
      </c>
      <c r="C16">
        <v>21</v>
      </c>
      <c r="D16" t="s">
        <v>233</v>
      </c>
      <c r="E16" t="s">
        <v>173</v>
      </c>
      <c r="F16" t="s">
        <v>19</v>
      </c>
      <c r="G16" t="s">
        <v>263</v>
      </c>
      <c r="H16">
        <v>379100</v>
      </c>
      <c r="I16">
        <v>96200</v>
      </c>
      <c r="J16">
        <v>24060.174752714702</v>
      </c>
      <c r="K16">
        <v>303656.66571997851</v>
      </c>
      <c r="L16">
        <v>13842.759610733669</v>
      </c>
      <c r="M16">
        <v>0</v>
      </c>
      <c r="N16">
        <v>19967.993583229418</v>
      </c>
      <c r="O16">
        <v>9282.0594460986831</v>
      </c>
      <c r="P16">
        <v>6822.5450083648775</v>
      </c>
      <c r="Q16">
        <v>0</v>
      </c>
      <c r="R16">
        <v>0</v>
      </c>
      <c r="S16">
        <v>0</v>
      </c>
      <c r="T16">
        <v>1467.8018788801271</v>
      </c>
      <c r="U16">
        <v>0</v>
      </c>
    </row>
    <row r="17" spans="1:21" x14ac:dyDescent="0.3">
      <c r="A17" t="s">
        <v>161</v>
      </c>
      <c r="C17">
        <v>8</v>
      </c>
      <c r="D17" t="s">
        <v>235</v>
      </c>
      <c r="E17" t="s">
        <v>152</v>
      </c>
      <c r="F17" t="s">
        <v>8</v>
      </c>
      <c r="G17" s="18" t="s">
        <v>258</v>
      </c>
      <c r="I17">
        <v>86400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 t="s">
        <v>120</v>
      </c>
      <c r="C18">
        <v>15</v>
      </c>
      <c r="D18" t="s">
        <v>237</v>
      </c>
      <c r="E18" t="s">
        <v>121</v>
      </c>
      <c r="F18" t="s">
        <v>4</v>
      </c>
      <c r="G18" t="s">
        <v>259</v>
      </c>
      <c r="I18">
        <v>30500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 t="s">
        <v>143</v>
      </c>
      <c r="C19">
        <v>2</v>
      </c>
      <c r="D19" t="s">
        <v>234</v>
      </c>
      <c r="E19" t="s">
        <v>13</v>
      </c>
      <c r="F19" t="s">
        <v>11</v>
      </c>
      <c r="G19" t="s">
        <v>254</v>
      </c>
      <c r="I19">
        <v>129500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 t="s">
        <v>163</v>
      </c>
      <c r="C20">
        <v>26</v>
      </c>
      <c r="D20" t="s">
        <v>229</v>
      </c>
      <c r="E20" t="s">
        <v>15</v>
      </c>
      <c r="F20" t="s">
        <v>17</v>
      </c>
      <c r="G20" t="s">
        <v>265</v>
      </c>
      <c r="I20">
        <v>277000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 t="s">
        <v>127</v>
      </c>
      <c r="C21">
        <v>11</v>
      </c>
      <c r="D21" t="s">
        <v>236</v>
      </c>
      <c r="E21" t="s">
        <v>125</v>
      </c>
      <c r="F21" t="s">
        <v>27</v>
      </c>
      <c r="G21" t="s">
        <v>260</v>
      </c>
      <c r="I21">
        <v>243800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 t="s">
        <v>140</v>
      </c>
      <c r="C22">
        <v>18</v>
      </c>
      <c r="D22" t="s">
        <v>238</v>
      </c>
      <c r="E22" t="s">
        <v>125</v>
      </c>
      <c r="F22" t="s">
        <v>24</v>
      </c>
      <c r="G22" t="s">
        <v>261</v>
      </c>
      <c r="I22">
        <v>22100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 t="s">
        <v>134</v>
      </c>
      <c r="C23">
        <v>19</v>
      </c>
      <c r="D23" t="s">
        <v>239</v>
      </c>
      <c r="E23" t="s">
        <v>125</v>
      </c>
      <c r="F23" t="s">
        <v>25</v>
      </c>
      <c r="G23" t="s">
        <v>261</v>
      </c>
      <c r="I23">
        <v>84600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 t="s">
        <v>129</v>
      </c>
      <c r="C24">
        <v>20</v>
      </c>
      <c r="D24" t="s">
        <v>240</v>
      </c>
      <c r="E24" t="s">
        <v>125</v>
      </c>
      <c r="F24" t="s">
        <v>28</v>
      </c>
      <c r="G24" t="s">
        <v>261</v>
      </c>
      <c r="I24">
        <v>87700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 t="s">
        <v>172</v>
      </c>
      <c r="C25">
        <v>6</v>
      </c>
      <c r="D25" t="s">
        <v>226</v>
      </c>
      <c r="E25" t="s">
        <v>169</v>
      </c>
      <c r="F25" t="s">
        <v>30</v>
      </c>
      <c r="G25" t="s">
        <v>257</v>
      </c>
      <c r="I25">
        <v>72200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 t="s">
        <v>172</v>
      </c>
      <c r="C26">
        <v>12</v>
      </c>
      <c r="D26" t="s">
        <v>232</v>
      </c>
      <c r="E26" t="s">
        <v>169</v>
      </c>
      <c r="F26" t="s">
        <v>274</v>
      </c>
      <c r="G26" s="18" t="s">
        <v>262</v>
      </c>
      <c r="I26">
        <v>224400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">
      <c r="A27" t="s">
        <v>177</v>
      </c>
      <c r="C27">
        <v>22</v>
      </c>
      <c r="D27" t="s">
        <v>241</v>
      </c>
      <c r="E27" t="s">
        <v>173</v>
      </c>
      <c r="F27" t="s">
        <v>20</v>
      </c>
      <c r="G27" s="18" t="s">
        <v>263</v>
      </c>
      <c r="I27">
        <v>28700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 t="s">
        <v>180</v>
      </c>
      <c r="C28">
        <v>23</v>
      </c>
      <c r="D28" t="s">
        <v>242</v>
      </c>
      <c r="E28" t="s">
        <v>173</v>
      </c>
      <c r="F28" t="s">
        <v>21</v>
      </c>
      <c r="G28" t="s">
        <v>263</v>
      </c>
      <c r="I28">
        <v>74000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">
      <c r="A29" t="s">
        <v>175</v>
      </c>
      <c r="C29">
        <v>24</v>
      </c>
      <c r="D29" t="s">
        <v>243</v>
      </c>
      <c r="E29" t="s">
        <v>173</v>
      </c>
      <c r="F29" t="s">
        <v>22</v>
      </c>
      <c r="G29" t="s">
        <v>263</v>
      </c>
      <c r="I29">
        <v>180200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1" spans="1:21" x14ac:dyDescent="0.3">
      <c r="J31" t="s">
        <v>190</v>
      </c>
      <c r="K31" t="s">
        <v>191</v>
      </c>
      <c r="L31" t="s">
        <v>38</v>
      </c>
      <c r="M31" t="s">
        <v>192</v>
      </c>
      <c r="N31" t="s">
        <v>41</v>
      </c>
      <c r="O31" t="s">
        <v>48</v>
      </c>
      <c r="P31" t="s">
        <v>193</v>
      </c>
      <c r="Q31" t="s">
        <v>49</v>
      </c>
      <c r="R31" t="s">
        <v>194</v>
      </c>
      <c r="S31" t="s">
        <v>195</v>
      </c>
      <c r="T31" t="s">
        <v>202</v>
      </c>
      <c r="U31" t="s">
        <v>224</v>
      </c>
    </row>
    <row r="32" spans="1:21" x14ac:dyDescent="0.3">
      <c r="J32">
        <v>1308325.8759737799</v>
      </c>
      <c r="K32">
        <v>1228566.8626391895</v>
      </c>
      <c r="L32">
        <v>376393.49234242528</v>
      </c>
      <c r="M32">
        <v>39401.741016740947</v>
      </c>
      <c r="N32">
        <v>1105999.4520205637</v>
      </c>
      <c r="O32">
        <v>295188.63228008588</v>
      </c>
      <c r="P32">
        <v>230886.35082212274</v>
      </c>
      <c r="Q32">
        <v>127269.78288782784</v>
      </c>
      <c r="R32">
        <v>29607.538737325751</v>
      </c>
      <c r="S32">
        <v>1792.272451098115</v>
      </c>
      <c r="T32">
        <v>96062.73156380505</v>
      </c>
      <c r="U32">
        <v>2905.2672650362679</v>
      </c>
    </row>
    <row r="34" spans="8:21" x14ac:dyDescent="0.3">
      <c r="J34">
        <v>0.27018128943783642</v>
      </c>
      <c r="K34">
        <v>0.2537103218732838</v>
      </c>
      <c r="L34">
        <v>7.7728707323315979E-2</v>
      </c>
      <c r="M34">
        <v>8.1368207948002945E-3</v>
      </c>
      <c r="N34">
        <v>0.22839902775907889</v>
      </c>
      <c r="O34">
        <v>6.0959159152504105E-2</v>
      </c>
      <c r="P34">
        <v>4.768014844335923E-2</v>
      </c>
      <c r="Q34">
        <v>2.6282377103879862E-2</v>
      </c>
      <c r="R34">
        <v>6.1142282209907797E-3</v>
      </c>
      <c r="S34">
        <v>3.7012069451059702E-4</v>
      </c>
      <c r="T34">
        <v>1.9837834867793874E-2</v>
      </c>
      <c r="U34">
        <v>5.9996432864618116E-4</v>
      </c>
    </row>
    <row r="36" spans="8:21" x14ac:dyDescent="0.3">
      <c r="J36">
        <v>0.53202843210592055</v>
      </c>
      <c r="L36">
        <v>7.7728707323315979E-2</v>
      </c>
      <c r="N36">
        <v>0.38964289624211734</v>
      </c>
    </row>
    <row r="45" spans="8:21" x14ac:dyDescent="0.3">
      <c r="H45" s="21" t="s">
        <v>244</v>
      </c>
      <c r="I45" t="s">
        <v>246</v>
      </c>
    </row>
    <row r="46" spans="8:21" x14ac:dyDescent="0.3">
      <c r="H46" s="22" t="s">
        <v>2</v>
      </c>
      <c r="I46">
        <v>324000</v>
      </c>
    </row>
    <row r="47" spans="8:21" x14ac:dyDescent="0.3">
      <c r="H47" s="40" t="s">
        <v>2</v>
      </c>
      <c r="I47">
        <v>324000</v>
      </c>
    </row>
    <row r="48" spans="8:21" x14ac:dyDescent="0.3">
      <c r="H48" s="22" t="s">
        <v>121</v>
      </c>
      <c r="I48">
        <v>245100</v>
      </c>
    </row>
    <row r="49" spans="8:9" x14ac:dyDescent="0.3">
      <c r="H49" s="40" t="s">
        <v>3</v>
      </c>
      <c r="I49">
        <v>245100</v>
      </c>
    </row>
    <row r="50" spans="8:9" x14ac:dyDescent="0.3">
      <c r="H50" s="40" t="s">
        <v>4</v>
      </c>
    </row>
    <row r="51" spans="8:9" x14ac:dyDescent="0.3">
      <c r="H51" s="22" t="s">
        <v>6</v>
      </c>
      <c r="I51">
        <v>341700</v>
      </c>
    </row>
    <row r="52" spans="8:9" x14ac:dyDescent="0.3">
      <c r="H52" s="40" t="s">
        <v>66</v>
      </c>
      <c r="I52">
        <v>120200</v>
      </c>
    </row>
    <row r="53" spans="8:9" x14ac:dyDescent="0.3">
      <c r="H53" s="40" t="s">
        <v>67</v>
      </c>
      <c r="I53">
        <v>221500</v>
      </c>
    </row>
    <row r="54" spans="8:9" x14ac:dyDescent="0.3">
      <c r="H54" s="22" t="s">
        <v>152</v>
      </c>
      <c r="I54">
        <v>297600</v>
      </c>
    </row>
    <row r="55" spans="8:9" x14ac:dyDescent="0.3">
      <c r="H55" s="40" t="s">
        <v>7</v>
      </c>
      <c r="I55">
        <v>120200</v>
      </c>
    </row>
    <row r="56" spans="8:9" x14ac:dyDescent="0.3">
      <c r="H56" s="40" t="s">
        <v>8</v>
      </c>
    </row>
    <row r="57" spans="8:9" x14ac:dyDescent="0.3">
      <c r="H57" s="40" t="s">
        <v>9</v>
      </c>
      <c r="I57">
        <v>177400</v>
      </c>
    </row>
    <row r="58" spans="8:9" x14ac:dyDescent="0.3">
      <c r="H58" s="22" t="s">
        <v>173</v>
      </c>
      <c r="I58">
        <v>379100</v>
      </c>
    </row>
    <row r="59" spans="8:9" x14ac:dyDescent="0.3">
      <c r="H59" s="40" t="s">
        <v>19</v>
      </c>
      <c r="I59">
        <v>379100</v>
      </c>
    </row>
    <row r="60" spans="8:9" x14ac:dyDescent="0.3">
      <c r="H60" s="40" t="s">
        <v>20</v>
      </c>
    </row>
    <row r="61" spans="8:9" x14ac:dyDescent="0.3">
      <c r="H61" s="40" t="s">
        <v>21</v>
      </c>
    </row>
    <row r="62" spans="8:9" x14ac:dyDescent="0.3">
      <c r="H62" s="40" t="s">
        <v>22</v>
      </c>
    </row>
    <row r="63" spans="8:9" x14ac:dyDescent="0.3">
      <c r="H63" s="22" t="s">
        <v>13</v>
      </c>
      <c r="I63">
        <v>390000</v>
      </c>
    </row>
    <row r="64" spans="8:9" x14ac:dyDescent="0.3">
      <c r="H64" s="40" t="s">
        <v>11</v>
      </c>
    </row>
    <row r="65" spans="8:9" x14ac:dyDescent="0.3">
      <c r="H65" s="40" t="s">
        <v>12</v>
      </c>
      <c r="I65">
        <v>390000</v>
      </c>
    </row>
    <row r="66" spans="8:9" x14ac:dyDescent="0.3">
      <c r="H66" s="22" t="s">
        <v>15</v>
      </c>
      <c r="I66">
        <v>1642600</v>
      </c>
    </row>
    <row r="67" spans="8:9" x14ac:dyDescent="0.3">
      <c r="H67" s="40" t="s">
        <v>14</v>
      </c>
      <c r="I67">
        <v>577800</v>
      </c>
    </row>
    <row r="68" spans="8:9" x14ac:dyDescent="0.3">
      <c r="H68" s="40" t="s">
        <v>16</v>
      </c>
      <c r="I68">
        <v>553800</v>
      </c>
    </row>
    <row r="69" spans="8:9" x14ac:dyDescent="0.3">
      <c r="H69" s="40" t="s">
        <v>17</v>
      </c>
    </row>
    <row r="70" spans="8:9" x14ac:dyDescent="0.3">
      <c r="H70" s="40" t="s">
        <v>18</v>
      </c>
      <c r="I70">
        <v>511000</v>
      </c>
    </row>
    <row r="71" spans="8:9" x14ac:dyDescent="0.3">
      <c r="H71" s="22" t="s">
        <v>125</v>
      </c>
      <c r="I71">
        <v>637900</v>
      </c>
    </row>
    <row r="72" spans="8:9" x14ac:dyDescent="0.3">
      <c r="H72" s="40" t="s">
        <v>23</v>
      </c>
      <c r="I72">
        <v>253300</v>
      </c>
    </row>
    <row r="73" spans="8:9" x14ac:dyDescent="0.3">
      <c r="H73" s="40" t="s">
        <v>24</v>
      </c>
    </row>
    <row r="74" spans="8:9" x14ac:dyDescent="0.3">
      <c r="H74" s="40" t="s">
        <v>25</v>
      </c>
    </row>
    <row r="75" spans="8:9" x14ac:dyDescent="0.3">
      <c r="H75" s="40" t="s">
        <v>26</v>
      </c>
      <c r="I75">
        <v>384600</v>
      </c>
    </row>
    <row r="76" spans="8:9" x14ac:dyDescent="0.3">
      <c r="H76" s="40" t="s">
        <v>27</v>
      </c>
    </row>
    <row r="77" spans="8:9" x14ac:dyDescent="0.3">
      <c r="H77" s="40" t="s">
        <v>28</v>
      </c>
    </row>
    <row r="78" spans="8:9" x14ac:dyDescent="0.3">
      <c r="H78" s="22" t="s">
        <v>169</v>
      </c>
      <c r="I78">
        <v>584400</v>
      </c>
    </row>
    <row r="79" spans="8:9" x14ac:dyDescent="0.3">
      <c r="H79" s="40" t="s">
        <v>31</v>
      </c>
      <c r="I79">
        <v>104300</v>
      </c>
    </row>
    <row r="80" spans="8:9" x14ac:dyDescent="0.3">
      <c r="H80" s="40" t="s">
        <v>30</v>
      </c>
    </row>
    <row r="81" spans="8:9" x14ac:dyDescent="0.3">
      <c r="H81" s="40" t="s">
        <v>32</v>
      </c>
      <c r="I81">
        <v>480100</v>
      </c>
    </row>
    <row r="82" spans="8:9" x14ac:dyDescent="0.3">
      <c r="H82" s="40" t="s">
        <v>274</v>
      </c>
    </row>
    <row r="83" spans="8:9" x14ac:dyDescent="0.3">
      <c r="H83" s="22" t="s">
        <v>245</v>
      </c>
      <c r="I83">
        <v>4842400</v>
      </c>
    </row>
  </sheetData>
  <phoneticPr fontId="3" type="noConversion"/>
  <pageMargins left="0.7" right="0.7" top="0.75" bottom="0.75" header="0.3" footer="0.3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07048-C57B-41F7-81B5-32F32CFF4208}">
  <dimension ref="A1:BU61"/>
  <sheetViews>
    <sheetView zoomScale="89" workbookViewId="0">
      <selection activeCell="M26" sqref="M26:O26"/>
    </sheetView>
  </sheetViews>
  <sheetFormatPr defaultRowHeight="14.4" x14ac:dyDescent="0.3"/>
  <sheetData>
    <row r="1" spans="1:73" x14ac:dyDescent="0.3">
      <c r="A1" t="s">
        <v>188</v>
      </c>
      <c r="B1" t="s">
        <v>80</v>
      </c>
      <c r="C1" t="s">
        <v>1</v>
      </c>
      <c r="D1" t="s">
        <v>0</v>
      </c>
      <c r="E1" t="s">
        <v>230</v>
      </c>
      <c r="F1" t="s">
        <v>199</v>
      </c>
      <c r="I1" t="s">
        <v>190</v>
      </c>
      <c r="J1" t="s">
        <v>191</v>
      </c>
      <c r="K1" t="s">
        <v>38</v>
      </c>
      <c r="L1" t="s">
        <v>192</v>
      </c>
      <c r="M1" t="s">
        <v>41</v>
      </c>
      <c r="N1" t="s">
        <v>48</v>
      </c>
      <c r="O1" t="s">
        <v>193</v>
      </c>
      <c r="P1" t="s">
        <v>49</v>
      </c>
      <c r="Q1" t="s">
        <v>194</v>
      </c>
      <c r="R1" t="s">
        <v>195</v>
      </c>
      <c r="S1" t="s">
        <v>202</v>
      </c>
      <c r="AH1" t="s">
        <v>190</v>
      </c>
      <c r="AI1" t="s">
        <v>191</v>
      </c>
      <c r="AJ1" t="s">
        <v>38</v>
      </c>
      <c r="AK1" t="s">
        <v>192</v>
      </c>
      <c r="AL1" t="s">
        <v>41</v>
      </c>
      <c r="AM1" t="s">
        <v>48</v>
      </c>
      <c r="AN1" t="s">
        <v>193</v>
      </c>
      <c r="AO1" t="s">
        <v>49</v>
      </c>
      <c r="AP1" t="s">
        <v>194</v>
      </c>
      <c r="AQ1" t="s">
        <v>195</v>
      </c>
      <c r="AR1" t="s">
        <v>202</v>
      </c>
      <c r="AU1" t="s">
        <v>190</v>
      </c>
      <c r="AV1" t="s">
        <v>191</v>
      </c>
      <c r="AW1" t="s">
        <v>38</v>
      </c>
      <c r="AX1" t="s">
        <v>192</v>
      </c>
      <c r="AY1" t="s">
        <v>41</v>
      </c>
      <c r="AZ1" t="s">
        <v>48</v>
      </c>
      <c r="BA1" t="s">
        <v>193</v>
      </c>
      <c r="BB1" t="s">
        <v>49</v>
      </c>
      <c r="BC1" t="s">
        <v>194</v>
      </c>
      <c r="BD1" t="s">
        <v>195</v>
      </c>
      <c r="BE1" t="s">
        <v>196</v>
      </c>
      <c r="BG1" t="s">
        <v>1</v>
      </c>
      <c r="BH1" t="s">
        <v>0</v>
      </c>
      <c r="BI1" t="s">
        <v>230</v>
      </c>
      <c r="BK1" t="s">
        <v>190</v>
      </c>
      <c r="BL1" t="s">
        <v>191</v>
      </c>
      <c r="BM1" t="s">
        <v>38</v>
      </c>
      <c r="BN1" t="s">
        <v>192</v>
      </c>
      <c r="BO1" t="s">
        <v>41</v>
      </c>
      <c r="BP1" t="s">
        <v>48</v>
      </c>
      <c r="BQ1" t="s">
        <v>193</v>
      </c>
      <c r="BR1" t="s">
        <v>49</v>
      </c>
      <c r="BS1" t="s">
        <v>194</v>
      </c>
      <c r="BT1" t="s">
        <v>285</v>
      </c>
      <c r="BU1" t="s">
        <v>196</v>
      </c>
    </row>
    <row r="2" spans="1:73" x14ac:dyDescent="0.3">
      <c r="A2" t="s">
        <v>151</v>
      </c>
      <c r="B2" t="s">
        <v>204</v>
      </c>
      <c r="C2" t="s">
        <v>152</v>
      </c>
      <c r="D2" t="s">
        <v>9</v>
      </c>
      <c r="E2" t="s">
        <v>208</v>
      </c>
      <c r="F2">
        <v>177400</v>
      </c>
      <c r="G2" s="1">
        <v>0.97268883878241263</v>
      </c>
      <c r="H2">
        <f t="shared" ref="H2:H29" si="0">SUM(I2:S2)</f>
        <v>172555</v>
      </c>
      <c r="I2">
        <v>48867</v>
      </c>
      <c r="J2">
        <v>27538</v>
      </c>
      <c r="K2">
        <v>906</v>
      </c>
      <c r="M2">
        <v>27049</v>
      </c>
      <c r="N2">
        <v>16470</v>
      </c>
      <c r="O2">
        <v>32295</v>
      </c>
      <c r="P2">
        <v>8604</v>
      </c>
      <c r="Q2">
        <v>1846</v>
      </c>
      <c r="S2">
        <v>8980</v>
      </c>
      <c r="U2">
        <v>0.28319666193387616</v>
      </c>
      <c r="V2">
        <v>0.1595896960389441</v>
      </c>
      <c r="W2">
        <v>5.250499840630524E-3</v>
      </c>
      <c r="X2">
        <v>0</v>
      </c>
      <c r="Y2">
        <v>0.15675581698588856</v>
      </c>
      <c r="Z2">
        <v>9.5447828228680712E-2</v>
      </c>
      <c r="AA2">
        <v>0.18715771782909796</v>
      </c>
      <c r="AB2">
        <v>4.9862362724928284E-2</v>
      </c>
      <c r="AC2">
        <v>1.0698038306626873E-2</v>
      </c>
      <c r="AD2">
        <v>0</v>
      </c>
      <c r="AE2">
        <v>5.2041378111326822E-2</v>
      </c>
      <c r="AH2">
        <v>0.28319666193387616</v>
      </c>
      <c r="AI2">
        <v>0.1595896960389441</v>
      </c>
      <c r="AJ2">
        <v>5.250499840630524E-3</v>
      </c>
      <c r="AK2">
        <v>0</v>
      </c>
      <c r="AL2">
        <v>0.15675581698588856</v>
      </c>
      <c r="AM2">
        <v>9.5447828228680712E-2</v>
      </c>
      <c r="AN2">
        <v>0.18715771782909796</v>
      </c>
      <c r="AO2">
        <v>4.9862362724928284E-2</v>
      </c>
      <c r="AP2">
        <v>1.0698038306626873E-2</v>
      </c>
      <c r="AQ2">
        <v>7.7506021042381655E-3</v>
      </c>
      <c r="AR2">
        <v>4.429077600708866E-2</v>
      </c>
      <c r="AT2">
        <v>177399.99999999997</v>
      </c>
      <c r="AU2" cm="1">
        <f t="array" ref="AU2:BE2">AH2:AR2*F2</f>
        <v>50239.087827069634</v>
      </c>
      <c r="AV2">
        <v>28311.212077308683</v>
      </c>
      <c r="AW2">
        <v>931.43867172785497</v>
      </c>
      <c r="AX2">
        <v>0</v>
      </c>
      <c r="AY2">
        <v>27808.481933296629</v>
      </c>
      <c r="AZ2">
        <v>16932.444727767957</v>
      </c>
      <c r="BA2">
        <v>33201.779142881976</v>
      </c>
      <c r="BB2">
        <v>8845.583147402278</v>
      </c>
      <c r="BC2">
        <v>1897.8319955956074</v>
      </c>
      <c r="BD2">
        <v>1374.9568132918505</v>
      </c>
      <c r="BE2">
        <v>7857.1836636575281</v>
      </c>
      <c r="BG2" t="s">
        <v>152</v>
      </c>
      <c r="BH2" t="s">
        <v>9</v>
      </c>
      <c r="BI2" t="s">
        <v>208</v>
      </c>
      <c r="BJ2">
        <v>177400</v>
      </c>
      <c r="BK2">
        <v>50240</v>
      </c>
      <c r="BL2">
        <v>28311</v>
      </c>
      <c r="BM2">
        <v>931</v>
      </c>
      <c r="BN2">
        <v>0</v>
      </c>
      <c r="BO2">
        <v>27808</v>
      </c>
      <c r="BP2">
        <v>16932</v>
      </c>
      <c r="BQ2">
        <v>33202</v>
      </c>
      <c r="BR2">
        <v>8846</v>
      </c>
      <c r="BS2">
        <v>1898</v>
      </c>
      <c r="BT2">
        <v>1375</v>
      </c>
      <c r="BU2">
        <v>7857</v>
      </c>
    </row>
    <row r="3" spans="1:73" x14ac:dyDescent="0.3">
      <c r="A3" t="s">
        <v>143</v>
      </c>
      <c r="B3" t="s">
        <v>234</v>
      </c>
      <c r="C3" t="s">
        <v>13</v>
      </c>
      <c r="D3" t="s">
        <v>11</v>
      </c>
      <c r="E3" t="s">
        <v>216</v>
      </c>
      <c r="H3">
        <f t="shared" si="0"/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T3">
        <v>0</v>
      </c>
      <c r="AU3" cm="1">
        <f t="array" ref="AU3:BE3">AH3:AR3*F3</f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G3" t="s">
        <v>13</v>
      </c>
      <c r="BH3" t="s">
        <v>11</v>
      </c>
      <c r="BI3" s="1" t="s">
        <v>216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3">
      <c r="A4" t="s">
        <v>146</v>
      </c>
      <c r="B4" t="s">
        <v>217</v>
      </c>
      <c r="C4" t="s">
        <v>13</v>
      </c>
      <c r="D4" t="s">
        <v>12</v>
      </c>
      <c r="E4" t="s">
        <v>216</v>
      </c>
      <c r="F4">
        <v>390000</v>
      </c>
      <c r="G4">
        <v>0.44880512820512819</v>
      </c>
      <c r="H4">
        <f t="shared" si="0"/>
        <v>175034</v>
      </c>
      <c r="I4">
        <v>2340</v>
      </c>
      <c r="J4">
        <v>18756</v>
      </c>
      <c r="M4">
        <v>143632</v>
      </c>
      <c r="N4">
        <v>3345</v>
      </c>
      <c r="O4">
        <v>2308</v>
      </c>
      <c r="P4">
        <v>2452</v>
      </c>
      <c r="S4">
        <v>2201</v>
      </c>
      <c r="U4">
        <v>1.3368831198510003E-2</v>
      </c>
      <c r="V4">
        <v>0.10715632391421095</v>
      </c>
      <c r="W4">
        <v>0</v>
      </c>
      <c r="X4">
        <v>0</v>
      </c>
      <c r="Y4">
        <v>0.82059485585657643</v>
      </c>
      <c r="Z4">
        <v>1.9110572802998275E-2</v>
      </c>
      <c r="AA4">
        <v>1.3186009575282516E-2</v>
      </c>
      <c r="AB4">
        <v>1.400870687980621E-2</v>
      </c>
      <c r="AC4">
        <v>0</v>
      </c>
      <c r="AD4">
        <v>0</v>
      </c>
      <c r="AE4">
        <v>1.2574699772615607E-2</v>
      </c>
      <c r="AH4">
        <v>1.3368831198510003E-2</v>
      </c>
      <c r="AI4">
        <v>0.10715632391421095</v>
      </c>
      <c r="AK4">
        <v>1.6000000000000001E-4</v>
      </c>
      <c r="AL4">
        <v>0.81573485585657635</v>
      </c>
      <c r="AM4">
        <v>1.9110572802998275E-2</v>
      </c>
      <c r="AN4">
        <v>1.3186009575282516E-2</v>
      </c>
      <c r="AO4">
        <v>1.400870687980621E-2</v>
      </c>
      <c r="AP4">
        <v>4.7000000000000002E-3</v>
      </c>
      <c r="AQ4">
        <v>1.4233078871949037E-3</v>
      </c>
      <c r="AR4">
        <v>1.1151391885420704E-2</v>
      </c>
      <c r="AT4">
        <v>389999.99999999994</v>
      </c>
      <c r="AU4" cm="1">
        <f t="array" ref="AU4:BE4">AH4:AR4*F4</f>
        <v>5213.8441674189007</v>
      </c>
      <c r="AV4">
        <v>41790.966326542271</v>
      </c>
      <c r="AW4">
        <v>0</v>
      </c>
      <c r="AX4">
        <v>62.400000000000006</v>
      </c>
      <c r="AY4">
        <v>318136.59378406475</v>
      </c>
      <c r="AZ4">
        <v>7453.1233931693268</v>
      </c>
      <c r="BA4">
        <v>5142.5437343601816</v>
      </c>
      <c r="BB4">
        <v>5463.3956831244222</v>
      </c>
      <c r="BC4">
        <v>1833</v>
      </c>
      <c r="BD4">
        <v>555.0900760060124</v>
      </c>
      <c r="BE4">
        <v>4349.0428353140742</v>
      </c>
      <c r="BG4" t="s">
        <v>13</v>
      </c>
      <c r="BH4" t="s">
        <v>12</v>
      </c>
      <c r="BI4" s="1" t="s">
        <v>216</v>
      </c>
      <c r="BJ4">
        <v>390000</v>
      </c>
      <c r="BK4">
        <v>5214</v>
      </c>
      <c r="BL4">
        <v>41791</v>
      </c>
      <c r="BM4">
        <v>0</v>
      </c>
      <c r="BN4">
        <v>62</v>
      </c>
      <c r="BO4">
        <v>318137</v>
      </c>
      <c r="BP4">
        <v>7453</v>
      </c>
      <c r="BQ4">
        <v>5143</v>
      </c>
      <c r="BR4">
        <v>5463</v>
      </c>
      <c r="BS4">
        <v>1833</v>
      </c>
      <c r="BT4">
        <v>555</v>
      </c>
      <c r="BU4">
        <v>4349</v>
      </c>
    </row>
    <row r="5" spans="1:73" x14ac:dyDescent="0.3">
      <c r="A5" t="s">
        <v>117</v>
      </c>
      <c r="B5" t="s">
        <v>209</v>
      </c>
      <c r="C5" t="s">
        <v>2</v>
      </c>
      <c r="D5" t="s">
        <v>2</v>
      </c>
      <c r="E5" t="s">
        <v>207</v>
      </c>
      <c r="F5">
        <v>324000</v>
      </c>
      <c r="G5" s="1">
        <v>0.8547469135802469</v>
      </c>
      <c r="H5">
        <f t="shared" si="0"/>
        <v>276938</v>
      </c>
      <c r="I5">
        <v>186920</v>
      </c>
      <c r="J5">
        <v>2911</v>
      </c>
      <c r="L5">
        <v>13765</v>
      </c>
      <c r="M5">
        <v>30208</v>
      </c>
      <c r="N5">
        <v>40606</v>
      </c>
      <c r="O5">
        <v>1710</v>
      </c>
      <c r="S5">
        <v>818</v>
      </c>
      <c r="U5">
        <v>0.6749525164477248</v>
      </c>
      <c r="V5">
        <v>1.0511377997963443E-2</v>
      </c>
      <c r="W5">
        <v>0</v>
      </c>
      <c r="X5">
        <v>4.9704265936780075E-2</v>
      </c>
      <c r="Y5">
        <v>0.10907856632170378</v>
      </c>
      <c r="Z5">
        <v>0.1466248763261091</v>
      </c>
      <c r="AA5">
        <v>6.1746672540424208E-3</v>
      </c>
      <c r="AB5">
        <v>0</v>
      </c>
      <c r="AC5">
        <v>0</v>
      </c>
      <c r="AD5">
        <v>0</v>
      </c>
      <c r="AE5">
        <v>2.953729715676433E-3</v>
      </c>
      <c r="AH5">
        <v>0.67475498558352709</v>
      </c>
      <c r="AI5">
        <v>1.0511377997963443E-2</v>
      </c>
      <c r="AJ5">
        <v>0</v>
      </c>
      <c r="AK5">
        <v>4.9704265936780075E-2</v>
      </c>
      <c r="AL5">
        <v>0.10907856632170378</v>
      </c>
      <c r="AM5">
        <v>0.1466248763261091</v>
      </c>
      <c r="AN5">
        <v>6.1746672540424208E-3</v>
      </c>
      <c r="AO5">
        <v>9.8765432098765426E-5</v>
      </c>
      <c r="AP5">
        <v>9.8765432098765426E-5</v>
      </c>
      <c r="AQ5">
        <v>2.953729715676433E-3</v>
      </c>
      <c r="AR5">
        <v>0</v>
      </c>
      <c r="AT5">
        <v>323999.99999999994</v>
      </c>
      <c r="AU5" cm="1">
        <f t="array" ref="AU5:BE5">AH5:AR5*F5</f>
        <v>218620.61532906277</v>
      </c>
      <c r="AV5">
        <v>3405.6864713401555</v>
      </c>
      <c r="AW5">
        <v>0</v>
      </c>
      <c r="AX5">
        <v>16104.182163516743</v>
      </c>
      <c r="AY5">
        <v>35341.455488232023</v>
      </c>
      <c r="AZ5">
        <v>47506.459929659351</v>
      </c>
      <c r="BA5">
        <v>2000.5921903097444</v>
      </c>
      <c r="BB5">
        <v>31.999999999999996</v>
      </c>
      <c r="BC5">
        <v>31.999999999999996</v>
      </c>
      <c r="BD5">
        <v>957.00842787916429</v>
      </c>
      <c r="BE5">
        <v>0</v>
      </c>
      <c r="BG5" t="s">
        <v>2</v>
      </c>
      <c r="BH5" t="s">
        <v>2</v>
      </c>
      <c r="BI5" t="s">
        <v>207</v>
      </c>
      <c r="BJ5">
        <v>324000</v>
      </c>
      <c r="BK5">
        <v>218621</v>
      </c>
      <c r="BL5">
        <v>3406</v>
      </c>
      <c r="BM5">
        <v>0</v>
      </c>
      <c r="BN5">
        <v>16104</v>
      </c>
      <c r="BO5">
        <v>35341</v>
      </c>
      <c r="BP5">
        <v>47506</v>
      </c>
      <c r="BQ5">
        <v>2001</v>
      </c>
      <c r="BR5">
        <v>32</v>
      </c>
      <c r="BS5">
        <v>32</v>
      </c>
      <c r="BT5">
        <v>957</v>
      </c>
      <c r="BU5">
        <v>0</v>
      </c>
    </row>
    <row r="6" spans="1:73" x14ac:dyDescent="0.3">
      <c r="A6" t="s">
        <v>168</v>
      </c>
      <c r="B6" t="s">
        <v>226</v>
      </c>
      <c r="C6" t="s">
        <v>169</v>
      </c>
      <c r="D6" t="s">
        <v>31</v>
      </c>
      <c r="E6" t="s">
        <v>206</v>
      </c>
      <c r="F6">
        <v>104300</v>
      </c>
      <c r="G6">
        <v>1.157861936720997</v>
      </c>
      <c r="H6">
        <f t="shared" si="0"/>
        <v>120765</v>
      </c>
      <c r="I6">
        <v>53429</v>
      </c>
      <c r="J6">
        <v>18239</v>
      </c>
      <c r="K6">
        <v>585</v>
      </c>
      <c r="M6">
        <v>37214</v>
      </c>
      <c r="O6">
        <v>10489</v>
      </c>
      <c r="S6">
        <v>809</v>
      </c>
      <c r="U6">
        <v>0.44242123131702066</v>
      </c>
      <c r="V6">
        <v>0.15102885769883659</v>
      </c>
      <c r="W6">
        <v>4.8441187430132903E-3</v>
      </c>
      <c r="X6">
        <v>0</v>
      </c>
      <c r="Y6">
        <v>0.30815219641452407</v>
      </c>
      <c r="Z6">
        <v>0</v>
      </c>
      <c r="AA6">
        <v>8.6854635034985306E-2</v>
      </c>
      <c r="AB6">
        <v>0</v>
      </c>
      <c r="AC6">
        <v>0</v>
      </c>
      <c r="AD6">
        <v>0</v>
      </c>
      <c r="AE6">
        <v>6.6989607916200884E-3</v>
      </c>
      <c r="AH6">
        <v>0.43115565125949412</v>
      </c>
      <c r="AI6">
        <v>0.15102885769883659</v>
      </c>
      <c r="AJ6">
        <v>4.8441187430132903E-3</v>
      </c>
      <c r="AK6">
        <v>0</v>
      </c>
      <c r="AL6">
        <v>0.30565219641452407</v>
      </c>
      <c r="AM6">
        <v>2.5000000000000001E-3</v>
      </c>
      <c r="AN6">
        <v>8.6854635034985306E-2</v>
      </c>
      <c r="AO6">
        <v>1.0891658676893576E-2</v>
      </c>
      <c r="AP6">
        <v>3.7392138063279003E-4</v>
      </c>
      <c r="AQ6">
        <v>2.6939520609732259E-3</v>
      </c>
      <c r="AR6">
        <v>4.0050087306468625E-3</v>
      </c>
      <c r="AT6">
        <v>104299.99999999997</v>
      </c>
      <c r="AU6" cm="1">
        <f t="array" ref="AU6:BE6">AH6:AR6*F6</f>
        <v>44969.534426365237</v>
      </c>
      <c r="AV6">
        <v>15752.309857988655</v>
      </c>
      <c r="AW6">
        <v>505.24158489628616</v>
      </c>
      <c r="AX6">
        <v>0</v>
      </c>
      <c r="AY6">
        <v>31879.52408603486</v>
      </c>
      <c r="AZ6">
        <v>260.75</v>
      </c>
      <c r="BA6">
        <v>9058.9384341489676</v>
      </c>
      <c r="BB6">
        <v>1136</v>
      </c>
      <c r="BC6">
        <v>39</v>
      </c>
      <c r="BD6">
        <v>280.97919995950747</v>
      </c>
      <c r="BE6">
        <v>417.72241060646775</v>
      </c>
      <c r="BG6" t="s">
        <v>169</v>
      </c>
      <c r="BH6" t="s">
        <v>31</v>
      </c>
      <c r="BI6" s="1" t="s">
        <v>206</v>
      </c>
      <c r="BJ6">
        <v>104300</v>
      </c>
      <c r="BK6">
        <v>44969</v>
      </c>
      <c r="BL6">
        <v>15752</v>
      </c>
      <c r="BM6">
        <v>505</v>
      </c>
      <c r="BN6">
        <v>0</v>
      </c>
      <c r="BO6">
        <v>31880</v>
      </c>
      <c r="BP6">
        <v>261</v>
      </c>
      <c r="BQ6">
        <v>9059</v>
      </c>
      <c r="BR6">
        <v>1136</v>
      </c>
      <c r="BS6">
        <v>39</v>
      </c>
      <c r="BT6">
        <v>281</v>
      </c>
      <c r="BU6">
        <v>418</v>
      </c>
    </row>
    <row r="7" spans="1:73" x14ac:dyDescent="0.3">
      <c r="A7" t="s">
        <v>172</v>
      </c>
      <c r="B7" t="s">
        <v>226</v>
      </c>
      <c r="C7" t="s">
        <v>169</v>
      </c>
      <c r="D7" t="s">
        <v>30</v>
      </c>
      <c r="E7" t="s">
        <v>206</v>
      </c>
      <c r="H7">
        <f t="shared" si="0"/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T7">
        <v>0</v>
      </c>
      <c r="AU7" cm="1">
        <f t="array" ref="AU7:BE7">AH7:AR7*F7</f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G7" t="s">
        <v>169</v>
      </c>
      <c r="BH7" t="s">
        <v>30</v>
      </c>
      <c r="BI7" s="1" t="s">
        <v>206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 x14ac:dyDescent="0.3">
      <c r="A8" t="s">
        <v>166</v>
      </c>
      <c r="B8" t="s">
        <v>212</v>
      </c>
      <c r="C8" t="s">
        <v>152</v>
      </c>
      <c r="D8" t="s">
        <v>7</v>
      </c>
      <c r="E8" t="s">
        <v>211</v>
      </c>
      <c r="F8">
        <v>120200</v>
      </c>
      <c r="G8">
        <v>1.16608153078203</v>
      </c>
      <c r="H8">
        <f t="shared" si="0"/>
        <v>140163</v>
      </c>
      <c r="I8">
        <v>68362</v>
      </c>
      <c r="J8">
        <v>20566</v>
      </c>
      <c r="K8">
        <v>20678</v>
      </c>
      <c r="M8">
        <v>10117</v>
      </c>
      <c r="N8">
        <v>10042</v>
      </c>
      <c r="O8">
        <v>10398</v>
      </c>
      <c r="U8">
        <v>0.48773214043649182</v>
      </c>
      <c r="V8">
        <v>0.14672916532893845</v>
      </c>
      <c r="W8">
        <v>0.14752823498355486</v>
      </c>
      <c r="X8">
        <v>0</v>
      </c>
      <c r="Y8">
        <v>7.2180247283519905E-2</v>
      </c>
      <c r="Z8">
        <v>7.1645155996946416E-2</v>
      </c>
      <c r="AA8">
        <v>7.4185055970548572E-2</v>
      </c>
      <c r="AB8">
        <v>0</v>
      </c>
      <c r="AC8">
        <v>0</v>
      </c>
      <c r="AD8">
        <v>0</v>
      </c>
      <c r="AE8">
        <v>0</v>
      </c>
      <c r="AH8">
        <v>0.4828428226328314</v>
      </c>
      <c r="AI8">
        <v>0.14672916532893845</v>
      </c>
      <c r="AJ8">
        <v>0.14752823498355486</v>
      </c>
      <c r="AK8">
        <v>0</v>
      </c>
      <c r="AL8">
        <v>7.2180247283519905E-2</v>
      </c>
      <c r="AM8">
        <v>7.1645155996946416E-2</v>
      </c>
      <c r="AN8">
        <v>7.4185055970548572E-2</v>
      </c>
      <c r="AO8">
        <v>1.9000000000000001E-4</v>
      </c>
      <c r="AP8">
        <v>2.9E-4</v>
      </c>
      <c r="AQ8">
        <v>3.3334768608080799E-3</v>
      </c>
      <c r="AR8">
        <v>1.0758409428524855E-3</v>
      </c>
      <c r="AT8">
        <v>120200.00000000003</v>
      </c>
      <c r="AU8" cm="1">
        <f t="array" ref="AU8:BE8">AH8:AR8*F8</f>
        <v>58037.707280466333</v>
      </c>
      <c r="AV8">
        <v>17636.845672538402</v>
      </c>
      <c r="AW8">
        <v>17732.893845023293</v>
      </c>
      <c r="AX8">
        <v>0</v>
      </c>
      <c r="AY8">
        <v>8676.0657234790924</v>
      </c>
      <c r="AZ8">
        <v>8611.7477508329594</v>
      </c>
      <c r="BA8">
        <v>8917.0437276599387</v>
      </c>
      <c r="BB8">
        <v>22.838000000000001</v>
      </c>
      <c r="BC8">
        <v>34.857999999999997</v>
      </c>
      <c r="BD8">
        <v>400.68391866913123</v>
      </c>
      <c r="BE8">
        <v>129.31608133086877</v>
      </c>
      <c r="BG8" t="s">
        <v>152</v>
      </c>
      <c r="BH8" t="s">
        <v>7</v>
      </c>
      <c r="BI8" s="1" t="s">
        <v>211</v>
      </c>
      <c r="BJ8">
        <v>120200</v>
      </c>
      <c r="BK8">
        <v>58037</v>
      </c>
      <c r="BL8">
        <v>17637</v>
      </c>
      <c r="BM8">
        <v>17733</v>
      </c>
      <c r="BN8">
        <v>0</v>
      </c>
      <c r="BO8">
        <v>8676</v>
      </c>
      <c r="BP8">
        <v>8612</v>
      </c>
      <c r="BQ8">
        <v>8917</v>
      </c>
      <c r="BR8">
        <v>23</v>
      </c>
      <c r="BS8">
        <v>35</v>
      </c>
      <c r="BT8">
        <v>401</v>
      </c>
      <c r="BU8">
        <v>129</v>
      </c>
    </row>
    <row r="9" spans="1:73" x14ac:dyDescent="0.3">
      <c r="A9" t="s">
        <v>161</v>
      </c>
      <c r="B9" t="s">
        <v>235</v>
      </c>
      <c r="C9" t="s">
        <v>152</v>
      </c>
      <c r="D9" t="s">
        <v>8</v>
      </c>
      <c r="E9" t="s">
        <v>211</v>
      </c>
      <c r="H9">
        <f t="shared" si="0"/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T9">
        <v>0</v>
      </c>
      <c r="AU9" cm="1">
        <f t="array" ref="AU9:BE9">AH9:AR9*F9</f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G9" t="s">
        <v>152</v>
      </c>
      <c r="BH9" t="s">
        <v>8</v>
      </c>
      <c r="BI9" s="1" t="s">
        <v>211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 x14ac:dyDescent="0.3">
      <c r="A10" t="s">
        <v>149</v>
      </c>
      <c r="B10" t="s">
        <v>219</v>
      </c>
      <c r="C10" t="s">
        <v>15</v>
      </c>
      <c r="D10" t="s">
        <v>18</v>
      </c>
      <c r="E10" t="s">
        <v>218</v>
      </c>
      <c r="F10">
        <v>511000</v>
      </c>
      <c r="G10">
        <v>0.34865949119373779</v>
      </c>
      <c r="H10">
        <f t="shared" si="0"/>
        <v>178165</v>
      </c>
      <c r="I10">
        <v>3354</v>
      </c>
      <c r="J10">
        <v>5398</v>
      </c>
      <c r="K10">
        <v>2458</v>
      </c>
      <c r="M10">
        <v>79907</v>
      </c>
      <c r="N10">
        <v>25971</v>
      </c>
      <c r="O10">
        <v>17510</v>
      </c>
      <c r="P10">
        <v>25499</v>
      </c>
      <c r="Q10">
        <v>6886</v>
      </c>
      <c r="S10">
        <v>11182</v>
      </c>
      <c r="U10">
        <v>1.8825246260488874E-2</v>
      </c>
      <c r="V10">
        <v>3.0297757696517272E-2</v>
      </c>
      <c r="W10">
        <v>1.3796200151544917E-2</v>
      </c>
      <c r="X10">
        <v>0</v>
      </c>
      <c r="Y10">
        <v>0.44849998596806329</v>
      </c>
      <c r="Z10">
        <v>0.14576937108859764</v>
      </c>
      <c r="AA10">
        <v>9.8279684562063249E-2</v>
      </c>
      <c r="AB10">
        <v>0.14312014144192181</v>
      </c>
      <c r="AC10">
        <v>3.8649566413156346E-2</v>
      </c>
      <c r="AD10">
        <v>0</v>
      </c>
      <c r="AE10">
        <v>6.2762046417646558E-2</v>
      </c>
      <c r="AH10">
        <v>1.8825246260488874E-2</v>
      </c>
      <c r="AI10">
        <v>3.0297757696517272E-2</v>
      </c>
      <c r="AJ10">
        <v>1.3796200151544917E-2</v>
      </c>
      <c r="AK10">
        <v>1.1900000000000001E-3</v>
      </c>
      <c r="AL10">
        <v>0.44730998596806326</v>
      </c>
      <c r="AM10">
        <v>0.14576937108859764</v>
      </c>
      <c r="AN10">
        <v>9.8279684562063249E-2</v>
      </c>
      <c r="AO10">
        <v>0.14312014144192181</v>
      </c>
      <c r="AP10">
        <v>3.8649566413156346E-2</v>
      </c>
      <c r="AQ10">
        <v>1.5741032805301147E-2</v>
      </c>
      <c r="AR10">
        <v>4.7021013612345411E-2</v>
      </c>
      <c r="AT10">
        <v>511000.00000000006</v>
      </c>
      <c r="AU10" cm="1">
        <f t="array" ref="AU10:BE10">AH10:AR10*F10</f>
        <v>9619.7008391098152</v>
      </c>
      <c r="AV10">
        <v>15482.154182920327</v>
      </c>
      <c r="AW10">
        <v>7049.8582774394526</v>
      </c>
      <c r="AX10">
        <v>608.09</v>
      </c>
      <c r="AY10">
        <v>228575.40282968033</v>
      </c>
      <c r="AZ10">
        <v>74488.148626273396</v>
      </c>
      <c r="BA10">
        <v>50220.918811214324</v>
      </c>
      <c r="BB10">
        <v>73134.392276822051</v>
      </c>
      <c r="BC10">
        <v>19749.928437122893</v>
      </c>
      <c r="BD10">
        <v>8043.6677635088863</v>
      </c>
      <c r="BE10">
        <v>24027.737955908506</v>
      </c>
      <c r="BG10" t="s">
        <v>15</v>
      </c>
      <c r="BH10" t="s">
        <v>18</v>
      </c>
      <c r="BI10" t="s">
        <v>218</v>
      </c>
      <c r="BJ10">
        <v>511000</v>
      </c>
      <c r="BK10">
        <v>9620</v>
      </c>
      <c r="BL10">
        <v>15482</v>
      </c>
      <c r="BM10">
        <v>7050</v>
      </c>
      <c r="BN10">
        <v>608</v>
      </c>
      <c r="BO10">
        <v>228575</v>
      </c>
      <c r="BP10">
        <v>74488</v>
      </c>
      <c r="BQ10">
        <v>50221</v>
      </c>
      <c r="BR10">
        <v>73134</v>
      </c>
      <c r="BS10">
        <v>19750</v>
      </c>
      <c r="BT10">
        <v>8044</v>
      </c>
      <c r="BU10">
        <v>24028</v>
      </c>
    </row>
    <row r="11" spans="1:73" x14ac:dyDescent="0.3">
      <c r="A11" t="s">
        <v>124</v>
      </c>
      <c r="B11" t="s">
        <v>203</v>
      </c>
      <c r="C11" t="s">
        <v>125</v>
      </c>
      <c r="D11" t="s">
        <v>26</v>
      </c>
      <c r="E11" t="s">
        <v>200</v>
      </c>
      <c r="F11">
        <v>384600</v>
      </c>
      <c r="G11" s="1">
        <v>0.89199427977119083</v>
      </c>
      <c r="H11">
        <f t="shared" si="0"/>
        <v>343061</v>
      </c>
      <c r="I11">
        <v>284425</v>
      </c>
      <c r="L11">
        <v>20717</v>
      </c>
      <c r="M11">
        <v>11616</v>
      </c>
      <c r="N11">
        <v>21404</v>
      </c>
      <c r="P11">
        <v>1771</v>
      </c>
      <c r="Q11">
        <v>1101</v>
      </c>
      <c r="S11">
        <v>2027</v>
      </c>
      <c r="U11">
        <v>0.82907995954072311</v>
      </c>
      <c r="V11">
        <v>0</v>
      </c>
      <c r="W11">
        <v>0</v>
      </c>
      <c r="X11">
        <v>6.0388677232328943E-2</v>
      </c>
      <c r="Y11">
        <v>3.3859867487123281E-2</v>
      </c>
      <c r="Z11">
        <v>6.2391236543938251E-2</v>
      </c>
      <c r="AA11">
        <v>0</v>
      </c>
      <c r="AB11">
        <v>5.1623472210481514E-3</v>
      </c>
      <c r="AC11">
        <v>3.2093417788673149E-3</v>
      </c>
      <c r="AD11">
        <v>0</v>
      </c>
      <c r="AE11">
        <v>5.9085701959709792E-3</v>
      </c>
      <c r="AH11">
        <v>0.8206899595407231</v>
      </c>
      <c r="AI11">
        <v>2.5899999999999999E-3</v>
      </c>
      <c r="AJ11">
        <v>2.8E-3</v>
      </c>
      <c r="AK11">
        <v>6.0388677232328943E-2</v>
      </c>
      <c r="AL11">
        <v>3.3859867487123281E-2</v>
      </c>
      <c r="AM11">
        <v>6.2391236543938251E-2</v>
      </c>
      <c r="AN11">
        <v>3.0000000000000001E-3</v>
      </c>
      <c r="AO11">
        <v>5.1623472210481514E-3</v>
      </c>
      <c r="AP11">
        <v>3.2093417788673149E-3</v>
      </c>
      <c r="AQ11">
        <v>2.0550021192883611E-3</v>
      </c>
      <c r="AR11">
        <v>3.8535680766826185E-3</v>
      </c>
      <c r="AT11">
        <v>384599.99999999994</v>
      </c>
      <c r="AU11" cm="1">
        <f t="array" ref="AU11:BE11">AH11:AR11*F11</f>
        <v>315637.35843936208</v>
      </c>
      <c r="AV11">
        <v>996.11399999999992</v>
      </c>
      <c r="AW11">
        <v>1076.8799999999999</v>
      </c>
      <c r="AX11">
        <v>23225.48526355371</v>
      </c>
      <c r="AY11">
        <v>13022.505035547614</v>
      </c>
      <c r="AZ11">
        <v>23995.669574798652</v>
      </c>
      <c r="BA11">
        <v>1153.8</v>
      </c>
      <c r="BB11">
        <v>1985.4387412151191</v>
      </c>
      <c r="BC11">
        <v>1234.3128481523693</v>
      </c>
      <c r="BD11">
        <v>790.35381507830368</v>
      </c>
      <c r="BE11">
        <v>1482.082282292135</v>
      </c>
      <c r="BG11" t="s">
        <v>125</v>
      </c>
      <c r="BH11" t="s">
        <v>26</v>
      </c>
      <c r="BI11" s="1" t="s">
        <v>200</v>
      </c>
      <c r="BJ11">
        <v>384600</v>
      </c>
      <c r="BK11">
        <v>315638</v>
      </c>
      <c r="BL11">
        <v>996</v>
      </c>
      <c r="BM11">
        <v>1077</v>
      </c>
      <c r="BN11">
        <v>23225</v>
      </c>
      <c r="BO11">
        <v>13023</v>
      </c>
      <c r="BP11">
        <v>23996</v>
      </c>
      <c r="BQ11">
        <v>1154</v>
      </c>
      <c r="BR11">
        <v>1985</v>
      </c>
      <c r="BS11">
        <v>1234</v>
      </c>
      <c r="BT11">
        <v>790</v>
      </c>
      <c r="BU11">
        <v>1482</v>
      </c>
    </row>
    <row r="12" spans="1:73" x14ac:dyDescent="0.3">
      <c r="A12" t="s">
        <v>127</v>
      </c>
      <c r="B12" t="s">
        <v>236</v>
      </c>
      <c r="C12" t="s">
        <v>125</v>
      </c>
      <c r="D12" t="s">
        <v>27</v>
      </c>
      <c r="E12" t="s">
        <v>200</v>
      </c>
      <c r="H12">
        <f t="shared" si="0"/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T12">
        <v>0</v>
      </c>
      <c r="AU12" cm="1">
        <f t="array" ref="AU12:BE12">AH12:AR12*F12</f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G12" t="s">
        <v>125</v>
      </c>
      <c r="BH12" t="s">
        <v>27</v>
      </c>
      <c r="BI12" s="1" t="s">
        <v>200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</row>
    <row r="13" spans="1:73" x14ac:dyDescent="0.3">
      <c r="A13" t="s">
        <v>172</v>
      </c>
      <c r="B13" t="s">
        <v>232</v>
      </c>
      <c r="C13" t="s">
        <v>169</v>
      </c>
      <c r="D13" t="s">
        <v>274</v>
      </c>
      <c r="E13" t="s">
        <v>201</v>
      </c>
      <c r="H13">
        <f t="shared" si="0"/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T13">
        <v>0</v>
      </c>
      <c r="AU13" cm="1">
        <f t="array" ref="AU13:BE13">AH13:AR13*F13</f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G13" t="s">
        <v>169</v>
      </c>
      <c r="BH13" t="s">
        <v>274</v>
      </c>
      <c r="BI13" s="1" t="s">
        <v>201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 x14ac:dyDescent="0.3">
      <c r="A14" t="s">
        <v>183</v>
      </c>
      <c r="B14" t="s">
        <v>232</v>
      </c>
      <c r="C14" t="s">
        <v>169</v>
      </c>
      <c r="D14" t="s">
        <v>32</v>
      </c>
      <c r="E14" t="s">
        <v>201</v>
      </c>
      <c r="F14">
        <v>480100</v>
      </c>
      <c r="G14">
        <v>0.62007498437825448</v>
      </c>
      <c r="H14">
        <f t="shared" si="0"/>
        <v>297698</v>
      </c>
      <c r="I14">
        <v>18166</v>
      </c>
      <c r="J14">
        <v>242293</v>
      </c>
      <c r="M14">
        <v>13546</v>
      </c>
      <c r="O14">
        <v>20285</v>
      </c>
      <c r="S14">
        <v>3408</v>
      </c>
      <c r="U14">
        <v>6.1021572197327491E-2</v>
      </c>
      <c r="V14">
        <v>0.8138885716397154</v>
      </c>
      <c r="W14">
        <v>0</v>
      </c>
      <c r="X14">
        <v>0</v>
      </c>
      <c r="Y14">
        <v>4.5502489099691637E-2</v>
      </c>
      <c r="Z14">
        <v>0</v>
      </c>
      <c r="AA14">
        <v>6.8139523947087319E-2</v>
      </c>
      <c r="AB14">
        <v>0</v>
      </c>
      <c r="AC14">
        <v>0</v>
      </c>
      <c r="AD14">
        <v>0</v>
      </c>
      <c r="AE14">
        <v>1.1447843116178141E-2</v>
      </c>
      <c r="AH14">
        <v>6.1021572197327491E-2</v>
      </c>
      <c r="AI14">
        <v>0.80566838001297092</v>
      </c>
      <c r="AJ14">
        <v>4.4000000000000002E-4</v>
      </c>
      <c r="AK14">
        <v>0</v>
      </c>
      <c r="AL14">
        <v>4.5502489099691637E-2</v>
      </c>
      <c r="AM14">
        <v>2.7000000000000001E-3</v>
      </c>
      <c r="AN14">
        <v>6.8139523947087319E-2</v>
      </c>
      <c r="AO14">
        <v>4.6219537596334098E-3</v>
      </c>
      <c r="AP14">
        <v>4.5823786711101852E-4</v>
      </c>
      <c r="AQ14">
        <v>9.7694383099292056E-3</v>
      </c>
      <c r="AR14">
        <v>1.6784048062489347E-3</v>
      </c>
      <c r="AT14">
        <v>480100</v>
      </c>
      <c r="AU14" cm="1">
        <f t="array" ref="AU14:BE14">AH14:AR14*F14</f>
        <v>29296.456811936929</v>
      </c>
      <c r="AV14">
        <v>386801.38924422732</v>
      </c>
      <c r="AW14">
        <v>211.244</v>
      </c>
      <c r="AX14">
        <v>0</v>
      </c>
      <c r="AY14">
        <v>21845.745016761954</v>
      </c>
      <c r="AZ14">
        <v>1296.27</v>
      </c>
      <c r="BA14">
        <v>32713.785446996622</v>
      </c>
      <c r="BB14">
        <v>2219</v>
      </c>
      <c r="BC14">
        <v>220</v>
      </c>
      <c r="BD14">
        <v>4690.3073325970117</v>
      </c>
      <c r="BE14">
        <v>805.80214748011349</v>
      </c>
      <c r="BG14" t="s">
        <v>169</v>
      </c>
      <c r="BH14" t="s">
        <v>32</v>
      </c>
      <c r="BI14" s="1" t="s">
        <v>201</v>
      </c>
      <c r="BJ14">
        <v>480100</v>
      </c>
      <c r="BK14">
        <v>29297</v>
      </c>
      <c r="BL14">
        <v>386801</v>
      </c>
      <c r="BM14">
        <v>211</v>
      </c>
      <c r="BN14">
        <v>0</v>
      </c>
      <c r="BO14">
        <v>21846</v>
      </c>
      <c r="BP14">
        <v>1296</v>
      </c>
      <c r="BQ14">
        <v>32714</v>
      </c>
      <c r="BR14">
        <v>2219</v>
      </c>
      <c r="BS14">
        <v>220</v>
      </c>
      <c r="BT14">
        <v>4690</v>
      </c>
      <c r="BU14">
        <v>806</v>
      </c>
    </row>
    <row r="15" spans="1:73" x14ac:dyDescent="0.3">
      <c r="A15" t="s">
        <v>131</v>
      </c>
      <c r="B15" t="s">
        <v>214</v>
      </c>
      <c r="C15" t="s">
        <v>121</v>
      </c>
      <c r="D15" t="s">
        <v>3</v>
      </c>
      <c r="E15" t="s">
        <v>213</v>
      </c>
      <c r="F15">
        <v>245100</v>
      </c>
      <c r="G15">
        <v>1.2606976744186047</v>
      </c>
      <c r="H15">
        <f t="shared" si="0"/>
        <v>308997</v>
      </c>
      <c r="I15">
        <v>41081</v>
      </c>
      <c r="J15">
        <v>226405</v>
      </c>
      <c r="M15">
        <v>22706</v>
      </c>
      <c r="N15">
        <v>2236</v>
      </c>
      <c r="O15">
        <v>16569</v>
      </c>
      <c r="U15">
        <v>0.13294951083667478</v>
      </c>
      <c r="V15">
        <v>0.73270937905546007</v>
      </c>
      <c r="W15">
        <v>0</v>
      </c>
      <c r="X15">
        <v>0</v>
      </c>
      <c r="Y15">
        <v>7.3482914073599415E-2</v>
      </c>
      <c r="Z15">
        <v>7.2363162101897428E-3</v>
      </c>
      <c r="AA15">
        <v>5.3621879824075964E-2</v>
      </c>
      <c r="AB15">
        <v>0</v>
      </c>
      <c r="AC15">
        <v>0</v>
      </c>
      <c r="AD15">
        <v>0</v>
      </c>
      <c r="AE15">
        <v>0</v>
      </c>
      <c r="AH15">
        <v>0.13294951083667478</v>
      </c>
      <c r="AI15">
        <v>0.73200954225415449</v>
      </c>
      <c r="AJ15">
        <v>0</v>
      </c>
      <c r="AK15">
        <v>2.9999999999999997E-4</v>
      </c>
      <c r="AL15">
        <v>7.3482914073599415E-2</v>
      </c>
      <c r="AM15">
        <v>7.2363162101897428E-3</v>
      </c>
      <c r="AN15">
        <v>5.3621879824075964E-2</v>
      </c>
      <c r="AO15">
        <v>3.9983680130558957E-4</v>
      </c>
      <c r="AP15">
        <v>0</v>
      </c>
      <c r="AQ15">
        <v>0</v>
      </c>
      <c r="AR15">
        <v>0</v>
      </c>
      <c r="AT15">
        <v>245100</v>
      </c>
      <c r="AU15" cm="1">
        <f t="array" ref="AU15:BE15">AH15:AR15*F15</f>
        <v>32585.925106068989</v>
      </c>
      <c r="AV15">
        <v>179415.53880649328</v>
      </c>
      <c r="AW15">
        <v>0</v>
      </c>
      <c r="AX15">
        <v>73.529999999999987</v>
      </c>
      <c r="AY15">
        <v>18010.662239439218</v>
      </c>
      <c r="AZ15">
        <v>1773.621103117506</v>
      </c>
      <c r="BA15">
        <v>13142.722744881019</v>
      </c>
      <c r="BB15">
        <v>98</v>
      </c>
      <c r="BC15">
        <v>0</v>
      </c>
      <c r="BD15">
        <v>0</v>
      </c>
      <c r="BE15">
        <v>0</v>
      </c>
      <c r="BG15" t="s">
        <v>121</v>
      </c>
      <c r="BH15" t="s">
        <v>3</v>
      </c>
      <c r="BI15" s="1" t="s">
        <v>213</v>
      </c>
      <c r="BJ15">
        <v>245100</v>
      </c>
      <c r="BK15">
        <v>32584</v>
      </c>
      <c r="BL15">
        <v>179416</v>
      </c>
      <c r="BM15">
        <v>0</v>
      </c>
      <c r="BN15">
        <v>74</v>
      </c>
      <c r="BO15">
        <v>18011</v>
      </c>
      <c r="BP15">
        <v>1774</v>
      </c>
      <c r="BQ15">
        <v>13143</v>
      </c>
      <c r="BR15">
        <v>98</v>
      </c>
      <c r="BS15">
        <v>0</v>
      </c>
      <c r="BT15">
        <v>0</v>
      </c>
      <c r="BU15">
        <v>0</v>
      </c>
    </row>
    <row r="16" spans="1:73" x14ac:dyDescent="0.3">
      <c r="A16" t="s">
        <v>120</v>
      </c>
      <c r="B16" t="s">
        <v>237</v>
      </c>
      <c r="C16" t="s">
        <v>121</v>
      </c>
      <c r="D16" t="s">
        <v>4</v>
      </c>
      <c r="E16" t="s">
        <v>213</v>
      </c>
      <c r="H16">
        <f t="shared" si="0"/>
        <v>0</v>
      </c>
      <c r="AH16">
        <v>0</v>
      </c>
      <c r="AI16">
        <v>0</v>
      </c>
      <c r="AJ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T16">
        <v>0</v>
      </c>
      <c r="AU16" cm="1">
        <f t="array" ref="AU16:BE16">AH16:AR16*F16</f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G16" t="s">
        <v>121</v>
      </c>
      <c r="BH16" t="s">
        <v>4</v>
      </c>
      <c r="BI16" s="1" t="s">
        <v>213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73" x14ac:dyDescent="0.3">
      <c r="A17" t="s">
        <v>156</v>
      </c>
      <c r="B17" t="s">
        <v>221</v>
      </c>
      <c r="C17" t="s">
        <v>15</v>
      </c>
      <c r="D17" t="s">
        <v>16</v>
      </c>
      <c r="E17" t="s">
        <v>220</v>
      </c>
      <c r="F17">
        <v>553800</v>
      </c>
      <c r="G17">
        <v>0.29397255326832794</v>
      </c>
      <c r="H17">
        <f t="shared" si="0"/>
        <v>162802</v>
      </c>
      <c r="I17">
        <v>9946</v>
      </c>
      <c r="J17">
        <v>41033</v>
      </c>
      <c r="K17">
        <v>28631</v>
      </c>
      <c r="M17">
        <v>59837</v>
      </c>
      <c r="N17">
        <v>12385</v>
      </c>
      <c r="O17">
        <v>7488</v>
      </c>
      <c r="S17">
        <v>3482</v>
      </c>
      <c r="U17">
        <v>6.1092615569833295E-2</v>
      </c>
      <c r="V17">
        <v>0.25204235820198767</v>
      </c>
      <c r="W17">
        <v>0.17586393287551749</v>
      </c>
      <c r="X17">
        <v>0</v>
      </c>
      <c r="Y17">
        <v>0.36754462475890959</v>
      </c>
      <c r="Z17">
        <v>7.6074004004864804E-2</v>
      </c>
      <c r="AA17">
        <v>4.5994520951831055E-2</v>
      </c>
      <c r="AB17">
        <v>0</v>
      </c>
      <c r="AC17">
        <v>0</v>
      </c>
      <c r="AD17">
        <v>0</v>
      </c>
      <c r="AE17">
        <v>2.1387943637056057E-2</v>
      </c>
      <c r="AH17">
        <v>6.1092615569833295E-2</v>
      </c>
      <c r="AI17">
        <v>0.25204235820198767</v>
      </c>
      <c r="AJ17">
        <v>0.17586393287551749</v>
      </c>
      <c r="AK17">
        <v>9.8999999999999994E-5</v>
      </c>
      <c r="AL17">
        <v>0.35544562475890956</v>
      </c>
      <c r="AM17">
        <v>7.6074004004864804E-2</v>
      </c>
      <c r="AN17">
        <v>4.5994520951831055E-2</v>
      </c>
      <c r="AO17">
        <v>8.0000000000000002E-3</v>
      </c>
      <c r="AP17">
        <v>4.0000000000000001E-3</v>
      </c>
      <c r="AQ17">
        <v>3.947022702582249E-3</v>
      </c>
      <c r="AR17">
        <v>1.7440920934473806E-2</v>
      </c>
      <c r="AT17">
        <v>553800</v>
      </c>
      <c r="AU17" cm="1">
        <f t="array" ref="AU17:BE17">AH17:AR17*F17</f>
        <v>33833.090502573679</v>
      </c>
      <c r="AV17">
        <v>139581.05797226078</v>
      </c>
      <c r="AW17">
        <v>97393.446026461592</v>
      </c>
      <c r="AX17">
        <v>54.8262</v>
      </c>
      <c r="AY17">
        <v>196845.78699148411</v>
      </c>
      <c r="AZ17">
        <v>42129.783417894127</v>
      </c>
      <c r="BA17">
        <v>25471.765703124038</v>
      </c>
      <c r="BB17">
        <v>4430.4000000000005</v>
      </c>
      <c r="BC17">
        <v>2215.2000000000003</v>
      </c>
      <c r="BD17">
        <v>2185.8611726900494</v>
      </c>
      <c r="BE17">
        <v>9658.7820135115944</v>
      </c>
      <c r="BG17" t="s">
        <v>15</v>
      </c>
      <c r="BH17" t="s">
        <v>16</v>
      </c>
      <c r="BI17" t="s">
        <v>220</v>
      </c>
      <c r="BJ17">
        <v>553800</v>
      </c>
      <c r="BK17">
        <v>33833</v>
      </c>
      <c r="BL17">
        <v>139581</v>
      </c>
      <c r="BM17">
        <v>97393</v>
      </c>
      <c r="BN17">
        <v>55</v>
      </c>
      <c r="BO17">
        <v>196846</v>
      </c>
      <c r="BP17">
        <v>42130</v>
      </c>
      <c r="BQ17">
        <v>25472</v>
      </c>
      <c r="BR17">
        <v>4430</v>
      </c>
      <c r="BS17">
        <v>2215</v>
      </c>
      <c r="BT17">
        <v>2186</v>
      </c>
      <c r="BU17">
        <v>9659</v>
      </c>
    </row>
    <row r="18" spans="1:73" x14ac:dyDescent="0.3">
      <c r="A18" t="s">
        <v>137</v>
      </c>
      <c r="B18" t="s">
        <v>210</v>
      </c>
      <c r="C18" t="s">
        <v>125</v>
      </c>
      <c r="D18" t="s">
        <v>23</v>
      </c>
      <c r="E18" t="s">
        <v>205</v>
      </c>
      <c r="F18">
        <v>253300</v>
      </c>
      <c r="G18" s="1">
        <v>0.97372285827082505</v>
      </c>
      <c r="H18">
        <f t="shared" si="0"/>
        <v>246644</v>
      </c>
      <c r="I18">
        <v>22061</v>
      </c>
      <c r="J18">
        <v>2304</v>
      </c>
      <c r="L18">
        <v>600</v>
      </c>
      <c r="M18">
        <v>167966</v>
      </c>
      <c r="N18">
        <v>50951</v>
      </c>
      <c r="O18">
        <v>1817</v>
      </c>
      <c r="S18">
        <v>945</v>
      </c>
      <c r="U18">
        <v>8.9444705729715704E-2</v>
      </c>
      <c r="V18">
        <v>9.3413989393619952E-3</v>
      </c>
      <c r="W18">
        <v>0</v>
      </c>
      <c r="X18">
        <v>2.4326559737921864E-3</v>
      </c>
      <c r="Y18">
        <v>0.68100582215663064</v>
      </c>
      <c r="Z18">
        <v>0.20657709086780948</v>
      </c>
      <c r="AA18">
        <v>7.3668931739673373E-3</v>
      </c>
      <c r="AB18">
        <v>0</v>
      </c>
      <c r="AC18">
        <v>0</v>
      </c>
      <c r="AD18">
        <v>0</v>
      </c>
      <c r="AE18">
        <v>3.8314331587226934E-3</v>
      </c>
      <c r="AH18">
        <v>8.9444705729715704E-2</v>
      </c>
      <c r="AI18">
        <v>9.3413989393619952E-3</v>
      </c>
      <c r="AJ18">
        <v>0</v>
      </c>
      <c r="AK18">
        <v>2.4326559737921864E-3</v>
      </c>
      <c r="AL18">
        <v>0.67860550632560024</v>
      </c>
      <c r="AM18">
        <v>0.20657709086780948</v>
      </c>
      <c r="AN18">
        <v>7.3668931739673373E-3</v>
      </c>
      <c r="AO18">
        <v>1.5001973943939992E-3</v>
      </c>
      <c r="AP18">
        <v>9.0011843663639955E-4</v>
      </c>
      <c r="AQ18">
        <v>2.2698063736508847E-4</v>
      </c>
      <c r="AR18">
        <v>3.6044525213576048E-3</v>
      </c>
      <c r="AT18">
        <v>253300</v>
      </c>
      <c r="AU18" cm="1">
        <f t="array" ref="AU18:BE18">AH18:AR18*F18</f>
        <v>22656.343961336988</v>
      </c>
      <c r="AV18">
        <v>2366.1763513403935</v>
      </c>
      <c r="AW18">
        <v>0</v>
      </c>
      <c r="AX18">
        <v>616.19175816156076</v>
      </c>
      <c r="AY18">
        <v>171890.77475227453</v>
      </c>
      <c r="AZ18">
        <v>52325.977116816139</v>
      </c>
      <c r="BA18">
        <v>1866.0340409659266</v>
      </c>
      <c r="BB18">
        <v>380</v>
      </c>
      <c r="BC18">
        <v>228</v>
      </c>
      <c r="BD18">
        <v>57.49419544457691</v>
      </c>
      <c r="BE18">
        <v>913.0078236598813</v>
      </c>
      <c r="BG18" t="s">
        <v>125</v>
      </c>
      <c r="BH18" t="s">
        <v>23</v>
      </c>
      <c r="BI18" s="1" t="s">
        <v>205</v>
      </c>
      <c r="BJ18">
        <v>253300</v>
      </c>
      <c r="BK18">
        <v>22657</v>
      </c>
      <c r="BL18">
        <v>2366</v>
      </c>
      <c r="BM18">
        <v>0</v>
      </c>
      <c r="BN18">
        <v>616</v>
      </c>
      <c r="BO18">
        <v>171891</v>
      </c>
      <c r="BP18">
        <v>52326</v>
      </c>
      <c r="BQ18">
        <v>1866</v>
      </c>
      <c r="BR18">
        <v>380</v>
      </c>
      <c r="BS18">
        <v>228</v>
      </c>
      <c r="BT18">
        <v>57</v>
      </c>
      <c r="BU18">
        <v>913</v>
      </c>
    </row>
    <row r="19" spans="1:73" x14ac:dyDescent="0.3">
      <c r="A19" t="s">
        <v>140</v>
      </c>
      <c r="B19" t="s">
        <v>238</v>
      </c>
      <c r="C19" t="s">
        <v>125</v>
      </c>
      <c r="D19" t="s">
        <v>24</v>
      </c>
      <c r="E19" t="s">
        <v>205</v>
      </c>
      <c r="H19">
        <f t="shared" si="0"/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T19">
        <v>0</v>
      </c>
      <c r="AU19" cm="1">
        <f t="array" ref="AU19:BE19">AH19:AR19*F19</f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G19" t="s">
        <v>125</v>
      </c>
      <c r="BH19" t="s">
        <v>24</v>
      </c>
      <c r="BI19" s="1" t="s">
        <v>205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</row>
    <row r="20" spans="1:73" x14ac:dyDescent="0.3">
      <c r="A20" t="s">
        <v>134</v>
      </c>
      <c r="B20" t="s">
        <v>239</v>
      </c>
      <c r="C20" t="s">
        <v>125</v>
      </c>
      <c r="D20" t="s">
        <v>25</v>
      </c>
      <c r="E20" t="s">
        <v>205</v>
      </c>
      <c r="H20">
        <f t="shared" si="0"/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T20">
        <v>0</v>
      </c>
      <c r="AU20" cm="1">
        <f t="array" ref="AU20:BE20">AH20:AR20*F20</f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G20" t="s">
        <v>125</v>
      </c>
      <c r="BH20" t="s">
        <v>25</v>
      </c>
      <c r="BI20" s="1" t="s">
        <v>205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</row>
    <row r="21" spans="1:73" x14ac:dyDescent="0.3">
      <c r="A21" t="s">
        <v>129</v>
      </c>
      <c r="B21" t="s">
        <v>240</v>
      </c>
      <c r="C21" t="s">
        <v>125</v>
      </c>
      <c r="D21" t="s">
        <v>28</v>
      </c>
      <c r="E21" t="s">
        <v>205</v>
      </c>
      <c r="H21">
        <f t="shared" si="0"/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T21">
        <v>0</v>
      </c>
      <c r="AU21" cm="1">
        <f t="array" ref="AU21:BE21">AH21:AR21*F21</f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G21" t="s">
        <v>125</v>
      </c>
      <c r="BH21" t="s">
        <v>28</v>
      </c>
      <c r="BI21" s="1" t="s">
        <v>205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</row>
    <row r="22" spans="1:73" x14ac:dyDescent="0.3">
      <c r="A22" t="s">
        <v>186</v>
      </c>
      <c r="B22" t="s">
        <v>233</v>
      </c>
      <c r="C22" t="s">
        <v>173</v>
      </c>
      <c r="D22" t="s">
        <v>19</v>
      </c>
      <c r="E22" t="s">
        <v>227</v>
      </c>
      <c r="F22">
        <v>379100</v>
      </c>
      <c r="G22">
        <v>1.1888525455025059</v>
      </c>
      <c r="H22">
        <f t="shared" si="0"/>
        <v>450694</v>
      </c>
      <c r="I22">
        <v>28604</v>
      </c>
      <c r="J22">
        <v>361003</v>
      </c>
      <c r="K22">
        <v>16457</v>
      </c>
      <c r="M22">
        <v>23739</v>
      </c>
      <c r="N22">
        <v>11035</v>
      </c>
      <c r="O22">
        <v>8111</v>
      </c>
      <c r="S22">
        <v>1745</v>
      </c>
      <c r="U22">
        <v>6.3466564897691119E-2</v>
      </c>
      <c r="V22">
        <v>0.80099357879181887</v>
      </c>
      <c r="W22">
        <v>3.651479717946101E-2</v>
      </c>
      <c r="X22">
        <v>0</v>
      </c>
      <c r="Y22">
        <v>5.2672101248297069E-2</v>
      </c>
      <c r="Z22">
        <v>2.4484461741225753E-2</v>
      </c>
      <c r="AA22">
        <v>1.7996689549894165E-2</v>
      </c>
      <c r="AB22">
        <v>0</v>
      </c>
      <c r="AC22">
        <v>0</v>
      </c>
      <c r="AD22">
        <v>0</v>
      </c>
      <c r="AE22">
        <v>3.8718065916120473E-3</v>
      </c>
      <c r="AH22">
        <v>6.3466564897691119E-2</v>
      </c>
      <c r="AI22">
        <v>0.79649872255335918</v>
      </c>
      <c r="AJ22">
        <v>3.651479717946101E-2</v>
      </c>
      <c r="AK22">
        <v>0</v>
      </c>
      <c r="AL22">
        <v>5.2672101248297069E-2</v>
      </c>
      <c r="AM22">
        <v>2.4484461741225753E-2</v>
      </c>
      <c r="AN22">
        <v>1.7996689549894165E-2</v>
      </c>
      <c r="AO22">
        <v>4.3656027433394886E-3</v>
      </c>
      <c r="AP22">
        <v>1.2925349512002109E-4</v>
      </c>
      <c r="AQ22">
        <v>3.3114647331274898E-3</v>
      </c>
      <c r="AR22">
        <v>5.6034185848455765E-4</v>
      </c>
      <c r="AT22">
        <v>379099.99999999994</v>
      </c>
      <c r="AU22" cm="1">
        <f t="array" ref="AU22:BE22">AH22:AR22*F22</f>
        <v>24060.174752714702</v>
      </c>
      <c r="AV22">
        <v>301952.66571997845</v>
      </c>
      <c r="AW22">
        <v>13842.759610733669</v>
      </c>
      <c r="AX22">
        <v>0</v>
      </c>
      <c r="AY22">
        <v>19967.993583229418</v>
      </c>
      <c r="AZ22">
        <v>9282.0594460986831</v>
      </c>
      <c r="BA22">
        <v>6822.5450083648775</v>
      </c>
      <c r="BB22">
        <v>1655.0000000000002</v>
      </c>
      <c r="BC22">
        <v>48.999999999999993</v>
      </c>
      <c r="BD22">
        <v>1255.3762803286313</v>
      </c>
      <c r="BE22">
        <v>212.4255985514958</v>
      </c>
      <c r="BG22" t="s">
        <v>173</v>
      </c>
      <c r="BH22" t="s">
        <v>19</v>
      </c>
      <c r="BI22" s="1" t="s">
        <v>227</v>
      </c>
      <c r="BJ22">
        <v>379100</v>
      </c>
      <c r="BK22">
        <v>24060</v>
      </c>
      <c r="BL22">
        <v>301953</v>
      </c>
      <c r="BM22">
        <v>13843</v>
      </c>
      <c r="BN22">
        <v>0</v>
      </c>
      <c r="BO22">
        <v>19968</v>
      </c>
      <c r="BP22">
        <v>9282</v>
      </c>
      <c r="BQ22">
        <v>6823</v>
      </c>
      <c r="BR22">
        <v>1655</v>
      </c>
      <c r="BS22">
        <v>49</v>
      </c>
      <c r="BT22">
        <v>1255</v>
      </c>
      <c r="BU22">
        <v>212</v>
      </c>
    </row>
    <row r="23" spans="1:73" x14ac:dyDescent="0.3">
      <c r="A23" t="s">
        <v>177</v>
      </c>
      <c r="B23" t="s">
        <v>241</v>
      </c>
      <c r="C23" t="s">
        <v>173</v>
      </c>
      <c r="D23" t="s">
        <v>20</v>
      </c>
      <c r="E23" t="s">
        <v>227</v>
      </c>
      <c r="H23">
        <f t="shared" si="0"/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T23">
        <v>0</v>
      </c>
      <c r="AU23" cm="1">
        <f t="array" ref="AU23:BE23">AH23:AR23*F23</f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G23" t="s">
        <v>173</v>
      </c>
      <c r="BH23" t="s">
        <v>20</v>
      </c>
      <c r="BI23" s="1" t="s">
        <v>227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 x14ac:dyDescent="0.3">
      <c r="A24" t="s">
        <v>180</v>
      </c>
      <c r="B24" t="s">
        <v>242</v>
      </c>
      <c r="C24" t="s">
        <v>173</v>
      </c>
      <c r="D24" t="s">
        <v>21</v>
      </c>
      <c r="E24" t="s">
        <v>227</v>
      </c>
      <c r="H24">
        <f t="shared" si="0"/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T24">
        <v>0</v>
      </c>
      <c r="AU24" cm="1">
        <f t="array" ref="AU24:BE24">AH24:AR24*F24</f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G24" t="s">
        <v>173</v>
      </c>
      <c r="BH24" t="s">
        <v>21</v>
      </c>
      <c r="BI24" s="1" t="s">
        <v>227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</row>
    <row r="25" spans="1:73" x14ac:dyDescent="0.3">
      <c r="A25" t="s">
        <v>175</v>
      </c>
      <c r="B25" t="s">
        <v>243</v>
      </c>
      <c r="C25" t="s">
        <v>173</v>
      </c>
      <c r="D25" t="s">
        <v>22</v>
      </c>
      <c r="E25" t="s">
        <v>227</v>
      </c>
      <c r="H25">
        <f t="shared" si="0"/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T25">
        <v>0</v>
      </c>
      <c r="AU25" cm="1">
        <f t="array" ref="AU25:BE25">AH25:AR25*F25</f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G25" t="s">
        <v>173</v>
      </c>
      <c r="BH25" t="s">
        <v>22</v>
      </c>
      <c r="BI25" s="1" t="s">
        <v>227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 x14ac:dyDescent="0.3">
      <c r="A26" t="s">
        <v>158</v>
      </c>
      <c r="B26" t="s">
        <v>229</v>
      </c>
      <c r="C26" t="s">
        <v>15</v>
      </c>
      <c r="D26" t="s">
        <v>14</v>
      </c>
      <c r="E26" t="s">
        <v>228</v>
      </c>
      <c r="F26">
        <v>577800</v>
      </c>
      <c r="G26">
        <v>0.5562737971616476</v>
      </c>
      <c r="H26">
        <f t="shared" si="0"/>
        <v>321415</v>
      </c>
      <c r="I26">
        <v>60000</v>
      </c>
      <c r="J26">
        <v>8444</v>
      </c>
      <c r="K26">
        <v>131000</v>
      </c>
      <c r="M26">
        <v>87000</v>
      </c>
      <c r="N26">
        <v>16000</v>
      </c>
      <c r="O26">
        <v>16000</v>
      </c>
      <c r="S26">
        <v>2971</v>
      </c>
      <c r="U26">
        <v>0.18667454848093587</v>
      </c>
      <c r="V26">
        <v>2.6271331456217042E-2</v>
      </c>
      <c r="W26">
        <v>0.40757276418337662</v>
      </c>
      <c r="X26">
        <v>0</v>
      </c>
      <c r="Y26">
        <v>0.27067809529735698</v>
      </c>
      <c r="Z26">
        <v>4.9779879594916226E-2</v>
      </c>
      <c r="AA26">
        <v>4.9779879594916226E-2</v>
      </c>
      <c r="AB26">
        <v>0</v>
      </c>
      <c r="AC26">
        <v>0</v>
      </c>
      <c r="AD26">
        <v>0</v>
      </c>
      <c r="AE26">
        <v>9.2435013922810075E-3</v>
      </c>
      <c r="AH26">
        <v>0.18667454848093587</v>
      </c>
      <c r="AI26">
        <v>2.6271331456217042E-2</v>
      </c>
      <c r="AJ26">
        <v>0.40307276418337662</v>
      </c>
      <c r="AK26">
        <v>0</v>
      </c>
      <c r="AL26">
        <v>0.27067809529735698</v>
      </c>
      <c r="AM26">
        <v>4.9779879594916226E-2</v>
      </c>
      <c r="AN26">
        <v>4.9779879594916226E-2</v>
      </c>
      <c r="AO26">
        <v>4.0000000000000001E-3</v>
      </c>
      <c r="AP26">
        <v>5.0000000000000001E-4</v>
      </c>
      <c r="AQ26">
        <v>6.4244698193677849E-3</v>
      </c>
      <c r="AR26">
        <v>2.819031572913223E-3</v>
      </c>
      <c r="AT26">
        <v>577800</v>
      </c>
      <c r="AU26" cm="1">
        <f t="array" ref="AU26:BE26">AH26:AR26*F26</f>
        <v>107860.55411228475</v>
      </c>
      <c r="AV26">
        <v>15179.575315402206</v>
      </c>
      <c r="AW26">
        <v>232895.443145155</v>
      </c>
      <c r="AX26">
        <v>0</v>
      </c>
      <c r="AY26">
        <v>156397.80346281285</v>
      </c>
      <c r="AZ26">
        <v>28762.814429942595</v>
      </c>
      <c r="BA26">
        <v>28762.814429942595</v>
      </c>
      <c r="BB26">
        <v>2311.2000000000003</v>
      </c>
      <c r="BC26">
        <v>288.90000000000003</v>
      </c>
      <c r="BD26">
        <v>3712.058661630706</v>
      </c>
      <c r="BE26">
        <v>1628.8364428292602</v>
      </c>
      <c r="BG26" t="s">
        <v>15</v>
      </c>
      <c r="BH26" t="s">
        <v>14</v>
      </c>
      <c r="BI26" s="1" t="s">
        <v>228</v>
      </c>
      <c r="BJ26">
        <v>577800</v>
      </c>
      <c r="BK26">
        <v>107860</v>
      </c>
      <c r="BL26">
        <v>15180</v>
      </c>
      <c r="BM26">
        <v>232895</v>
      </c>
      <c r="BN26">
        <v>0</v>
      </c>
      <c r="BO26">
        <v>156398</v>
      </c>
      <c r="BP26">
        <v>28763</v>
      </c>
      <c r="BQ26">
        <v>28763</v>
      </c>
      <c r="BR26">
        <v>2311</v>
      </c>
      <c r="BS26">
        <v>289</v>
      </c>
      <c r="BT26">
        <v>3712</v>
      </c>
      <c r="BU26">
        <v>1629</v>
      </c>
    </row>
    <row r="27" spans="1:73" x14ac:dyDescent="0.3">
      <c r="A27" t="s">
        <v>163</v>
      </c>
      <c r="B27" t="s">
        <v>229</v>
      </c>
      <c r="C27" t="s">
        <v>15</v>
      </c>
      <c r="D27" t="s">
        <v>17</v>
      </c>
      <c r="E27" t="s">
        <v>228</v>
      </c>
      <c r="H27">
        <f t="shared" si="0"/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T27">
        <v>0</v>
      </c>
      <c r="AU27" cm="1">
        <f t="array" ref="AU27:BE27">AH27:AR27*F27</f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G27" t="s">
        <v>15</v>
      </c>
      <c r="BH27" t="s">
        <v>17</v>
      </c>
      <c r="BI27" s="1" t="s">
        <v>228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 x14ac:dyDescent="0.3">
      <c r="B28" t="s">
        <v>223</v>
      </c>
      <c r="C28" t="s">
        <v>6</v>
      </c>
      <c r="D28" t="s">
        <v>66</v>
      </c>
      <c r="E28" t="s">
        <v>66</v>
      </c>
      <c r="F28">
        <v>120200</v>
      </c>
      <c r="G28">
        <v>1.113161397670549</v>
      </c>
      <c r="H28">
        <f t="shared" si="0"/>
        <v>133802</v>
      </c>
      <c r="I28">
        <v>13060</v>
      </c>
      <c r="J28">
        <v>2663</v>
      </c>
      <c r="K28">
        <v>292</v>
      </c>
      <c r="L28">
        <v>200</v>
      </c>
      <c r="M28">
        <v>17647</v>
      </c>
      <c r="N28">
        <v>25695</v>
      </c>
      <c r="O28">
        <v>13108</v>
      </c>
      <c r="P28">
        <v>37905</v>
      </c>
      <c r="Q28">
        <v>7459</v>
      </c>
      <c r="S28">
        <v>15773</v>
      </c>
      <c r="U28">
        <v>9.7606911705355681E-2</v>
      </c>
      <c r="V28">
        <v>1.9902542562891437E-2</v>
      </c>
      <c r="W28">
        <v>2.1823291131672171E-3</v>
      </c>
      <c r="X28">
        <v>1.4947459679227515E-3</v>
      </c>
      <c r="Y28">
        <v>0.13188891047966397</v>
      </c>
      <c r="Z28">
        <v>0.19203748822887551</v>
      </c>
      <c r="AA28">
        <v>9.7965650737657131E-2</v>
      </c>
      <c r="AB28">
        <v>0.28329172957055948</v>
      </c>
      <c r="AC28">
        <v>5.5746550873679017E-2</v>
      </c>
      <c r="AD28">
        <v>0</v>
      </c>
      <c r="AE28">
        <v>0.11788314076022779</v>
      </c>
      <c r="AH28">
        <v>9.796714425024379E-2</v>
      </c>
      <c r="AI28">
        <v>1.9975995799264873E-2</v>
      </c>
      <c r="AJ28">
        <v>2.8E-3</v>
      </c>
      <c r="AK28">
        <v>9.9799999999999997E-4</v>
      </c>
      <c r="AL28">
        <v>0.13137766574150475</v>
      </c>
      <c r="AM28">
        <v>0.18994623059035332</v>
      </c>
      <c r="AN28">
        <v>9.8327207261270727E-2</v>
      </c>
      <c r="AO28">
        <v>0.28433725902032858</v>
      </c>
      <c r="AP28">
        <v>5.5952291651038932E-2</v>
      </c>
      <c r="AQ28">
        <v>2.8678651378204384E-2</v>
      </c>
      <c r="AR28">
        <v>8.9639554307790664E-2</v>
      </c>
      <c r="AT28">
        <v>120199.99999999999</v>
      </c>
      <c r="AU28" cm="1">
        <f t="array" ref="AU28:BE28">AH28:AR28*F28</f>
        <v>11775.650738879303</v>
      </c>
      <c r="AV28">
        <v>2401.1146950716379</v>
      </c>
      <c r="AW28">
        <v>336.56</v>
      </c>
      <c r="AX28">
        <v>119.95959999999999</v>
      </c>
      <c r="AY28">
        <v>15791.59542212887</v>
      </c>
      <c r="AZ28">
        <v>22831.536916960467</v>
      </c>
      <c r="BA28">
        <v>11818.930312804741</v>
      </c>
      <c r="BB28">
        <v>34177.338534243492</v>
      </c>
      <c r="BC28">
        <v>6725.46545645488</v>
      </c>
      <c r="BD28">
        <v>3447.1738956601671</v>
      </c>
      <c r="BE28">
        <v>10774.674427796437</v>
      </c>
      <c r="BG28" t="s">
        <v>6</v>
      </c>
      <c r="BH28" t="s">
        <v>66</v>
      </c>
      <c r="BI28" t="s">
        <v>66</v>
      </c>
      <c r="BJ28">
        <v>120200</v>
      </c>
      <c r="BK28">
        <v>11775</v>
      </c>
      <c r="BL28">
        <v>2401</v>
      </c>
      <c r="BM28">
        <v>337</v>
      </c>
      <c r="BN28">
        <v>120</v>
      </c>
      <c r="BO28">
        <v>15792</v>
      </c>
      <c r="BP28">
        <v>22832</v>
      </c>
      <c r="BQ28">
        <v>11819</v>
      </c>
      <c r="BR28">
        <v>34177</v>
      </c>
      <c r="BS28">
        <v>6725</v>
      </c>
      <c r="BT28">
        <v>3447</v>
      </c>
      <c r="BU28">
        <v>10775</v>
      </c>
    </row>
    <row r="29" spans="1:73" x14ac:dyDescent="0.3">
      <c r="A29" t="s">
        <v>154</v>
      </c>
      <c r="B29" t="s">
        <v>225</v>
      </c>
      <c r="C29" t="s">
        <v>6</v>
      </c>
      <c r="D29" t="s">
        <v>67</v>
      </c>
      <c r="E29" t="s">
        <v>67</v>
      </c>
      <c r="F29">
        <v>221500</v>
      </c>
      <c r="G29">
        <v>1.5472776523702032</v>
      </c>
      <c r="H29">
        <f t="shared" si="0"/>
        <v>342722</v>
      </c>
      <c r="I29">
        <v>215781</v>
      </c>
      <c r="J29">
        <v>71537</v>
      </c>
      <c r="K29">
        <v>5397</v>
      </c>
      <c r="L29">
        <v>113</v>
      </c>
      <c r="M29">
        <v>6452</v>
      </c>
      <c r="N29">
        <v>17379</v>
      </c>
      <c r="O29">
        <v>5663</v>
      </c>
      <c r="P29">
        <v>5744</v>
      </c>
      <c r="R29">
        <v>2810</v>
      </c>
      <c r="S29">
        <v>11846</v>
      </c>
      <c r="U29">
        <v>0.62960942104679596</v>
      </c>
      <c r="V29">
        <v>0.20873185847421524</v>
      </c>
      <c r="W29">
        <v>1.5747457122682523E-2</v>
      </c>
      <c r="X29">
        <v>3.2971329532390686E-4</v>
      </c>
      <c r="Y29">
        <v>1.8825753817963246E-2</v>
      </c>
      <c r="Z29">
        <v>5.0708737694107761E-2</v>
      </c>
      <c r="AA29">
        <v>1.6523596384241456E-2</v>
      </c>
      <c r="AB29">
        <v>1.6759939542836468E-2</v>
      </c>
      <c r="AC29">
        <v>0</v>
      </c>
      <c r="AD29">
        <v>8.1990651315060024E-3</v>
      </c>
      <c r="AE29">
        <v>3.4564457490327438E-2</v>
      </c>
      <c r="AH29">
        <v>0.62944277910716806</v>
      </c>
      <c r="AI29">
        <v>0.20149406237671943</v>
      </c>
      <c r="AJ29">
        <v>1.5540908266311907E-2</v>
      </c>
      <c r="AK29">
        <v>3.2538866668394397E-4</v>
      </c>
      <c r="AL29">
        <v>1.8578829003936339E-2</v>
      </c>
      <c r="AM29">
        <v>5.0043625117701433E-2</v>
      </c>
      <c r="AN29">
        <v>1.6306867428594465E-2</v>
      </c>
      <c r="AO29">
        <v>1.6540110632146672E-2</v>
      </c>
      <c r="AP29">
        <v>4.4999999999999997E-3</v>
      </c>
      <c r="AQ29">
        <v>7.4923399013045993E-3</v>
      </c>
      <c r="AR29">
        <v>3.9735089499433135E-2</v>
      </c>
      <c r="AT29">
        <v>221500</v>
      </c>
      <c r="AU29" cm="1">
        <f t="array" ref="AU29:BE29">AH29:AR29*F29</f>
        <v>139421.57557223772</v>
      </c>
      <c r="AV29">
        <v>44630.934816443354</v>
      </c>
      <c r="AW29">
        <v>3442.3111809880875</v>
      </c>
      <c r="AX29">
        <v>72.07358967049359</v>
      </c>
      <c r="AY29">
        <v>4115.210624371899</v>
      </c>
      <c r="AZ29">
        <v>11084.662963570867</v>
      </c>
      <c r="BA29">
        <v>3611.9711354336741</v>
      </c>
      <c r="BB29">
        <v>3663.6345050204877</v>
      </c>
      <c r="BC29">
        <v>996.74999999999989</v>
      </c>
      <c r="BD29">
        <v>1659.5532881389688</v>
      </c>
      <c r="BE29">
        <v>8801.3223241244395</v>
      </c>
      <c r="BG29" t="s">
        <v>6</v>
      </c>
      <c r="BH29" t="s">
        <v>67</v>
      </c>
      <c r="BI29" t="s">
        <v>67</v>
      </c>
      <c r="BJ29">
        <v>221500</v>
      </c>
      <c r="BK29">
        <v>139421</v>
      </c>
      <c r="BL29">
        <v>44631</v>
      </c>
      <c r="BM29">
        <v>3442</v>
      </c>
      <c r="BN29">
        <v>72</v>
      </c>
      <c r="BO29">
        <v>4115</v>
      </c>
      <c r="BP29">
        <v>11085</v>
      </c>
      <c r="BQ29">
        <v>3612</v>
      </c>
      <c r="BR29">
        <v>3664</v>
      </c>
      <c r="BS29">
        <v>997</v>
      </c>
      <c r="BT29">
        <v>1660</v>
      </c>
      <c r="BU29">
        <v>8801</v>
      </c>
    </row>
    <row r="31" spans="1:73" x14ac:dyDescent="0.3">
      <c r="I31">
        <f t="shared" ref="I31:S31" si="1">SUM(I2:I29)</f>
        <v>1056396</v>
      </c>
      <c r="J31">
        <f t="shared" si="1"/>
        <v>1049090</v>
      </c>
      <c r="K31">
        <f t="shared" si="1"/>
        <v>206404</v>
      </c>
      <c r="L31">
        <f t="shared" si="1"/>
        <v>35395</v>
      </c>
      <c r="M31">
        <f t="shared" si="1"/>
        <v>738636</v>
      </c>
      <c r="N31">
        <f t="shared" si="1"/>
        <v>253519</v>
      </c>
      <c r="O31">
        <f t="shared" si="1"/>
        <v>163751</v>
      </c>
      <c r="P31">
        <f t="shared" si="1"/>
        <v>81975</v>
      </c>
      <c r="Q31">
        <f t="shared" si="1"/>
        <v>17292</v>
      </c>
      <c r="R31">
        <f t="shared" si="1"/>
        <v>2810</v>
      </c>
      <c r="S31">
        <f t="shared" si="1"/>
        <v>66187</v>
      </c>
      <c r="AU31" t="s">
        <v>190</v>
      </c>
      <c r="AV31" t="s">
        <v>191</v>
      </c>
      <c r="AW31" t="s">
        <v>38</v>
      </c>
      <c r="AX31" t="s">
        <v>192</v>
      </c>
      <c r="AY31" t="s">
        <v>41</v>
      </c>
      <c r="AZ31" t="s">
        <v>48</v>
      </c>
      <c r="BA31" t="s">
        <v>193</v>
      </c>
      <c r="BB31" t="s">
        <v>49</v>
      </c>
      <c r="BC31" t="s">
        <v>194</v>
      </c>
      <c r="BD31" t="s">
        <v>195</v>
      </c>
      <c r="BE31" t="s">
        <v>202</v>
      </c>
    </row>
    <row r="32" spans="1:73" x14ac:dyDescent="0.3">
      <c r="U32">
        <f>U2-AH2</f>
        <v>0</v>
      </c>
      <c r="V32">
        <f t="shared" ref="V32:AE32" si="2">V2-AI2</f>
        <v>0</v>
      </c>
      <c r="W32">
        <f t="shared" si="2"/>
        <v>0</v>
      </c>
      <c r="X32">
        <f t="shared" si="2"/>
        <v>0</v>
      </c>
      <c r="Y32">
        <f t="shared" si="2"/>
        <v>0</v>
      </c>
      <c r="Z32">
        <f t="shared" si="2"/>
        <v>0</v>
      </c>
      <c r="AA32">
        <f t="shared" si="2"/>
        <v>0</v>
      </c>
      <c r="AB32">
        <f t="shared" si="2"/>
        <v>0</v>
      </c>
      <c r="AC32">
        <f t="shared" si="2"/>
        <v>0</v>
      </c>
      <c r="AD32">
        <f t="shared" si="2"/>
        <v>-7.7506021042381655E-3</v>
      </c>
      <c r="AE32">
        <f t="shared" si="2"/>
        <v>7.750602104238162E-3</v>
      </c>
      <c r="AT32">
        <v>4842400</v>
      </c>
      <c r="AU32">
        <f>SUM(AU2:AU29)</f>
        <v>1103827.6198668878</v>
      </c>
      <c r="AV32">
        <f t="shared" ref="AV32:BE32" si="3">SUM(AV2:AV29)</f>
        <v>1195703.741509856</v>
      </c>
      <c r="AW32">
        <f t="shared" si="3"/>
        <v>375418.07634242525</v>
      </c>
      <c r="AX32">
        <f t="shared" si="3"/>
        <v>40936.738574902512</v>
      </c>
      <c r="AY32">
        <f t="shared" si="3"/>
        <v>1268305.6009728382</v>
      </c>
      <c r="AZ32">
        <f t="shared" si="3"/>
        <v>348735.06939690193</v>
      </c>
      <c r="BA32">
        <f t="shared" si="3"/>
        <v>233906.18486308865</v>
      </c>
      <c r="BB32">
        <f t="shared" si="3"/>
        <v>139554.22088782783</v>
      </c>
      <c r="BC32">
        <f t="shared" si="3"/>
        <v>35544.246737325753</v>
      </c>
      <c r="BD32">
        <f t="shared" si="3"/>
        <v>29410.564840882966</v>
      </c>
      <c r="BE32">
        <f t="shared" si="3"/>
        <v>71057.936007062803</v>
      </c>
    </row>
    <row r="33" spans="9:57" x14ac:dyDescent="0.3">
      <c r="I33" cm="1">
        <f t="array" ref="I33:S33">I31:S31/SUM(I31:S31)</f>
        <v>0.28773224784179569</v>
      </c>
      <c r="J33">
        <v>0.28574230107682103</v>
      </c>
      <c r="K33">
        <v>5.6218583640545779E-2</v>
      </c>
      <c r="L33">
        <v>9.6405920813410484E-3</v>
      </c>
      <c r="M33">
        <v>0.2011834545159889</v>
      </c>
      <c r="N33">
        <v>6.9051370641884491E-2</v>
      </c>
      <c r="O33">
        <v>4.46011186300799E-2</v>
      </c>
      <c r="P33">
        <v>2.2327660287270304E-2</v>
      </c>
      <c r="Q33">
        <v>4.7098493648975682E-3</v>
      </c>
      <c r="R33">
        <v>7.6536414037486498E-4</v>
      </c>
      <c r="S33">
        <v>1.8027457779000423E-2</v>
      </c>
      <c r="U33">
        <f t="shared" ref="U33:U59" si="4">U3-AH3</f>
        <v>0</v>
      </c>
      <c r="V33">
        <f t="shared" ref="V33:V59" si="5">V3-AI3</f>
        <v>0</v>
      </c>
      <c r="W33">
        <f t="shared" ref="W33:W59" si="6">W3-AJ3</f>
        <v>0</v>
      </c>
      <c r="X33">
        <f t="shared" ref="X33:X59" si="7">X3-AK3</f>
        <v>0</v>
      </c>
      <c r="Y33">
        <f t="shared" ref="Y33:Y59" si="8">Y3-AL3</f>
        <v>0</v>
      </c>
      <c r="Z33">
        <f t="shared" ref="Z33:Z59" si="9">Z3-AM3</f>
        <v>0</v>
      </c>
      <c r="AA33">
        <f t="shared" ref="AA33:AA59" si="10">AA3-AN3</f>
        <v>0</v>
      </c>
      <c r="AB33">
        <f t="shared" ref="AB33:AB59" si="11">AB3-AO3</f>
        <v>0</v>
      </c>
      <c r="AC33">
        <f t="shared" ref="AC33:AC59" si="12">AC3-AP3</f>
        <v>0</v>
      </c>
      <c r="AD33">
        <f t="shared" ref="AD33:AD59" si="13">AD3-AQ3</f>
        <v>0</v>
      </c>
      <c r="AE33">
        <f t="shared" ref="AE33:AE59" si="14">AE3-AR3</f>
        <v>0</v>
      </c>
    </row>
    <row r="34" spans="9:57" x14ac:dyDescent="0.3">
      <c r="U34">
        <f t="shared" si="4"/>
        <v>0</v>
      </c>
      <c r="V34">
        <f t="shared" si="5"/>
        <v>0</v>
      </c>
      <c r="W34">
        <f t="shared" si="6"/>
        <v>0</v>
      </c>
      <c r="X34">
        <f t="shared" si="7"/>
        <v>-1.6000000000000001E-4</v>
      </c>
      <c r="Y34">
        <f t="shared" si="8"/>
        <v>4.8600000000000865E-3</v>
      </c>
      <c r="Z34">
        <f t="shared" si="9"/>
        <v>0</v>
      </c>
      <c r="AA34">
        <f t="shared" si="10"/>
        <v>0</v>
      </c>
      <c r="AB34">
        <f t="shared" si="11"/>
        <v>0</v>
      </c>
      <c r="AC34">
        <f t="shared" si="12"/>
        <v>-4.7000000000000002E-3</v>
      </c>
      <c r="AD34">
        <f t="shared" si="13"/>
        <v>-1.4233078871949037E-3</v>
      </c>
      <c r="AE34">
        <f t="shared" si="14"/>
        <v>1.423307887194903E-3</v>
      </c>
      <c r="AU34" cm="1">
        <f t="array" ref="AU34:BE34">AU32:BE32/AT32</f>
        <v>0.22795052450580039</v>
      </c>
      <c r="AV34">
        <v>0.24692378603788534</v>
      </c>
      <c r="AW34">
        <v>7.7527274975719734E-2</v>
      </c>
      <c r="AX34">
        <v>8.4538118649641735E-3</v>
      </c>
      <c r="AY34">
        <v>0.26191673570395635</v>
      </c>
      <c r="AZ34">
        <v>7.201698938478894E-2</v>
      </c>
      <c r="BA34">
        <v>4.8303771861698465E-2</v>
      </c>
      <c r="BB34">
        <v>2.8819226186979151E-2</v>
      </c>
      <c r="BC34">
        <v>7.3402128567086056E-3</v>
      </c>
      <c r="BD34">
        <v>6.073551305320289E-3</v>
      </c>
      <c r="BE34">
        <v>1.4674115316178507E-2</v>
      </c>
    </row>
    <row r="35" spans="9:57" x14ac:dyDescent="0.3">
      <c r="U35">
        <f t="shared" si="4"/>
        <v>1.9753086419771471E-4</v>
      </c>
      <c r="V35">
        <f t="shared" si="5"/>
        <v>0</v>
      </c>
      <c r="W35">
        <f t="shared" si="6"/>
        <v>0</v>
      </c>
      <c r="X35">
        <f t="shared" si="7"/>
        <v>0</v>
      </c>
      <c r="Y35">
        <f t="shared" si="8"/>
        <v>0</v>
      </c>
      <c r="Z35">
        <f t="shared" si="9"/>
        <v>0</v>
      </c>
      <c r="AA35">
        <f t="shared" si="10"/>
        <v>0</v>
      </c>
      <c r="AB35">
        <f t="shared" si="11"/>
        <v>-9.8765432098765426E-5</v>
      </c>
      <c r="AC35">
        <f t="shared" si="12"/>
        <v>-9.8765432098765426E-5</v>
      </c>
      <c r="AD35">
        <f t="shared" si="13"/>
        <v>-2.953729715676433E-3</v>
      </c>
      <c r="AE35">
        <f t="shared" si="14"/>
        <v>2.953729715676433E-3</v>
      </c>
    </row>
    <row r="36" spans="9:57" x14ac:dyDescent="0.3">
      <c r="U36">
        <f t="shared" si="4"/>
        <v>1.1265580057526536E-2</v>
      </c>
      <c r="V36">
        <f t="shared" si="5"/>
        <v>0</v>
      </c>
      <c r="W36">
        <f t="shared" si="6"/>
        <v>0</v>
      </c>
      <c r="X36">
        <f t="shared" si="7"/>
        <v>0</v>
      </c>
      <c r="Y36">
        <f t="shared" si="8"/>
        <v>2.5000000000000022E-3</v>
      </c>
      <c r="Z36">
        <f t="shared" si="9"/>
        <v>-2.5000000000000001E-3</v>
      </c>
      <c r="AA36">
        <f t="shared" si="10"/>
        <v>0</v>
      </c>
      <c r="AB36">
        <f t="shared" si="11"/>
        <v>-1.0891658676893576E-2</v>
      </c>
      <c r="AC36">
        <f t="shared" si="12"/>
        <v>-3.7392138063279003E-4</v>
      </c>
      <c r="AD36">
        <f t="shared" si="13"/>
        <v>-2.6939520609732259E-3</v>
      </c>
      <c r="AE36">
        <f t="shared" si="14"/>
        <v>2.6939520609732259E-3</v>
      </c>
      <c r="AU36">
        <f>AU34+AV34+AX34</f>
        <v>0.48332812240864992</v>
      </c>
      <c r="AW36">
        <v>7.7527274975719734E-2</v>
      </c>
      <c r="AY36">
        <f>SUM(AY34:BE34)</f>
        <v>0.43914460261563032</v>
      </c>
    </row>
    <row r="37" spans="9:57" x14ac:dyDescent="0.3">
      <c r="U37">
        <f t="shared" si="4"/>
        <v>0</v>
      </c>
      <c r="V37">
        <f t="shared" si="5"/>
        <v>0</v>
      </c>
      <c r="W37">
        <f t="shared" si="6"/>
        <v>0</v>
      </c>
      <c r="X37">
        <f t="shared" si="7"/>
        <v>0</v>
      </c>
      <c r="Y37">
        <f t="shared" si="8"/>
        <v>0</v>
      </c>
      <c r="Z37">
        <f t="shared" si="9"/>
        <v>0</v>
      </c>
      <c r="AA37">
        <f t="shared" si="10"/>
        <v>0</v>
      </c>
      <c r="AB37">
        <f t="shared" si="11"/>
        <v>0</v>
      </c>
      <c r="AC37">
        <f t="shared" si="12"/>
        <v>0</v>
      </c>
      <c r="AD37">
        <f t="shared" si="13"/>
        <v>0</v>
      </c>
      <c r="AE37">
        <f t="shared" si="14"/>
        <v>0</v>
      </c>
    </row>
    <row r="38" spans="9:57" x14ac:dyDescent="0.3">
      <c r="U38">
        <f t="shared" si="4"/>
        <v>4.8893178036604201E-3</v>
      </c>
      <c r="V38">
        <f t="shared" si="5"/>
        <v>0</v>
      </c>
      <c r="W38">
        <f t="shared" si="6"/>
        <v>0</v>
      </c>
      <c r="X38">
        <f t="shared" si="7"/>
        <v>0</v>
      </c>
      <c r="Y38">
        <f t="shared" si="8"/>
        <v>0</v>
      </c>
      <c r="Z38">
        <f t="shared" si="9"/>
        <v>0</v>
      </c>
      <c r="AA38">
        <f t="shared" si="10"/>
        <v>0</v>
      </c>
      <c r="AB38">
        <f t="shared" si="11"/>
        <v>-1.9000000000000001E-4</v>
      </c>
      <c r="AC38">
        <f t="shared" si="12"/>
        <v>-2.9E-4</v>
      </c>
      <c r="AD38">
        <f t="shared" si="13"/>
        <v>-3.3334768608080799E-3</v>
      </c>
      <c r="AE38">
        <f t="shared" si="14"/>
        <v>-1.0758409428524855E-3</v>
      </c>
    </row>
    <row r="39" spans="9:57" x14ac:dyDescent="0.3">
      <c r="U39">
        <f t="shared" si="4"/>
        <v>0</v>
      </c>
      <c r="V39">
        <f t="shared" si="5"/>
        <v>0</v>
      </c>
      <c r="W39">
        <f t="shared" si="6"/>
        <v>0</v>
      </c>
      <c r="X39">
        <f t="shared" si="7"/>
        <v>0</v>
      </c>
      <c r="Y39">
        <f t="shared" si="8"/>
        <v>0</v>
      </c>
      <c r="Z39">
        <f t="shared" si="9"/>
        <v>0</v>
      </c>
      <c r="AA39">
        <f t="shared" si="10"/>
        <v>0</v>
      </c>
      <c r="AB39">
        <f t="shared" si="11"/>
        <v>0</v>
      </c>
      <c r="AC39">
        <f t="shared" si="12"/>
        <v>0</v>
      </c>
      <c r="AD39">
        <f t="shared" si="13"/>
        <v>0</v>
      </c>
      <c r="AE39">
        <f t="shared" si="14"/>
        <v>0</v>
      </c>
    </row>
    <row r="40" spans="9:57" x14ac:dyDescent="0.3">
      <c r="U40">
        <f t="shared" si="4"/>
        <v>0</v>
      </c>
      <c r="V40">
        <f t="shared" si="5"/>
        <v>0</v>
      </c>
      <c r="W40">
        <f t="shared" si="6"/>
        <v>0</v>
      </c>
      <c r="X40">
        <f t="shared" si="7"/>
        <v>-1.1900000000000001E-3</v>
      </c>
      <c r="Y40">
        <f t="shared" si="8"/>
        <v>1.1900000000000244E-3</v>
      </c>
      <c r="Z40">
        <f t="shared" si="9"/>
        <v>0</v>
      </c>
      <c r="AA40">
        <f t="shared" si="10"/>
        <v>0</v>
      </c>
      <c r="AB40">
        <f t="shared" si="11"/>
        <v>0</v>
      </c>
      <c r="AC40">
        <f t="shared" si="12"/>
        <v>0</v>
      </c>
      <c r="AD40">
        <f t="shared" si="13"/>
        <v>-1.5741032805301147E-2</v>
      </c>
      <c r="AE40">
        <f t="shared" si="14"/>
        <v>1.5741032805301147E-2</v>
      </c>
    </row>
    <row r="41" spans="9:57" x14ac:dyDescent="0.3">
      <c r="U41">
        <f t="shared" si="4"/>
        <v>8.3900000000000086E-3</v>
      </c>
      <c r="V41">
        <f t="shared" si="5"/>
        <v>-2.5899999999999999E-3</v>
      </c>
      <c r="W41">
        <f t="shared" si="6"/>
        <v>-2.8E-3</v>
      </c>
      <c r="X41">
        <f t="shared" si="7"/>
        <v>0</v>
      </c>
      <c r="Y41">
        <f t="shared" si="8"/>
        <v>0</v>
      </c>
      <c r="Z41">
        <f t="shared" si="9"/>
        <v>0</v>
      </c>
      <c r="AA41">
        <f t="shared" si="10"/>
        <v>-3.0000000000000001E-3</v>
      </c>
      <c r="AB41">
        <f t="shared" si="11"/>
        <v>0</v>
      </c>
      <c r="AC41">
        <f t="shared" si="12"/>
        <v>0</v>
      </c>
      <c r="AD41">
        <f t="shared" si="13"/>
        <v>-2.0550021192883611E-3</v>
      </c>
      <c r="AE41">
        <f t="shared" si="14"/>
        <v>2.0550021192883607E-3</v>
      </c>
    </row>
    <row r="42" spans="9:57" x14ac:dyDescent="0.3">
      <c r="U42">
        <f t="shared" si="4"/>
        <v>0</v>
      </c>
      <c r="V42">
        <f t="shared" si="5"/>
        <v>0</v>
      </c>
      <c r="W42">
        <f t="shared" si="6"/>
        <v>0</v>
      </c>
      <c r="X42">
        <f t="shared" si="7"/>
        <v>0</v>
      </c>
      <c r="Y42">
        <f t="shared" si="8"/>
        <v>0</v>
      </c>
      <c r="Z42">
        <f t="shared" si="9"/>
        <v>0</v>
      </c>
      <c r="AA42">
        <f t="shared" si="10"/>
        <v>0</v>
      </c>
      <c r="AB42">
        <f t="shared" si="11"/>
        <v>0</v>
      </c>
      <c r="AC42">
        <f t="shared" si="12"/>
        <v>0</v>
      </c>
      <c r="AD42">
        <f t="shared" si="13"/>
        <v>0</v>
      </c>
      <c r="AE42">
        <f t="shared" si="14"/>
        <v>0</v>
      </c>
    </row>
    <row r="43" spans="9:57" x14ac:dyDescent="0.3">
      <c r="U43">
        <f t="shared" si="4"/>
        <v>0</v>
      </c>
      <c r="V43">
        <f t="shared" si="5"/>
        <v>0</v>
      </c>
      <c r="W43">
        <f t="shared" si="6"/>
        <v>0</v>
      </c>
      <c r="X43">
        <f t="shared" si="7"/>
        <v>0</v>
      </c>
      <c r="Y43">
        <f t="shared" si="8"/>
        <v>0</v>
      </c>
      <c r="Z43">
        <f t="shared" si="9"/>
        <v>0</v>
      </c>
      <c r="AA43">
        <f t="shared" si="10"/>
        <v>0</v>
      </c>
      <c r="AB43">
        <f t="shared" si="11"/>
        <v>0</v>
      </c>
      <c r="AC43">
        <f t="shared" si="12"/>
        <v>0</v>
      </c>
      <c r="AD43">
        <f t="shared" si="13"/>
        <v>0</v>
      </c>
      <c r="AE43">
        <f t="shared" si="14"/>
        <v>0</v>
      </c>
    </row>
    <row r="44" spans="9:57" x14ac:dyDescent="0.3">
      <c r="U44">
        <f t="shared" si="4"/>
        <v>0</v>
      </c>
      <c r="V44">
        <f t="shared" si="5"/>
        <v>8.2201916267444775E-3</v>
      </c>
      <c r="W44">
        <f t="shared" si="6"/>
        <v>-4.4000000000000002E-4</v>
      </c>
      <c r="X44">
        <f t="shared" si="7"/>
        <v>0</v>
      </c>
      <c r="Y44">
        <f t="shared" si="8"/>
        <v>0</v>
      </c>
      <c r="Z44">
        <f t="shared" si="9"/>
        <v>-2.7000000000000001E-3</v>
      </c>
      <c r="AA44">
        <f t="shared" si="10"/>
        <v>0</v>
      </c>
      <c r="AB44">
        <f t="shared" si="11"/>
        <v>-4.6219537596334098E-3</v>
      </c>
      <c r="AC44">
        <f t="shared" si="12"/>
        <v>-4.5823786711101852E-4</v>
      </c>
      <c r="AD44">
        <f t="shared" si="13"/>
        <v>-9.7694383099292056E-3</v>
      </c>
      <c r="AE44">
        <f t="shared" si="14"/>
        <v>9.7694383099292056E-3</v>
      </c>
    </row>
    <row r="45" spans="9:57" x14ac:dyDescent="0.3">
      <c r="U45">
        <f t="shared" si="4"/>
        <v>0</v>
      </c>
      <c r="V45">
        <f t="shared" si="5"/>
        <v>6.9983680130558668E-4</v>
      </c>
      <c r="W45">
        <f t="shared" si="6"/>
        <v>0</v>
      </c>
      <c r="X45">
        <f t="shared" si="7"/>
        <v>-2.9999999999999997E-4</v>
      </c>
      <c r="Y45">
        <f t="shared" si="8"/>
        <v>0</v>
      </c>
      <c r="Z45">
        <f t="shared" si="9"/>
        <v>0</v>
      </c>
      <c r="AA45">
        <f t="shared" si="10"/>
        <v>0</v>
      </c>
      <c r="AB45">
        <f t="shared" si="11"/>
        <v>-3.9983680130558957E-4</v>
      </c>
      <c r="AC45">
        <f t="shared" si="12"/>
        <v>0</v>
      </c>
      <c r="AD45">
        <f t="shared" si="13"/>
        <v>0</v>
      </c>
      <c r="AE45">
        <f t="shared" si="14"/>
        <v>0</v>
      </c>
    </row>
    <row r="46" spans="9:57" x14ac:dyDescent="0.3">
      <c r="U46">
        <f t="shared" si="4"/>
        <v>0</v>
      </c>
      <c r="V46">
        <f t="shared" si="5"/>
        <v>0</v>
      </c>
      <c r="W46">
        <f t="shared" si="6"/>
        <v>0</v>
      </c>
      <c r="X46">
        <f t="shared" si="7"/>
        <v>0</v>
      </c>
      <c r="Y46">
        <f t="shared" si="8"/>
        <v>0</v>
      </c>
      <c r="Z46">
        <f t="shared" si="9"/>
        <v>0</v>
      </c>
      <c r="AA46">
        <f t="shared" si="10"/>
        <v>0</v>
      </c>
      <c r="AB46">
        <f t="shared" si="11"/>
        <v>0</v>
      </c>
      <c r="AC46">
        <f t="shared" si="12"/>
        <v>0</v>
      </c>
      <c r="AD46">
        <f t="shared" si="13"/>
        <v>0</v>
      </c>
      <c r="AE46">
        <f t="shared" si="14"/>
        <v>0</v>
      </c>
    </row>
    <row r="47" spans="9:57" x14ac:dyDescent="0.3">
      <c r="U47">
        <f t="shared" si="4"/>
        <v>0</v>
      </c>
      <c r="V47">
        <f t="shared" si="5"/>
        <v>0</v>
      </c>
      <c r="W47">
        <f t="shared" si="6"/>
        <v>0</v>
      </c>
      <c r="X47">
        <f t="shared" si="7"/>
        <v>-9.8999999999999994E-5</v>
      </c>
      <c r="Y47">
        <f t="shared" si="8"/>
        <v>1.2099000000000026E-2</v>
      </c>
      <c r="Z47">
        <f t="shared" si="9"/>
        <v>0</v>
      </c>
      <c r="AA47">
        <f t="shared" si="10"/>
        <v>0</v>
      </c>
      <c r="AB47">
        <f t="shared" si="11"/>
        <v>-8.0000000000000002E-3</v>
      </c>
      <c r="AC47">
        <f t="shared" si="12"/>
        <v>-4.0000000000000001E-3</v>
      </c>
      <c r="AD47">
        <f t="shared" si="13"/>
        <v>-3.947022702582249E-3</v>
      </c>
      <c r="AE47">
        <f t="shared" si="14"/>
        <v>3.9470227025822507E-3</v>
      </c>
    </row>
    <row r="48" spans="9:57" x14ac:dyDescent="0.3">
      <c r="U48">
        <f t="shared" si="4"/>
        <v>0</v>
      </c>
      <c r="V48">
        <f t="shared" si="5"/>
        <v>0</v>
      </c>
      <c r="W48">
        <f t="shared" si="6"/>
        <v>0</v>
      </c>
      <c r="X48">
        <f t="shared" si="7"/>
        <v>0</v>
      </c>
      <c r="Y48">
        <f t="shared" si="8"/>
        <v>2.4003158310303974E-3</v>
      </c>
      <c r="Z48">
        <f t="shared" si="9"/>
        <v>0</v>
      </c>
      <c r="AA48">
        <f t="shared" si="10"/>
        <v>0</v>
      </c>
      <c r="AB48">
        <f t="shared" si="11"/>
        <v>-1.5001973943939992E-3</v>
      </c>
      <c r="AC48">
        <f t="shared" si="12"/>
        <v>-9.0011843663639955E-4</v>
      </c>
      <c r="AD48">
        <f t="shared" si="13"/>
        <v>-2.2698063736508847E-4</v>
      </c>
      <c r="AE48">
        <f t="shared" si="14"/>
        <v>2.2698063736508855E-4</v>
      </c>
    </row>
    <row r="49" spans="21:31" x14ac:dyDescent="0.3">
      <c r="U49">
        <f t="shared" si="4"/>
        <v>0</v>
      </c>
      <c r="V49">
        <f t="shared" si="5"/>
        <v>0</v>
      </c>
      <c r="W49">
        <f t="shared" si="6"/>
        <v>0</v>
      </c>
      <c r="X49">
        <f t="shared" si="7"/>
        <v>0</v>
      </c>
      <c r="Y49">
        <f t="shared" si="8"/>
        <v>0</v>
      </c>
      <c r="Z49">
        <f t="shared" si="9"/>
        <v>0</v>
      </c>
      <c r="AA49">
        <f t="shared" si="10"/>
        <v>0</v>
      </c>
      <c r="AB49">
        <f t="shared" si="11"/>
        <v>0</v>
      </c>
      <c r="AC49">
        <f t="shared" si="12"/>
        <v>0</v>
      </c>
      <c r="AD49">
        <f t="shared" si="13"/>
        <v>0</v>
      </c>
      <c r="AE49">
        <f t="shared" si="14"/>
        <v>0</v>
      </c>
    </row>
    <row r="50" spans="21:31" x14ac:dyDescent="0.3">
      <c r="U50">
        <f t="shared" si="4"/>
        <v>0</v>
      </c>
      <c r="V50">
        <f t="shared" si="5"/>
        <v>0</v>
      </c>
      <c r="W50">
        <f t="shared" si="6"/>
        <v>0</v>
      </c>
      <c r="X50">
        <f t="shared" si="7"/>
        <v>0</v>
      </c>
      <c r="Y50">
        <f t="shared" si="8"/>
        <v>0</v>
      </c>
      <c r="Z50">
        <f t="shared" si="9"/>
        <v>0</v>
      </c>
      <c r="AA50">
        <f t="shared" si="10"/>
        <v>0</v>
      </c>
      <c r="AB50">
        <f t="shared" si="11"/>
        <v>0</v>
      </c>
      <c r="AC50">
        <f t="shared" si="12"/>
        <v>0</v>
      </c>
      <c r="AD50">
        <f t="shared" si="13"/>
        <v>0</v>
      </c>
      <c r="AE50">
        <f t="shared" si="14"/>
        <v>0</v>
      </c>
    </row>
    <row r="51" spans="21:31" x14ac:dyDescent="0.3">
      <c r="U51">
        <f t="shared" si="4"/>
        <v>0</v>
      </c>
      <c r="V51">
        <f t="shared" si="5"/>
        <v>0</v>
      </c>
      <c r="W51">
        <f t="shared" si="6"/>
        <v>0</v>
      </c>
      <c r="X51">
        <f t="shared" si="7"/>
        <v>0</v>
      </c>
      <c r="Y51">
        <f t="shared" si="8"/>
        <v>0</v>
      </c>
      <c r="Z51">
        <f t="shared" si="9"/>
        <v>0</v>
      </c>
      <c r="AA51">
        <f t="shared" si="10"/>
        <v>0</v>
      </c>
      <c r="AB51">
        <f t="shared" si="11"/>
        <v>0</v>
      </c>
      <c r="AC51">
        <f t="shared" si="12"/>
        <v>0</v>
      </c>
      <c r="AD51">
        <f t="shared" si="13"/>
        <v>0</v>
      </c>
      <c r="AE51">
        <f t="shared" si="14"/>
        <v>0</v>
      </c>
    </row>
    <row r="52" spans="21:31" x14ac:dyDescent="0.3">
      <c r="U52">
        <f t="shared" si="4"/>
        <v>0</v>
      </c>
      <c r="V52">
        <f t="shared" si="5"/>
        <v>4.494856238459688E-3</v>
      </c>
      <c r="W52">
        <f t="shared" si="6"/>
        <v>0</v>
      </c>
      <c r="X52">
        <f t="shared" si="7"/>
        <v>0</v>
      </c>
      <c r="Y52">
        <f t="shared" si="8"/>
        <v>0</v>
      </c>
      <c r="Z52">
        <f t="shared" si="9"/>
        <v>0</v>
      </c>
      <c r="AA52">
        <f t="shared" si="10"/>
        <v>0</v>
      </c>
      <c r="AB52">
        <f t="shared" si="11"/>
        <v>-4.3656027433394886E-3</v>
      </c>
      <c r="AC52">
        <f t="shared" si="12"/>
        <v>-1.2925349512002109E-4</v>
      </c>
      <c r="AD52">
        <f t="shared" si="13"/>
        <v>-3.3114647331274898E-3</v>
      </c>
      <c r="AE52">
        <f t="shared" si="14"/>
        <v>3.3114647331274898E-3</v>
      </c>
    </row>
    <row r="53" spans="21:31" x14ac:dyDescent="0.3">
      <c r="U53">
        <f t="shared" si="4"/>
        <v>0</v>
      </c>
      <c r="V53">
        <f t="shared" si="5"/>
        <v>0</v>
      </c>
      <c r="W53">
        <f t="shared" si="6"/>
        <v>0</v>
      </c>
      <c r="X53">
        <f t="shared" si="7"/>
        <v>0</v>
      </c>
      <c r="Y53">
        <f t="shared" si="8"/>
        <v>0</v>
      </c>
      <c r="Z53">
        <f t="shared" si="9"/>
        <v>0</v>
      </c>
      <c r="AA53">
        <f t="shared" si="10"/>
        <v>0</v>
      </c>
      <c r="AB53">
        <f t="shared" si="11"/>
        <v>0</v>
      </c>
      <c r="AC53">
        <f t="shared" si="12"/>
        <v>0</v>
      </c>
      <c r="AD53">
        <f t="shared" si="13"/>
        <v>0</v>
      </c>
      <c r="AE53">
        <f t="shared" si="14"/>
        <v>0</v>
      </c>
    </row>
    <row r="54" spans="21:31" x14ac:dyDescent="0.3">
      <c r="U54">
        <f t="shared" si="4"/>
        <v>0</v>
      </c>
      <c r="V54">
        <f t="shared" si="5"/>
        <v>0</v>
      </c>
      <c r="W54">
        <f t="shared" si="6"/>
        <v>0</v>
      </c>
      <c r="X54">
        <f t="shared" si="7"/>
        <v>0</v>
      </c>
      <c r="Y54">
        <f t="shared" si="8"/>
        <v>0</v>
      </c>
      <c r="Z54">
        <f t="shared" si="9"/>
        <v>0</v>
      </c>
      <c r="AA54">
        <f t="shared" si="10"/>
        <v>0</v>
      </c>
      <c r="AB54">
        <f t="shared" si="11"/>
        <v>0</v>
      </c>
      <c r="AC54">
        <f t="shared" si="12"/>
        <v>0</v>
      </c>
      <c r="AD54">
        <f t="shared" si="13"/>
        <v>0</v>
      </c>
      <c r="AE54">
        <f t="shared" si="14"/>
        <v>0</v>
      </c>
    </row>
    <row r="55" spans="21:31" x14ac:dyDescent="0.3">
      <c r="U55">
        <f t="shared" si="4"/>
        <v>0</v>
      </c>
      <c r="V55">
        <f t="shared" si="5"/>
        <v>0</v>
      </c>
      <c r="W55">
        <f t="shared" si="6"/>
        <v>0</v>
      </c>
      <c r="X55">
        <f t="shared" si="7"/>
        <v>0</v>
      </c>
      <c r="Y55">
        <f t="shared" si="8"/>
        <v>0</v>
      </c>
      <c r="Z55">
        <f t="shared" si="9"/>
        <v>0</v>
      </c>
      <c r="AA55">
        <f t="shared" si="10"/>
        <v>0</v>
      </c>
      <c r="AB55">
        <f t="shared" si="11"/>
        <v>0</v>
      </c>
      <c r="AC55">
        <f t="shared" si="12"/>
        <v>0</v>
      </c>
      <c r="AD55">
        <f t="shared" si="13"/>
        <v>0</v>
      </c>
      <c r="AE55">
        <f t="shared" si="14"/>
        <v>0</v>
      </c>
    </row>
    <row r="56" spans="21:31" x14ac:dyDescent="0.3">
      <c r="U56">
        <f t="shared" si="4"/>
        <v>0</v>
      </c>
      <c r="V56">
        <f t="shared" si="5"/>
        <v>0</v>
      </c>
      <c r="W56">
        <f t="shared" si="6"/>
        <v>4.500000000000004E-3</v>
      </c>
      <c r="X56">
        <f t="shared" si="7"/>
        <v>0</v>
      </c>
      <c r="Y56">
        <f t="shared" si="8"/>
        <v>0</v>
      </c>
      <c r="Z56">
        <f t="shared" si="9"/>
        <v>0</v>
      </c>
      <c r="AA56">
        <f t="shared" si="10"/>
        <v>0</v>
      </c>
      <c r="AB56">
        <f t="shared" si="11"/>
        <v>-4.0000000000000001E-3</v>
      </c>
      <c r="AC56">
        <f t="shared" si="12"/>
        <v>-5.0000000000000001E-4</v>
      </c>
      <c r="AD56">
        <f t="shared" si="13"/>
        <v>-6.4244698193677849E-3</v>
      </c>
      <c r="AE56">
        <f t="shared" si="14"/>
        <v>6.4244698193677841E-3</v>
      </c>
    </row>
    <row r="57" spans="21:31" x14ac:dyDescent="0.3">
      <c r="U57">
        <f t="shared" si="4"/>
        <v>0</v>
      </c>
      <c r="V57">
        <f t="shared" si="5"/>
        <v>0</v>
      </c>
      <c r="W57">
        <f t="shared" si="6"/>
        <v>0</v>
      </c>
      <c r="X57">
        <f t="shared" si="7"/>
        <v>0</v>
      </c>
      <c r="Y57">
        <f t="shared" si="8"/>
        <v>0</v>
      </c>
      <c r="Z57">
        <f t="shared" si="9"/>
        <v>0</v>
      </c>
      <c r="AA57">
        <f t="shared" si="10"/>
        <v>0</v>
      </c>
      <c r="AB57">
        <f t="shared" si="11"/>
        <v>0</v>
      </c>
      <c r="AC57">
        <f t="shared" si="12"/>
        <v>0</v>
      </c>
      <c r="AD57">
        <f t="shared" si="13"/>
        <v>0</v>
      </c>
      <c r="AE57">
        <f t="shared" si="14"/>
        <v>0</v>
      </c>
    </row>
    <row r="58" spans="21:31" x14ac:dyDescent="0.3">
      <c r="U58">
        <f t="shared" si="4"/>
        <v>-3.6023254488810885E-4</v>
      </c>
      <c r="V58">
        <f t="shared" si="5"/>
        <v>-7.3453236373435815E-5</v>
      </c>
      <c r="W58">
        <f t="shared" si="6"/>
        <v>-6.1767088683278284E-4</v>
      </c>
      <c r="X58">
        <f t="shared" si="7"/>
        <v>4.9674596792275154E-4</v>
      </c>
      <c r="Y58">
        <f t="shared" si="8"/>
        <v>5.1124473815922222E-4</v>
      </c>
      <c r="Z58">
        <f t="shared" si="9"/>
        <v>2.0912576385221926E-3</v>
      </c>
      <c r="AA58">
        <f t="shared" si="10"/>
        <v>-3.6155652361359591E-4</v>
      </c>
      <c r="AB58">
        <f t="shared" si="11"/>
        <v>-1.0455294497691003E-3</v>
      </c>
      <c r="AC58">
        <f t="shared" si="12"/>
        <v>-2.0574077735991542E-4</v>
      </c>
      <c r="AD58">
        <f t="shared" si="13"/>
        <v>-2.8678651378204384E-2</v>
      </c>
      <c r="AE58">
        <f t="shared" si="14"/>
        <v>2.8243586452437131E-2</v>
      </c>
    </row>
    <row r="59" spans="21:31" x14ac:dyDescent="0.3">
      <c r="U59">
        <f t="shared" si="4"/>
        <v>1.6664193962789842E-4</v>
      </c>
      <c r="V59">
        <f t="shared" si="5"/>
        <v>7.2377960974958078E-3</v>
      </c>
      <c r="W59">
        <f t="shared" si="6"/>
        <v>2.0654885637061589E-4</v>
      </c>
      <c r="X59">
        <f t="shared" si="7"/>
        <v>4.3246286399628879E-6</v>
      </c>
      <c r="Y59">
        <f t="shared" si="8"/>
        <v>2.4692481402690744E-4</v>
      </c>
      <c r="Z59">
        <f t="shared" si="9"/>
        <v>6.6511257640632787E-4</v>
      </c>
      <c r="AA59">
        <f t="shared" si="10"/>
        <v>2.1672895564699146E-4</v>
      </c>
      <c r="AB59">
        <f t="shared" si="11"/>
        <v>2.1982891068979618E-4</v>
      </c>
      <c r="AC59">
        <f t="shared" si="12"/>
        <v>-4.4999999999999997E-3</v>
      </c>
      <c r="AD59">
        <f t="shared" si="13"/>
        <v>7.0672523020140314E-4</v>
      </c>
      <c r="AE59">
        <f t="shared" si="14"/>
        <v>-5.1706320091056968E-3</v>
      </c>
    </row>
    <row r="61" spans="21:31" x14ac:dyDescent="0.3">
      <c r="U61">
        <f t="shared" ref="U61:AC61" si="15">SUM(U32:U59)</f>
        <v>2.4548838120124469E-2</v>
      </c>
      <c r="V61">
        <f t="shared" si="15"/>
        <v>1.7989227527632122E-2</v>
      </c>
      <c r="W61">
        <f t="shared" si="15"/>
        <v>8.4887796953783722E-4</v>
      </c>
      <c r="X61">
        <f t="shared" si="15"/>
        <v>-1.2479294034372854E-3</v>
      </c>
      <c r="Y61">
        <f t="shared" si="15"/>
        <v>2.3807485383216666E-2</v>
      </c>
      <c r="Z61">
        <f t="shared" si="15"/>
        <v>-2.4436297850714793E-3</v>
      </c>
      <c r="AA61">
        <f t="shared" si="15"/>
        <v>-3.1448275679666045E-3</v>
      </c>
      <c r="AB61">
        <f t="shared" si="15"/>
        <v>-3.4893715346744139E-2</v>
      </c>
      <c r="AC61">
        <f t="shared" si="15"/>
        <v>-1.6156037388958912E-2</v>
      </c>
      <c r="AD61">
        <f>SUM(AD32:AD59)</f>
        <v>-8.7602405903855124E-2</v>
      </c>
      <c r="AE61">
        <f>SUM(AE32:AE59)</f>
        <v>7.8294116395523E-2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4250C-5A88-448E-AD51-3F31B6C7919F}">
  <dimension ref="A1:AF53"/>
  <sheetViews>
    <sheetView topLeftCell="B1" zoomScaleNormal="100" workbookViewId="0">
      <pane ySplit="1" topLeftCell="A2" activePane="bottomLeft" state="frozen"/>
      <selection pane="bottomLeft" activeCell="C28" sqref="C28"/>
    </sheetView>
  </sheetViews>
  <sheetFormatPr defaultRowHeight="14.4" x14ac:dyDescent="0.3"/>
  <cols>
    <col min="2" max="8" width="10.33203125" customWidth="1"/>
    <col min="9" max="11" width="10.21875" customWidth="1"/>
    <col min="12" max="14" width="11.33203125" customWidth="1"/>
    <col min="15" max="15" width="13" bestFit="1" customWidth="1"/>
    <col min="16" max="16" width="24.109375" bestFit="1" customWidth="1"/>
    <col min="17" max="31" width="11.33203125" customWidth="1"/>
  </cols>
  <sheetData>
    <row r="1" spans="2:32" x14ac:dyDescent="0.3">
      <c r="B1" s="1" t="s">
        <v>267</v>
      </c>
      <c r="C1" s="1" t="s">
        <v>266</v>
      </c>
      <c r="D1" s="1" t="s">
        <v>231</v>
      </c>
      <c r="E1" s="1" t="s">
        <v>252</v>
      </c>
      <c r="F1" s="1" t="s">
        <v>1</v>
      </c>
      <c r="G1" s="1" t="s">
        <v>0</v>
      </c>
      <c r="H1" s="1" t="s">
        <v>35</v>
      </c>
      <c r="I1" s="1" t="s">
        <v>80</v>
      </c>
      <c r="J1" t="s">
        <v>37</v>
      </c>
      <c r="K1" t="s">
        <v>36</v>
      </c>
      <c r="L1" t="s">
        <v>38</v>
      </c>
      <c r="M1" t="s">
        <v>39</v>
      </c>
      <c r="N1" t="s">
        <v>41</v>
      </c>
      <c r="O1" t="s">
        <v>48</v>
      </c>
      <c r="P1" t="s">
        <v>47</v>
      </c>
      <c r="Q1" t="s">
        <v>79</v>
      </c>
      <c r="R1" t="s">
        <v>52</v>
      </c>
      <c r="S1" t="s">
        <v>50</v>
      </c>
      <c r="T1" t="s">
        <v>42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</row>
    <row r="2" spans="2:32" x14ac:dyDescent="0.3">
      <c r="B2" t="s">
        <v>61</v>
      </c>
      <c r="C2" s="18" t="s">
        <v>209</v>
      </c>
      <c r="D2" s="17" t="s">
        <v>117</v>
      </c>
      <c r="E2" s="18" t="s">
        <v>256</v>
      </c>
      <c r="F2" t="s">
        <v>2</v>
      </c>
      <c r="G2" t="s">
        <v>2</v>
      </c>
      <c r="H2">
        <v>324000</v>
      </c>
      <c r="I2">
        <v>1</v>
      </c>
      <c r="J2" s="6">
        <v>219348.00000000003</v>
      </c>
      <c r="K2" s="6">
        <v>3564.0000000000005</v>
      </c>
      <c r="L2" s="6">
        <v>0</v>
      </c>
      <c r="M2" s="6">
        <v>16200</v>
      </c>
      <c r="N2" s="6">
        <v>34992.000000000007</v>
      </c>
      <c r="O2" s="6">
        <v>46980</v>
      </c>
      <c r="P2" s="6">
        <v>1944</v>
      </c>
      <c r="Q2" s="6">
        <v>0</v>
      </c>
      <c r="R2" s="6">
        <v>0</v>
      </c>
      <c r="S2" s="6">
        <v>972</v>
      </c>
      <c r="T2" s="6">
        <v>0</v>
      </c>
      <c r="V2">
        <v>67.7</v>
      </c>
      <c r="W2">
        <v>1.1000000000000001</v>
      </c>
      <c r="Y2">
        <v>5</v>
      </c>
      <c r="Z2">
        <v>10.8</v>
      </c>
      <c r="AA2">
        <v>14.5</v>
      </c>
      <c r="AB2">
        <v>0.6</v>
      </c>
      <c r="AE2">
        <v>0.3</v>
      </c>
    </row>
    <row r="3" spans="2:32" x14ac:dyDescent="0.3">
      <c r="B3" t="s">
        <v>62</v>
      </c>
      <c r="C3" s="18" t="s">
        <v>214</v>
      </c>
      <c r="D3" s="17" t="s">
        <v>131</v>
      </c>
      <c r="E3" s="18" t="s">
        <v>259</v>
      </c>
      <c r="F3" t="s">
        <v>5</v>
      </c>
      <c r="G3" t="s">
        <v>3</v>
      </c>
      <c r="H3">
        <v>214600</v>
      </c>
      <c r="I3">
        <v>3</v>
      </c>
      <c r="J3" s="6">
        <v>28541.800000000003</v>
      </c>
      <c r="K3" s="6">
        <v>157301.79999999999</v>
      </c>
      <c r="L3" s="6">
        <v>0</v>
      </c>
      <c r="M3" s="6">
        <v>0</v>
      </c>
      <c r="N3" s="6">
        <v>15665.8</v>
      </c>
      <c r="O3" s="6">
        <v>1502.1999999999998</v>
      </c>
      <c r="P3" s="6">
        <v>11373.8</v>
      </c>
      <c r="Q3" s="6">
        <v>0</v>
      </c>
      <c r="R3" s="6">
        <v>0</v>
      </c>
      <c r="S3" s="6">
        <v>0</v>
      </c>
      <c r="T3" s="6">
        <v>214.6</v>
      </c>
      <c r="V3">
        <v>13.3</v>
      </c>
      <c r="W3">
        <v>73.3</v>
      </c>
      <c r="Z3">
        <v>7.3</v>
      </c>
      <c r="AA3">
        <v>0.7</v>
      </c>
      <c r="AB3">
        <v>5.3</v>
      </c>
      <c r="AF3">
        <v>0.1</v>
      </c>
    </row>
    <row r="4" spans="2:32" x14ac:dyDescent="0.3">
      <c r="B4" t="s">
        <v>63</v>
      </c>
      <c r="C4" s="18" t="s">
        <v>237</v>
      </c>
      <c r="D4" s="17" t="s">
        <v>120</v>
      </c>
      <c r="E4" s="18" t="s">
        <v>259</v>
      </c>
      <c r="F4" t="s">
        <v>5</v>
      </c>
      <c r="G4" t="s">
        <v>4</v>
      </c>
      <c r="H4">
        <v>30500</v>
      </c>
      <c r="I4">
        <v>3</v>
      </c>
      <c r="J4" s="6">
        <v>4056.5</v>
      </c>
      <c r="K4" s="6">
        <v>22356.5</v>
      </c>
      <c r="L4" s="6">
        <v>0</v>
      </c>
      <c r="M4" s="6">
        <v>0</v>
      </c>
      <c r="N4" s="6">
        <v>2226.5</v>
      </c>
      <c r="O4" s="6">
        <v>213.49999999999997</v>
      </c>
      <c r="P4" s="6">
        <v>1616.5</v>
      </c>
      <c r="Q4" s="6">
        <v>0</v>
      </c>
      <c r="R4" s="6">
        <v>0</v>
      </c>
      <c r="S4" s="6">
        <v>0</v>
      </c>
      <c r="T4" s="6">
        <v>30.5</v>
      </c>
      <c r="V4">
        <v>13.3</v>
      </c>
      <c r="W4">
        <v>73.3</v>
      </c>
      <c r="Z4">
        <v>7.3</v>
      </c>
      <c r="AA4">
        <v>0.7</v>
      </c>
      <c r="AB4">
        <v>5.3</v>
      </c>
      <c r="AF4">
        <v>0.1</v>
      </c>
    </row>
    <row r="5" spans="2:32" x14ac:dyDescent="0.3">
      <c r="B5" t="s">
        <v>68</v>
      </c>
      <c r="C5" s="18" t="s">
        <v>223</v>
      </c>
      <c r="D5" s="17" t="s">
        <v>249</v>
      </c>
      <c r="E5" s="18" t="s">
        <v>66</v>
      </c>
      <c r="F5" t="s">
        <v>6</v>
      </c>
      <c r="G5" t="s">
        <v>250</v>
      </c>
      <c r="H5">
        <v>120200</v>
      </c>
      <c r="I5">
        <v>1.5</v>
      </c>
      <c r="J5" s="6">
        <f>Table17[[#This Row],[Sunnis4]]/100*Table17[[#This Row],[Population 2018-19]]</f>
        <v>11899.800000000001</v>
      </c>
      <c r="K5" s="6">
        <f>Table17[[#This Row],[Shittes5]]/100*Table17[[#This Row],[Population 2018-19]]</f>
        <v>2404</v>
      </c>
      <c r="L5" s="6">
        <f>Table17[[#This Row],[Druze6]]/100*Table17[[#This Row],[Population 2018-19]]</f>
        <v>240.4</v>
      </c>
      <c r="M5" s="6">
        <f>Table17[[#This Row],[Alawites7]]/100*Table17[[#This Row],[Population 2018-19]]</f>
        <v>120.2</v>
      </c>
      <c r="N5" s="6">
        <f>Table17[[#This Row],[Maronite8]]/100*Table17[[#This Row],[Population 2018-19]]</f>
        <v>15866.400000000001</v>
      </c>
      <c r="O5" s="6">
        <f>Table17[[#This Row],[Orthodox9]]/100*Table17[[#This Row],[Population 2018-19]]</f>
        <v>23078.400000000001</v>
      </c>
      <c r="P5" s="6">
        <f>Table17[[#This Row],[Catholics10]]/100*Table17[[#This Row],[Population 2018-19]]</f>
        <v>11779.6</v>
      </c>
      <c r="Q5" s="6">
        <f>Table17[[#This Row],[Arm. Orthodox11]]/100*Table17[[#This Row],[Population 2018-19]]</f>
        <v>33776.200000000004</v>
      </c>
      <c r="R5" s="6">
        <f>Table17[[#This Row],[Arm. Cath.12]]/100*Table17[[#This Row],[Population 2018-19]]</f>
        <v>6731.1999999999989</v>
      </c>
      <c r="S5" s="6">
        <f>Table17[[#This Row],[Evangelican13]]/100*Table17[[#This Row],[Population 2018-19]]</f>
        <v>3485.7999999999997</v>
      </c>
      <c r="T5" s="6">
        <f>Table17[[#This Row],[Other14]]/100*Table17[[#This Row],[Population 2018-19]]</f>
        <v>10818</v>
      </c>
      <c r="V5">
        <v>9.9</v>
      </c>
      <c r="W5">
        <v>2</v>
      </c>
      <c r="X5">
        <v>0.2</v>
      </c>
      <c r="Y5">
        <v>0.1</v>
      </c>
      <c r="Z5">
        <v>13.2</v>
      </c>
      <c r="AA5">
        <v>19.2</v>
      </c>
      <c r="AB5">
        <v>9.8000000000000007</v>
      </c>
      <c r="AC5">
        <v>28.1</v>
      </c>
      <c r="AD5">
        <v>5.6</v>
      </c>
      <c r="AE5">
        <v>2.9</v>
      </c>
      <c r="AF5">
        <v>9</v>
      </c>
    </row>
    <row r="6" spans="2:32" x14ac:dyDescent="0.3">
      <c r="B6" t="s">
        <v>69</v>
      </c>
      <c r="C6" s="18" t="s">
        <v>225</v>
      </c>
      <c r="D6" s="17" t="s">
        <v>154</v>
      </c>
      <c r="E6" s="18" t="s">
        <v>67</v>
      </c>
      <c r="F6" t="s">
        <v>6</v>
      </c>
      <c r="G6" t="s">
        <v>251</v>
      </c>
      <c r="H6">
        <v>221500</v>
      </c>
      <c r="I6">
        <v>1.5</v>
      </c>
      <c r="J6" s="6">
        <f>Table17[[#This Row],[Sunnis4]]/100*Table17[[#This Row],[Population 2018-19]]</f>
        <v>137994.5</v>
      </c>
      <c r="K6" s="6">
        <f>Table17[[#This Row],[Shittes5]]/100*Table17[[#This Row],[Population 2018-19]]</f>
        <v>45850.5</v>
      </c>
      <c r="L6" s="6">
        <f>Table17[[#This Row],[Druze6]]/100*Table17[[#This Row],[Population 2018-19]]</f>
        <v>3544</v>
      </c>
      <c r="M6" s="6">
        <f>Table17[[#This Row],[Alawites7]]/100*Table17[[#This Row],[Population 2018-19]]</f>
        <v>0</v>
      </c>
      <c r="N6" s="6">
        <f>Table17[[#This Row],[Maronite8]]/100*Table17[[#This Row],[Population 2018-19]]</f>
        <v>3987.0000000000005</v>
      </c>
      <c r="O6" s="6">
        <f>Table17[[#This Row],[Orthodox9]]/100*Table17[[#This Row],[Population 2018-19]]</f>
        <v>10853.5</v>
      </c>
      <c r="P6" s="6">
        <f>Table17[[#This Row],[Catholics10]]/100*Table17[[#This Row],[Population 2018-19]]</f>
        <v>3544</v>
      </c>
      <c r="Q6" s="6">
        <f>Table17[[#This Row],[Arm. Orthodox11]]/100*Table17[[#This Row],[Population 2018-19]]</f>
        <v>3544</v>
      </c>
      <c r="R6" s="6">
        <f>Table17[[#This Row],[Arm. Cath.12]]/100*Table17[[#This Row],[Population 2018-19]]</f>
        <v>1107.5</v>
      </c>
      <c r="S6" s="6">
        <f>Table17[[#This Row],[Evangelican13]]/100*Table17[[#This Row],[Population 2018-19]]</f>
        <v>1772</v>
      </c>
      <c r="T6" s="6">
        <f>Table17[[#This Row],[Other14]]/100*Table17[[#This Row],[Population 2018-19]]</f>
        <v>9303</v>
      </c>
      <c r="V6">
        <v>62.3</v>
      </c>
      <c r="W6">
        <v>20.7</v>
      </c>
      <c r="X6">
        <v>1.6</v>
      </c>
      <c r="Z6">
        <v>1.8</v>
      </c>
      <c r="AA6">
        <v>4.9000000000000004</v>
      </c>
      <c r="AB6">
        <v>1.6</v>
      </c>
      <c r="AC6">
        <v>1.6</v>
      </c>
      <c r="AD6">
        <v>0.5</v>
      </c>
      <c r="AE6">
        <v>0.8</v>
      </c>
      <c r="AF6">
        <v>4.2</v>
      </c>
    </row>
    <row r="7" spans="2:32" x14ac:dyDescent="0.3">
      <c r="B7" t="s">
        <v>71</v>
      </c>
      <c r="C7" s="20" t="s">
        <v>212</v>
      </c>
      <c r="D7" s="17" t="s">
        <v>166</v>
      </c>
      <c r="E7" s="20" t="s">
        <v>258</v>
      </c>
      <c r="F7" t="s">
        <v>10</v>
      </c>
      <c r="G7" t="s">
        <v>7</v>
      </c>
      <c r="H7">
        <v>33800</v>
      </c>
      <c r="I7">
        <v>2</v>
      </c>
      <c r="J7" s="6">
        <v>16460.600000000002</v>
      </c>
      <c r="K7" s="6">
        <v>4968.5999999999995</v>
      </c>
      <c r="L7" s="6">
        <v>4968.5999999999995</v>
      </c>
      <c r="M7" s="6">
        <v>0</v>
      </c>
      <c r="N7" s="6">
        <v>2399.7999999999997</v>
      </c>
      <c r="O7" s="6">
        <v>2366</v>
      </c>
      <c r="P7" s="6">
        <v>2467.3999999999996</v>
      </c>
      <c r="Q7" s="6">
        <v>0</v>
      </c>
      <c r="R7" s="6">
        <v>0</v>
      </c>
      <c r="S7" s="6">
        <v>101.4</v>
      </c>
      <c r="T7" s="6">
        <v>67.599999999999994</v>
      </c>
      <c r="V7">
        <v>48.7</v>
      </c>
      <c r="W7">
        <v>14.7</v>
      </c>
      <c r="X7">
        <v>14.7</v>
      </c>
      <c r="Z7">
        <v>7.1</v>
      </c>
      <c r="AA7">
        <v>7</v>
      </c>
      <c r="AB7">
        <v>7.3</v>
      </c>
      <c r="AE7">
        <v>0.3</v>
      </c>
      <c r="AF7">
        <v>0.2</v>
      </c>
    </row>
    <row r="8" spans="2:32" x14ac:dyDescent="0.3">
      <c r="B8" t="s">
        <v>72</v>
      </c>
      <c r="C8" s="18" t="s">
        <v>235</v>
      </c>
      <c r="D8" s="17" t="s">
        <v>161</v>
      </c>
      <c r="E8" s="20" t="s">
        <v>258</v>
      </c>
      <c r="F8" t="s">
        <v>10</v>
      </c>
      <c r="G8" t="s">
        <v>8</v>
      </c>
      <c r="H8">
        <v>86400</v>
      </c>
      <c r="I8">
        <v>2</v>
      </c>
      <c r="J8" s="6">
        <v>42076.800000000003</v>
      </c>
      <c r="K8" s="6">
        <v>12700.8</v>
      </c>
      <c r="L8" s="6">
        <v>12700.8</v>
      </c>
      <c r="M8" s="6">
        <v>0</v>
      </c>
      <c r="N8" s="6">
        <v>6134.4</v>
      </c>
      <c r="O8" s="6">
        <v>6048.0000000000009</v>
      </c>
      <c r="P8" s="6">
        <v>6307.2</v>
      </c>
      <c r="Q8" s="6">
        <v>0</v>
      </c>
      <c r="R8" s="6">
        <v>0</v>
      </c>
      <c r="S8" s="6">
        <v>259.2</v>
      </c>
      <c r="T8" s="6">
        <v>172.8</v>
      </c>
      <c r="V8">
        <v>48.7</v>
      </c>
      <c r="W8">
        <v>14.7</v>
      </c>
      <c r="X8">
        <v>14.7</v>
      </c>
      <c r="Z8">
        <v>7.1</v>
      </c>
      <c r="AA8">
        <v>7</v>
      </c>
      <c r="AB8">
        <v>7.3</v>
      </c>
      <c r="AE8">
        <v>0.3</v>
      </c>
      <c r="AF8">
        <v>0.2</v>
      </c>
    </row>
    <row r="9" spans="2:32" x14ac:dyDescent="0.3">
      <c r="B9" t="s">
        <v>70</v>
      </c>
      <c r="C9" s="18" t="s">
        <v>204</v>
      </c>
      <c r="D9" s="17" t="s">
        <v>151</v>
      </c>
      <c r="E9" s="18" t="s">
        <v>253</v>
      </c>
      <c r="F9" t="s">
        <v>10</v>
      </c>
      <c r="G9" t="s">
        <v>9</v>
      </c>
      <c r="H9">
        <v>177400</v>
      </c>
      <c r="I9">
        <v>1</v>
      </c>
      <c r="J9" s="6">
        <v>50736.400000000009</v>
      </c>
      <c r="K9" s="6">
        <v>28384</v>
      </c>
      <c r="L9" s="6">
        <v>887</v>
      </c>
      <c r="M9" s="6">
        <v>0</v>
      </c>
      <c r="N9" s="6">
        <v>27674.400000000001</v>
      </c>
      <c r="O9" s="6">
        <v>16853</v>
      </c>
      <c r="P9" s="6">
        <v>32996.400000000001</v>
      </c>
      <c r="Q9" s="6">
        <v>8692.6</v>
      </c>
      <c r="R9" s="6">
        <v>1951.4</v>
      </c>
      <c r="S9" s="6">
        <v>1419.2</v>
      </c>
      <c r="T9" s="6">
        <v>7805.6</v>
      </c>
      <c r="V9">
        <v>28.6</v>
      </c>
      <c r="W9">
        <v>16</v>
      </c>
      <c r="X9">
        <v>0.5</v>
      </c>
      <c r="Z9">
        <v>15.6</v>
      </c>
      <c r="AA9">
        <v>9.5</v>
      </c>
      <c r="AB9">
        <v>18.600000000000001</v>
      </c>
      <c r="AC9">
        <v>4.9000000000000004</v>
      </c>
      <c r="AD9">
        <v>1.1000000000000001</v>
      </c>
      <c r="AE9">
        <v>0.8</v>
      </c>
      <c r="AF9">
        <v>4.4000000000000004</v>
      </c>
    </row>
    <row r="10" spans="2:32" x14ac:dyDescent="0.3">
      <c r="B10" t="s">
        <v>44</v>
      </c>
      <c r="C10" s="18" t="s">
        <v>234</v>
      </c>
      <c r="D10" s="17" t="s">
        <v>143</v>
      </c>
      <c r="E10" s="18" t="s">
        <v>254</v>
      </c>
      <c r="F10" t="s">
        <v>13</v>
      </c>
      <c r="G10" t="s">
        <v>11</v>
      </c>
      <c r="H10">
        <v>129500</v>
      </c>
      <c r="I10">
        <v>1</v>
      </c>
      <c r="J10" s="6">
        <v>3367.0000000000005</v>
      </c>
      <c r="K10" s="6">
        <v>27454</v>
      </c>
      <c r="L10" s="6">
        <v>0</v>
      </c>
      <c r="M10" s="6">
        <v>0</v>
      </c>
      <c r="N10" s="6">
        <v>92592.5</v>
      </c>
      <c r="O10" s="6">
        <v>4014.5</v>
      </c>
      <c r="P10" s="6">
        <v>518</v>
      </c>
      <c r="Q10" s="6">
        <v>1036</v>
      </c>
      <c r="R10" s="6">
        <v>129.5</v>
      </c>
      <c r="S10" s="6">
        <v>129.5</v>
      </c>
      <c r="T10" s="6">
        <v>259</v>
      </c>
      <c r="V10">
        <v>2.6</v>
      </c>
      <c r="W10">
        <v>21.2</v>
      </c>
      <c r="Z10">
        <v>71.5</v>
      </c>
      <c r="AA10">
        <v>3.1</v>
      </c>
      <c r="AB10">
        <v>0.4</v>
      </c>
      <c r="AC10">
        <v>0.8</v>
      </c>
      <c r="AD10">
        <v>0.1</v>
      </c>
      <c r="AE10">
        <v>0.1</v>
      </c>
      <c r="AF10">
        <v>0.2</v>
      </c>
    </row>
    <row r="11" spans="2:32" x14ac:dyDescent="0.3">
      <c r="B11" t="s">
        <v>44</v>
      </c>
      <c r="C11" s="18" t="s">
        <v>217</v>
      </c>
      <c r="D11" s="17" t="s">
        <v>146</v>
      </c>
      <c r="E11" s="18" t="s">
        <v>254</v>
      </c>
      <c r="F11" t="s">
        <v>13</v>
      </c>
      <c r="G11" t="s">
        <v>12</v>
      </c>
      <c r="H11">
        <v>260500</v>
      </c>
      <c r="I11">
        <v>1</v>
      </c>
      <c r="J11" s="6">
        <v>781.5</v>
      </c>
      <c r="K11" s="6">
        <v>4689.0000000000009</v>
      </c>
      <c r="L11" s="6">
        <v>0</v>
      </c>
      <c r="M11" s="6">
        <v>0</v>
      </c>
      <c r="N11" s="6">
        <v>239920.49999999997</v>
      </c>
      <c r="O11" s="6">
        <v>2344.5000000000005</v>
      </c>
      <c r="P11" s="6">
        <v>5470.5</v>
      </c>
      <c r="Q11" s="6">
        <v>1823.4999999999998</v>
      </c>
      <c r="R11" s="6">
        <v>1823.4999999999998</v>
      </c>
      <c r="S11" s="6">
        <v>260.5</v>
      </c>
      <c r="T11" s="6">
        <v>3386.5000000000005</v>
      </c>
      <c r="V11">
        <v>0.3</v>
      </c>
      <c r="W11">
        <v>1.8</v>
      </c>
      <c r="Z11">
        <v>92.1</v>
      </c>
      <c r="AA11">
        <v>0.9</v>
      </c>
      <c r="AB11">
        <v>2.1</v>
      </c>
      <c r="AC11">
        <v>0.7</v>
      </c>
      <c r="AD11">
        <v>0.7</v>
      </c>
      <c r="AE11">
        <v>0.1</v>
      </c>
      <c r="AF11">
        <v>1.3</v>
      </c>
    </row>
    <row r="12" spans="2:32" x14ac:dyDescent="0.3">
      <c r="B12" t="s">
        <v>46</v>
      </c>
      <c r="C12" s="18" t="s">
        <v>229</v>
      </c>
      <c r="D12" s="17" t="s">
        <v>158</v>
      </c>
      <c r="E12" s="18" t="s">
        <v>265</v>
      </c>
      <c r="F12" t="s">
        <v>15</v>
      </c>
      <c r="G12" t="s">
        <v>14</v>
      </c>
      <c r="H12">
        <v>300800</v>
      </c>
      <c r="I12">
        <v>1</v>
      </c>
      <c r="J12" s="6">
        <v>3910.4000000000005</v>
      </c>
      <c r="K12" s="6">
        <v>9926.4</v>
      </c>
      <c r="L12" s="6">
        <v>164236.80000000002</v>
      </c>
      <c r="M12" s="6">
        <v>0</v>
      </c>
      <c r="N12" s="6">
        <v>70688</v>
      </c>
      <c r="O12" s="6">
        <v>37900.800000000003</v>
      </c>
      <c r="P12" s="6">
        <v>9024</v>
      </c>
      <c r="Q12" s="6">
        <v>1504</v>
      </c>
      <c r="R12" s="6">
        <v>300.8</v>
      </c>
      <c r="S12" s="6">
        <v>2105.6</v>
      </c>
      <c r="T12" s="6">
        <v>1203.2</v>
      </c>
      <c r="V12">
        <v>1.3</v>
      </c>
      <c r="W12">
        <v>3.3</v>
      </c>
      <c r="X12">
        <v>54.6</v>
      </c>
      <c r="Z12">
        <v>23.5</v>
      </c>
      <c r="AA12">
        <v>12.6</v>
      </c>
      <c r="AB12">
        <v>3</v>
      </c>
      <c r="AC12">
        <v>0.5</v>
      </c>
      <c r="AD12">
        <v>0.1</v>
      </c>
      <c r="AE12">
        <v>0.7</v>
      </c>
      <c r="AF12">
        <v>0.4</v>
      </c>
    </row>
    <row r="13" spans="2:32" x14ac:dyDescent="0.3">
      <c r="B13" t="s">
        <v>51</v>
      </c>
      <c r="C13" t="s">
        <v>221</v>
      </c>
      <c r="D13" s="17" t="s">
        <v>156</v>
      </c>
      <c r="E13" t="s">
        <v>264</v>
      </c>
      <c r="F13" t="s">
        <v>15</v>
      </c>
      <c r="G13" t="s">
        <v>16</v>
      </c>
      <c r="H13">
        <v>553800</v>
      </c>
      <c r="I13">
        <v>1</v>
      </c>
      <c r="J13" s="6">
        <v>33781.799999999996</v>
      </c>
      <c r="K13" s="6">
        <v>139557.6</v>
      </c>
      <c r="L13" s="6">
        <v>96361.2</v>
      </c>
      <c r="M13" s="6">
        <v>0</v>
      </c>
      <c r="N13" s="6">
        <v>201029.4</v>
      </c>
      <c r="O13" s="6">
        <v>41535</v>
      </c>
      <c r="P13" s="6">
        <v>24921</v>
      </c>
      <c r="Q13" s="6">
        <v>4984.2000000000007</v>
      </c>
      <c r="R13" s="6">
        <v>2215.2000000000003</v>
      </c>
      <c r="S13" s="6">
        <v>1661.4</v>
      </c>
      <c r="T13" s="6">
        <v>7753.1999999999989</v>
      </c>
      <c r="V13">
        <v>6.1</v>
      </c>
      <c r="W13">
        <v>25.2</v>
      </c>
      <c r="X13">
        <v>17.399999999999999</v>
      </c>
      <c r="Z13">
        <v>36.299999999999997</v>
      </c>
      <c r="AA13">
        <v>7.5</v>
      </c>
      <c r="AB13">
        <v>4.5</v>
      </c>
      <c r="AC13">
        <v>0.9</v>
      </c>
      <c r="AD13">
        <v>0.4</v>
      </c>
      <c r="AE13">
        <v>0.3</v>
      </c>
      <c r="AF13">
        <v>1.4</v>
      </c>
    </row>
    <row r="14" spans="2:32" x14ac:dyDescent="0.3">
      <c r="B14" t="s">
        <v>53</v>
      </c>
      <c r="C14" s="18" t="s">
        <v>229</v>
      </c>
      <c r="D14" s="17" t="s">
        <v>163</v>
      </c>
      <c r="E14" t="s">
        <v>265</v>
      </c>
      <c r="F14" t="s">
        <v>15</v>
      </c>
      <c r="G14" t="s">
        <v>17</v>
      </c>
      <c r="H14">
        <v>277000</v>
      </c>
      <c r="I14">
        <v>1</v>
      </c>
      <c r="J14" s="6">
        <v>82269</v>
      </c>
      <c r="K14" s="6">
        <v>6094.0000000000009</v>
      </c>
      <c r="L14" s="6">
        <v>87532</v>
      </c>
      <c r="M14" s="6">
        <v>0</v>
      </c>
      <c r="N14" s="6">
        <v>80053</v>
      </c>
      <c r="O14" s="6">
        <v>1108</v>
      </c>
      <c r="P14" s="6">
        <v>18005</v>
      </c>
      <c r="Q14" s="6">
        <v>831</v>
      </c>
      <c r="R14" s="6">
        <v>0</v>
      </c>
      <c r="S14" s="6">
        <v>831</v>
      </c>
      <c r="T14" s="6">
        <v>277</v>
      </c>
      <c r="V14">
        <v>29.7</v>
      </c>
      <c r="W14">
        <v>2.2000000000000002</v>
      </c>
      <c r="X14">
        <v>31.6</v>
      </c>
      <c r="Z14">
        <v>28.9</v>
      </c>
      <c r="AA14">
        <v>0.4</v>
      </c>
      <c r="AB14">
        <v>6.5</v>
      </c>
      <c r="AC14">
        <v>0.3</v>
      </c>
      <c r="AE14">
        <v>0.3</v>
      </c>
      <c r="AF14">
        <v>0.1</v>
      </c>
    </row>
    <row r="15" spans="2:32" x14ac:dyDescent="0.3">
      <c r="B15" t="s">
        <v>54</v>
      </c>
      <c r="C15" s="18" t="s">
        <v>219</v>
      </c>
      <c r="D15" s="17" t="s">
        <v>149</v>
      </c>
      <c r="E15" t="s">
        <v>255</v>
      </c>
      <c r="F15" t="s">
        <v>15</v>
      </c>
      <c r="G15" t="s">
        <v>18</v>
      </c>
      <c r="H15">
        <v>511000</v>
      </c>
      <c r="I15">
        <v>1</v>
      </c>
      <c r="J15" s="6">
        <v>10220</v>
      </c>
      <c r="K15" s="6">
        <v>14818.999999999998</v>
      </c>
      <c r="L15" s="6">
        <v>7153.9999999999991</v>
      </c>
      <c r="M15" s="6">
        <v>511</v>
      </c>
      <c r="N15" s="6">
        <v>229950</v>
      </c>
      <c r="O15" s="6">
        <v>74606</v>
      </c>
      <c r="P15" s="6">
        <v>50589</v>
      </c>
      <c r="Q15" s="6">
        <v>72051</v>
      </c>
      <c r="R15" s="6">
        <v>19418</v>
      </c>
      <c r="S15" s="6">
        <v>8176</v>
      </c>
      <c r="T15" s="6">
        <v>23506</v>
      </c>
      <c r="V15">
        <v>2</v>
      </c>
      <c r="W15">
        <v>2.9</v>
      </c>
      <c r="X15">
        <v>1.4</v>
      </c>
      <c r="Y15">
        <v>0.1</v>
      </c>
      <c r="Z15">
        <v>45</v>
      </c>
      <c r="AA15">
        <v>14.6</v>
      </c>
      <c r="AB15">
        <v>9.9</v>
      </c>
      <c r="AC15">
        <v>14.1</v>
      </c>
      <c r="AD15">
        <v>3.8</v>
      </c>
      <c r="AE15">
        <v>1.6</v>
      </c>
      <c r="AF15">
        <v>4.5999999999999996</v>
      </c>
    </row>
    <row r="16" spans="2:32" x14ac:dyDescent="0.3">
      <c r="B16" t="s">
        <v>55</v>
      </c>
      <c r="C16" s="18" t="s">
        <v>233</v>
      </c>
      <c r="D16" s="17" t="s">
        <v>186</v>
      </c>
      <c r="E16" s="18" t="s">
        <v>263</v>
      </c>
      <c r="F16" t="s">
        <v>22</v>
      </c>
      <c r="G16" t="s">
        <v>19</v>
      </c>
      <c r="H16">
        <v>96200</v>
      </c>
      <c r="I16">
        <v>1</v>
      </c>
      <c r="J16" s="6">
        <v>96.2</v>
      </c>
      <c r="K16" s="6">
        <v>85137</v>
      </c>
      <c r="L16" s="6">
        <v>0</v>
      </c>
      <c r="M16" s="6">
        <v>0</v>
      </c>
      <c r="N16" s="6">
        <v>8369.4</v>
      </c>
      <c r="O16" s="6">
        <v>0</v>
      </c>
      <c r="P16" s="6">
        <v>2116.4</v>
      </c>
      <c r="Q16" s="6">
        <v>384.8</v>
      </c>
      <c r="R16" s="6">
        <v>0</v>
      </c>
      <c r="S16" s="6">
        <v>0</v>
      </c>
      <c r="T16" s="6">
        <v>96.2</v>
      </c>
      <c r="V16">
        <v>0.1</v>
      </c>
      <c r="W16">
        <v>88.5</v>
      </c>
      <c r="Z16">
        <v>8.6999999999999993</v>
      </c>
      <c r="AB16">
        <v>2.2000000000000002</v>
      </c>
      <c r="AC16">
        <v>0.4</v>
      </c>
      <c r="AF16">
        <v>0.1</v>
      </c>
    </row>
    <row r="17" spans="1:32" x14ac:dyDescent="0.3">
      <c r="B17" t="s">
        <v>55</v>
      </c>
      <c r="C17" s="18" t="s">
        <v>241</v>
      </c>
      <c r="D17" s="17" t="s">
        <v>177</v>
      </c>
      <c r="E17" s="18" t="s">
        <v>263</v>
      </c>
      <c r="F17" t="s">
        <v>22</v>
      </c>
      <c r="G17" t="s">
        <v>20</v>
      </c>
      <c r="H17">
        <v>28700</v>
      </c>
      <c r="I17">
        <v>5</v>
      </c>
      <c r="J17" s="6">
        <v>4936.3999999999996</v>
      </c>
      <c r="K17" s="6">
        <v>16646</v>
      </c>
      <c r="L17" s="6">
        <v>2956.1000000000004</v>
      </c>
      <c r="M17" s="6">
        <v>0</v>
      </c>
      <c r="N17" s="6">
        <v>1205.4000000000001</v>
      </c>
      <c r="O17" s="6">
        <v>1922.9</v>
      </c>
      <c r="P17" s="6">
        <v>660.1</v>
      </c>
      <c r="Q17" s="6">
        <v>114.8</v>
      </c>
      <c r="R17" s="6">
        <v>0</v>
      </c>
      <c r="S17" s="6">
        <v>229.6</v>
      </c>
      <c r="T17" s="6">
        <v>28.7</v>
      </c>
      <c r="V17">
        <v>17.2</v>
      </c>
      <c r="W17">
        <v>58</v>
      </c>
      <c r="X17">
        <v>10.3</v>
      </c>
      <c r="Z17">
        <v>4.2</v>
      </c>
      <c r="AA17">
        <v>6.7</v>
      </c>
      <c r="AB17">
        <v>2.2999999999999998</v>
      </c>
      <c r="AC17">
        <v>0.4</v>
      </c>
      <c r="AE17">
        <v>0.8</v>
      </c>
      <c r="AF17">
        <v>0.1</v>
      </c>
    </row>
    <row r="18" spans="1:32" x14ac:dyDescent="0.3">
      <c r="A18" t="s">
        <v>45</v>
      </c>
      <c r="B18" t="s">
        <v>56</v>
      </c>
      <c r="C18" s="18" t="s">
        <v>242</v>
      </c>
      <c r="D18" s="17" t="s">
        <v>180</v>
      </c>
      <c r="E18" s="18" t="s">
        <v>263</v>
      </c>
      <c r="F18" t="s">
        <v>22</v>
      </c>
      <c r="G18" t="s">
        <v>21</v>
      </c>
      <c r="H18">
        <v>74000</v>
      </c>
      <c r="I18">
        <v>5</v>
      </c>
      <c r="J18" s="6">
        <v>12727.999999999998</v>
      </c>
      <c r="K18" s="6">
        <v>42920</v>
      </c>
      <c r="L18" s="6">
        <v>7622.0000000000009</v>
      </c>
      <c r="M18" s="6">
        <v>0</v>
      </c>
      <c r="N18" s="6">
        <v>3108</v>
      </c>
      <c r="O18" s="6">
        <v>4958</v>
      </c>
      <c r="P18" s="6">
        <v>1702</v>
      </c>
      <c r="Q18" s="6">
        <v>296</v>
      </c>
      <c r="R18" s="6">
        <v>0</v>
      </c>
      <c r="S18" s="6">
        <v>592</v>
      </c>
      <c r="T18" s="6">
        <v>74</v>
      </c>
      <c r="V18">
        <v>17.2</v>
      </c>
      <c r="W18">
        <v>58</v>
      </c>
      <c r="X18">
        <v>10.3</v>
      </c>
      <c r="Z18">
        <v>4.2</v>
      </c>
      <c r="AA18">
        <v>6.7</v>
      </c>
      <c r="AB18">
        <v>2.2999999999999998</v>
      </c>
      <c r="AC18">
        <v>0.4</v>
      </c>
      <c r="AE18">
        <v>0.8</v>
      </c>
      <c r="AF18">
        <v>0.1</v>
      </c>
    </row>
    <row r="19" spans="1:32" x14ac:dyDescent="0.3">
      <c r="B19" t="s">
        <v>55</v>
      </c>
      <c r="C19" s="18" t="s">
        <v>243</v>
      </c>
      <c r="D19" s="17" t="s">
        <v>175</v>
      </c>
      <c r="E19" s="18" t="s">
        <v>263</v>
      </c>
      <c r="F19" t="s">
        <v>22</v>
      </c>
      <c r="G19" t="s">
        <v>22</v>
      </c>
      <c r="H19">
        <v>180200</v>
      </c>
      <c r="I19">
        <v>1</v>
      </c>
      <c r="J19" s="6">
        <v>1261.3999999999999</v>
      </c>
      <c r="K19" s="6">
        <v>171730.6</v>
      </c>
      <c r="L19" s="6">
        <v>0</v>
      </c>
      <c r="M19" s="6">
        <v>0</v>
      </c>
      <c r="N19" s="6">
        <v>5045.5999999999995</v>
      </c>
      <c r="O19" s="6">
        <v>0</v>
      </c>
      <c r="P19" s="6">
        <v>1261.3999999999999</v>
      </c>
      <c r="Q19" s="6">
        <v>720.80000000000007</v>
      </c>
      <c r="R19" s="6">
        <v>0</v>
      </c>
      <c r="S19" s="6">
        <v>0</v>
      </c>
      <c r="T19" s="6">
        <v>180.20000000000002</v>
      </c>
      <c r="V19">
        <v>0.7</v>
      </c>
      <c r="W19">
        <v>95.3</v>
      </c>
      <c r="Z19">
        <v>2.8</v>
      </c>
      <c r="AB19">
        <v>0.7</v>
      </c>
      <c r="AC19">
        <v>0.4</v>
      </c>
      <c r="AF19">
        <v>0.1</v>
      </c>
    </row>
    <row r="20" spans="1:32" x14ac:dyDescent="0.3">
      <c r="B20" t="s">
        <v>78</v>
      </c>
      <c r="C20" s="18" t="s">
        <v>210</v>
      </c>
      <c r="D20" s="17" t="s">
        <v>137</v>
      </c>
      <c r="E20" s="18" t="s">
        <v>261</v>
      </c>
      <c r="F20" t="s">
        <v>29</v>
      </c>
      <c r="G20" t="s">
        <v>23</v>
      </c>
      <c r="H20">
        <v>58900</v>
      </c>
      <c r="I20">
        <v>4</v>
      </c>
      <c r="J20" s="6">
        <v>5242.1000000000004</v>
      </c>
      <c r="K20" s="6">
        <v>530.1</v>
      </c>
      <c r="L20" s="6">
        <v>0</v>
      </c>
      <c r="M20" s="6">
        <v>117.8</v>
      </c>
      <c r="N20" s="6">
        <v>39993.100000000006</v>
      </c>
      <c r="O20" s="6">
        <v>12133.400000000001</v>
      </c>
      <c r="P20" s="6">
        <v>412.29999999999995</v>
      </c>
      <c r="Q20" s="6">
        <v>117.8</v>
      </c>
      <c r="R20" s="6">
        <v>58.9</v>
      </c>
      <c r="S20" s="6">
        <v>0</v>
      </c>
      <c r="T20" s="6">
        <v>294.5</v>
      </c>
      <c r="V20">
        <v>8.9</v>
      </c>
      <c r="W20">
        <v>0.9</v>
      </c>
      <c r="Y20">
        <v>0.2</v>
      </c>
      <c r="Z20">
        <v>67.900000000000006</v>
      </c>
      <c r="AA20">
        <v>20.6</v>
      </c>
      <c r="AB20">
        <v>0.7</v>
      </c>
      <c r="AC20">
        <v>0.2</v>
      </c>
      <c r="AD20">
        <v>0.1</v>
      </c>
      <c r="AF20">
        <v>0.5</v>
      </c>
    </row>
    <row r="21" spans="1:32" x14ac:dyDescent="0.3">
      <c r="B21" t="s">
        <v>78</v>
      </c>
      <c r="C21" s="18" t="s">
        <v>238</v>
      </c>
      <c r="D21" s="17" t="s">
        <v>140</v>
      </c>
      <c r="E21" s="18" t="s">
        <v>261</v>
      </c>
      <c r="F21" t="s">
        <v>29</v>
      </c>
      <c r="G21" t="s">
        <v>24</v>
      </c>
      <c r="H21">
        <v>22100</v>
      </c>
      <c r="I21">
        <v>4</v>
      </c>
      <c r="J21" s="6">
        <v>1966.9000000000003</v>
      </c>
      <c r="K21" s="6">
        <v>198.90000000000003</v>
      </c>
      <c r="L21" s="6">
        <v>0</v>
      </c>
      <c r="M21" s="6">
        <v>44.2</v>
      </c>
      <c r="N21" s="6">
        <v>15005.900000000001</v>
      </c>
      <c r="O21" s="6">
        <v>4552.6000000000004</v>
      </c>
      <c r="P21" s="6">
        <v>154.69999999999999</v>
      </c>
      <c r="Q21" s="6">
        <v>44.2</v>
      </c>
      <c r="R21" s="6">
        <v>22.1</v>
      </c>
      <c r="S21" s="6">
        <v>0</v>
      </c>
      <c r="T21" s="6">
        <v>110.5</v>
      </c>
      <c r="V21">
        <v>8.9</v>
      </c>
      <c r="W21">
        <v>0.9</v>
      </c>
      <c r="Y21">
        <v>0.2</v>
      </c>
      <c r="Z21">
        <v>67.900000000000006</v>
      </c>
      <c r="AA21">
        <v>20.6</v>
      </c>
      <c r="AB21">
        <v>0.7</v>
      </c>
      <c r="AC21">
        <v>0.2</v>
      </c>
      <c r="AD21">
        <v>0.1</v>
      </c>
      <c r="AF21">
        <v>0.5</v>
      </c>
    </row>
    <row r="22" spans="1:32" x14ac:dyDescent="0.3">
      <c r="B22" t="s">
        <v>57</v>
      </c>
      <c r="C22" s="18"/>
      <c r="D22" s="17" t="s">
        <v>124</v>
      </c>
      <c r="E22" s="18" t="s">
        <v>260</v>
      </c>
      <c r="F22" t="s">
        <v>29</v>
      </c>
      <c r="G22" t="s">
        <v>59</v>
      </c>
      <c r="H22">
        <v>85300</v>
      </c>
      <c r="I22">
        <v>1.5</v>
      </c>
      <c r="J22" s="6">
        <f>Table17[[#This Row],[Sunnis4]]/100*Table17[[#This Row],[Population 2018-19]]</f>
        <v>68837.100000000006</v>
      </c>
      <c r="K22" s="6">
        <f>Table17[[#This Row],[Shittes5]]/100*Table17[[#This Row],[Population 2018-19]]</f>
        <v>85.3</v>
      </c>
      <c r="L22" s="6">
        <f>Table17[[#This Row],[Druze6]]/100*Table17[[#This Row],[Population 2018-19]]</f>
        <v>0</v>
      </c>
      <c r="M22" s="6">
        <f>Table17[[#This Row],[Alawites7]]/100*Table17[[#This Row],[Population 2018-19]]</f>
        <v>0</v>
      </c>
      <c r="N22" s="6">
        <f>Table17[[#This Row],[Maronite8]]/100*Table17[[#This Row],[Population 2018-19]]</f>
        <v>8700.5999999999985</v>
      </c>
      <c r="O22" s="6">
        <f>Table17[[#This Row],[Orthodox9]]/100*Table17[[#This Row],[Population 2018-19]]</f>
        <v>6824</v>
      </c>
      <c r="P22" s="6">
        <f>Table17[[#This Row],[Catholics10]]/100*Table17[[#This Row],[Population 2018-19]]</f>
        <v>0</v>
      </c>
      <c r="Q22" s="6">
        <f>Table17[[#This Row],[Arm. Orthodox11]]/100*Table17[[#This Row],[Population 2018-19]]</f>
        <v>853</v>
      </c>
      <c r="R22" s="6">
        <f>Table17[[#This Row],[Arm. Cath.12]]/100*Table17[[#This Row],[Population 2018-19]]</f>
        <v>0</v>
      </c>
      <c r="S22" s="6">
        <f>Table17[[#This Row],[Evangelican13]]/100*Table17[[#This Row],[Population 2018-19]]</f>
        <v>0</v>
      </c>
      <c r="T22" s="6">
        <f>Table17[[#This Row],[Other14]]/100*Table17[[#This Row],[Population 2018-19]]</f>
        <v>0</v>
      </c>
      <c r="V22">
        <v>80.7</v>
      </c>
      <c r="W22">
        <v>0.1</v>
      </c>
      <c r="Z22">
        <v>10.199999999999999</v>
      </c>
      <c r="AA22">
        <v>8</v>
      </c>
      <c r="AC22">
        <v>1</v>
      </c>
    </row>
    <row r="23" spans="1:32" x14ac:dyDescent="0.3">
      <c r="B23" t="s">
        <v>78</v>
      </c>
      <c r="C23" s="18" t="s">
        <v>239</v>
      </c>
      <c r="D23" s="17" t="s">
        <v>134</v>
      </c>
      <c r="E23" s="18" t="s">
        <v>261</v>
      </c>
      <c r="F23" t="s">
        <v>29</v>
      </c>
      <c r="G23" t="s">
        <v>25</v>
      </c>
      <c r="H23">
        <v>84600</v>
      </c>
      <c r="I23">
        <v>4</v>
      </c>
      <c r="J23" s="6">
        <v>7529.4000000000005</v>
      </c>
      <c r="K23" s="6">
        <v>761.40000000000009</v>
      </c>
      <c r="L23" s="6">
        <v>0</v>
      </c>
      <c r="M23" s="6">
        <v>169.20000000000002</v>
      </c>
      <c r="N23" s="6">
        <v>57443.4</v>
      </c>
      <c r="O23" s="6">
        <v>17427.600000000002</v>
      </c>
      <c r="P23" s="6">
        <v>592.19999999999993</v>
      </c>
      <c r="Q23" s="6">
        <v>169.20000000000002</v>
      </c>
      <c r="R23" s="6">
        <v>84.600000000000009</v>
      </c>
      <c r="S23" s="6">
        <v>0</v>
      </c>
      <c r="T23" s="6">
        <v>423</v>
      </c>
      <c r="V23">
        <v>8.9</v>
      </c>
      <c r="W23">
        <v>0.9</v>
      </c>
      <c r="Y23">
        <v>0.2</v>
      </c>
      <c r="Z23">
        <v>67.900000000000006</v>
      </c>
      <c r="AA23">
        <v>20.6</v>
      </c>
      <c r="AB23">
        <v>0.7</v>
      </c>
      <c r="AC23">
        <v>0.2</v>
      </c>
      <c r="AD23">
        <v>0.1</v>
      </c>
      <c r="AF23">
        <v>0.5</v>
      </c>
    </row>
    <row r="24" spans="1:32" x14ac:dyDescent="0.3">
      <c r="B24" t="s">
        <v>57</v>
      </c>
      <c r="C24" s="18" t="s">
        <v>203</v>
      </c>
      <c r="D24" s="17" t="s">
        <v>248</v>
      </c>
      <c r="E24" s="18" t="s">
        <v>260</v>
      </c>
      <c r="F24" t="s">
        <v>29</v>
      </c>
      <c r="G24" t="s">
        <v>60</v>
      </c>
      <c r="H24">
        <v>55500</v>
      </c>
      <c r="I24">
        <v>1.5</v>
      </c>
      <c r="J24" s="6">
        <f>Table17[[#This Row],[Sunnis4]]/100*Table17[[#This Row],[Population 2018-19]]</f>
        <v>50116.5</v>
      </c>
      <c r="K24" s="6">
        <f>Table17[[#This Row],[Shittes5]]/100*Table17[[#This Row],[Population 2018-19]]</f>
        <v>0</v>
      </c>
      <c r="L24" s="6">
        <f>Table17[[#This Row],[Druze6]]/100*Table17[[#This Row],[Population 2018-19]]</f>
        <v>0</v>
      </c>
      <c r="M24" s="6">
        <f>Table17[[#This Row],[Alawites7]]/100*Table17[[#This Row],[Population 2018-19]]</f>
        <v>0</v>
      </c>
      <c r="N24" s="6">
        <f>Table17[[#This Row],[Maronite8]]/100*Table17[[#This Row],[Population 2018-19]]</f>
        <v>444</v>
      </c>
      <c r="O24" s="6">
        <f>Table17[[#This Row],[Orthodox9]]/100*Table17[[#This Row],[Population 2018-19]]</f>
        <v>4107.0000000000009</v>
      </c>
      <c r="P24" s="6">
        <f>Table17[[#This Row],[Catholics10]]/100*Table17[[#This Row],[Population 2018-19]]</f>
        <v>0</v>
      </c>
      <c r="Q24" s="6">
        <f>Table17[[#This Row],[Arm. Orthodox11]]/100*Table17[[#This Row],[Population 2018-19]]</f>
        <v>832.5</v>
      </c>
      <c r="R24" s="6">
        <f>Table17[[#This Row],[Arm. Cath.12]]/100*Table17[[#This Row],[Population 2018-19]]</f>
        <v>0</v>
      </c>
      <c r="S24" s="6">
        <f>Table17[[#This Row],[Evangelican13]]/100*Table17[[#This Row],[Population 2018-19]]</f>
        <v>0</v>
      </c>
      <c r="T24" s="6">
        <f>Table17[[#This Row],[Other14]]/100*Table17[[#This Row],[Population 2018-19]]</f>
        <v>0</v>
      </c>
      <c r="V24">
        <v>90.3</v>
      </c>
      <c r="Z24">
        <v>0.8</v>
      </c>
      <c r="AA24">
        <v>7.4</v>
      </c>
      <c r="AC24">
        <v>1.5</v>
      </c>
    </row>
    <row r="25" spans="1:32" x14ac:dyDescent="0.3">
      <c r="B25" t="s">
        <v>57</v>
      </c>
      <c r="C25" s="18" t="s">
        <v>236</v>
      </c>
      <c r="D25" s="17" t="s">
        <v>127</v>
      </c>
      <c r="E25" s="18" t="s">
        <v>260</v>
      </c>
      <c r="F25" t="s">
        <v>29</v>
      </c>
      <c r="G25" t="s">
        <v>27</v>
      </c>
      <c r="H25">
        <v>243800</v>
      </c>
      <c r="I25">
        <v>1</v>
      </c>
      <c r="J25" s="6">
        <v>200403.6</v>
      </c>
      <c r="K25" s="6">
        <v>975.2</v>
      </c>
      <c r="L25" s="6">
        <v>0</v>
      </c>
      <c r="M25" s="6">
        <v>20723</v>
      </c>
      <c r="N25" s="6">
        <v>4388.4000000000005</v>
      </c>
      <c r="O25" s="6">
        <v>12921.4</v>
      </c>
      <c r="P25" s="6">
        <v>1219</v>
      </c>
      <c r="Q25" s="6">
        <v>731.4</v>
      </c>
      <c r="R25" s="6">
        <v>487.6</v>
      </c>
      <c r="S25" s="6">
        <v>731.4</v>
      </c>
      <c r="T25" s="6">
        <v>1219</v>
      </c>
      <c r="V25">
        <v>82.2</v>
      </c>
      <c r="W25">
        <v>0.4</v>
      </c>
      <c r="Y25">
        <v>8.5</v>
      </c>
      <c r="Z25">
        <v>1.8</v>
      </c>
      <c r="AA25">
        <v>5.3</v>
      </c>
      <c r="AB25">
        <v>0.5</v>
      </c>
      <c r="AC25">
        <v>0.3</v>
      </c>
      <c r="AD25">
        <v>0.2</v>
      </c>
      <c r="AE25">
        <v>0.3</v>
      </c>
      <c r="AF25">
        <v>0.5</v>
      </c>
    </row>
    <row r="26" spans="1:32" x14ac:dyDescent="0.3">
      <c r="B26" t="s">
        <v>77</v>
      </c>
      <c r="C26" s="18" t="s">
        <v>240</v>
      </c>
      <c r="D26" s="17" t="s">
        <v>129</v>
      </c>
      <c r="E26" s="18" t="s">
        <v>261</v>
      </c>
      <c r="F26" t="s">
        <v>29</v>
      </c>
      <c r="G26" t="s">
        <v>28</v>
      </c>
      <c r="H26">
        <v>87700</v>
      </c>
      <c r="I26">
        <v>4</v>
      </c>
      <c r="J26" s="6">
        <v>7805.3000000000011</v>
      </c>
      <c r="K26" s="6">
        <v>789.30000000000007</v>
      </c>
      <c r="L26" s="6">
        <v>0</v>
      </c>
      <c r="M26" s="6">
        <v>175.4</v>
      </c>
      <c r="N26" s="6">
        <v>59548.3</v>
      </c>
      <c r="O26" s="6">
        <v>18066.2</v>
      </c>
      <c r="P26" s="6">
        <v>613.9</v>
      </c>
      <c r="Q26" s="6">
        <v>175.4</v>
      </c>
      <c r="R26" s="6">
        <v>87.7</v>
      </c>
      <c r="S26" s="6">
        <v>0</v>
      </c>
      <c r="T26" s="6">
        <v>438.5</v>
      </c>
      <c r="V26">
        <v>8.9</v>
      </c>
      <c r="W26">
        <v>0.9</v>
      </c>
      <c r="Y26">
        <v>0.2</v>
      </c>
      <c r="Z26">
        <v>67.900000000000006</v>
      </c>
      <c r="AA26">
        <v>20.6</v>
      </c>
      <c r="AB26">
        <v>0.7</v>
      </c>
      <c r="AC26">
        <v>0.2</v>
      </c>
      <c r="AD26">
        <v>0.1</v>
      </c>
      <c r="AF26">
        <v>0.5</v>
      </c>
    </row>
    <row r="27" spans="1:32" x14ac:dyDescent="0.3">
      <c r="B27" t="s">
        <v>73</v>
      </c>
      <c r="C27" s="18" t="s">
        <v>226</v>
      </c>
      <c r="D27" s="17" t="s">
        <v>168</v>
      </c>
      <c r="E27" s="18" t="s">
        <v>257</v>
      </c>
      <c r="F27" t="s">
        <v>33</v>
      </c>
      <c r="G27" t="s">
        <v>31</v>
      </c>
      <c r="H27">
        <v>32100</v>
      </c>
      <c r="I27">
        <v>1</v>
      </c>
      <c r="J27" s="6">
        <v>577.80000000000007</v>
      </c>
      <c r="K27" s="6">
        <v>6837.3</v>
      </c>
      <c r="L27" s="6">
        <v>288.90000000000003</v>
      </c>
      <c r="M27" s="6">
        <v>0</v>
      </c>
      <c r="N27" s="6">
        <v>19227.899999999998</v>
      </c>
      <c r="O27" s="6">
        <v>64.2</v>
      </c>
      <c r="P27" s="6">
        <v>4718.7</v>
      </c>
      <c r="Q27" s="6">
        <v>353.1</v>
      </c>
      <c r="R27" s="6">
        <v>0</v>
      </c>
      <c r="S27" s="6">
        <v>0</v>
      </c>
      <c r="T27" s="6">
        <v>32.1</v>
      </c>
      <c r="V27">
        <v>1.8</v>
      </c>
      <c r="W27">
        <v>21.3</v>
      </c>
      <c r="X27">
        <v>0.9</v>
      </c>
      <c r="Z27">
        <v>59.9</v>
      </c>
      <c r="AA27">
        <v>0.2</v>
      </c>
      <c r="AB27">
        <v>14.7</v>
      </c>
      <c r="AC27">
        <v>1.1000000000000001</v>
      </c>
      <c r="AF27">
        <v>0.1</v>
      </c>
    </row>
    <row r="28" spans="1:32" x14ac:dyDescent="0.3">
      <c r="B28" t="s">
        <v>73</v>
      </c>
      <c r="C28" s="18" t="s">
        <v>226</v>
      </c>
      <c r="D28" s="17" t="s">
        <v>247</v>
      </c>
      <c r="E28" s="18" t="s">
        <v>257</v>
      </c>
      <c r="F28" t="s">
        <v>33</v>
      </c>
      <c r="G28" t="s">
        <v>30</v>
      </c>
      <c r="H28">
        <v>72200</v>
      </c>
      <c r="I28">
        <v>1.5</v>
      </c>
      <c r="J28" s="6">
        <f>Table17[[#This Row],[Sunnis4]]/100*Table17[[#This Row],[Population 2018-19]]</f>
        <v>60792.400000000009</v>
      </c>
      <c r="K28" s="6">
        <f>Table17[[#This Row],[Shittes5]]/100*Table17[[#This Row],[Population 2018-19]]</f>
        <v>6570.2</v>
      </c>
      <c r="L28" s="6">
        <f>Table17[[#This Row],[Druze6]]/100*Table17[[#This Row],[Population 2018-19]]</f>
        <v>0</v>
      </c>
      <c r="M28" s="6">
        <f>Table17[[#This Row],[Alawites7]]/100*Table17[[#This Row],[Population 2018-19]]</f>
        <v>0</v>
      </c>
      <c r="N28" s="6">
        <f>Table17[[#This Row],[Maronite8]]/100*Table17[[#This Row],[Population 2018-19]]</f>
        <v>1444</v>
      </c>
      <c r="O28" s="6">
        <f>Table17[[#This Row],[Orthodox9]]/100*Table17[[#This Row],[Population 2018-19]]</f>
        <v>216.6</v>
      </c>
      <c r="P28" s="6">
        <f>Table17[[#This Row],[Catholics10]]/100*Table17[[#This Row],[Population 2018-19]]</f>
        <v>2021.5999999999997</v>
      </c>
      <c r="Q28" s="6">
        <f>Table17[[#This Row],[Arm. Orthodox11]]/100*Table17[[#This Row],[Population 2018-19]]</f>
        <v>794.2</v>
      </c>
      <c r="R28" s="6">
        <f>Table17[[#This Row],[Arm. Cath.12]]/100*Table17[[#This Row],[Population 2018-19]]</f>
        <v>0</v>
      </c>
      <c r="S28" s="6">
        <f>Table17[[#This Row],[Evangelican13]]/100*Table17[[#This Row],[Population 2018-19]]</f>
        <v>144.4</v>
      </c>
      <c r="T28" s="6">
        <f>Table17[[#This Row],[Other14]]/100*Table17[[#This Row],[Population 2018-19]]</f>
        <v>216.6</v>
      </c>
      <c r="V28">
        <v>84.2</v>
      </c>
      <c r="W28">
        <v>9.1</v>
      </c>
      <c r="Z28">
        <v>2</v>
      </c>
      <c r="AA28">
        <v>0.3</v>
      </c>
      <c r="AB28">
        <v>2.8</v>
      </c>
      <c r="AC28">
        <v>1.1000000000000001</v>
      </c>
      <c r="AE28">
        <v>0.2</v>
      </c>
      <c r="AF28">
        <v>0.3</v>
      </c>
    </row>
    <row r="29" spans="1:32" x14ac:dyDescent="0.3">
      <c r="B29" t="s">
        <v>75</v>
      </c>
      <c r="C29" t="s">
        <v>232</v>
      </c>
      <c r="D29" s="17" t="s">
        <v>183</v>
      </c>
      <c r="E29" t="s">
        <v>262</v>
      </c>
      <c r="F29" t="s">
        <v>33</v>
      </c>
      <c r="G29" t="s">
        <v>32</v>
      </c>
      <c r="H29">
        <v>255700</v>
      </c>
      <c r="I29">
        <v>1</v>
      </c>
      <c r="J29" s="6">
        <v>20456</v>
      </c>
      <c r="K29" s="6">
        <v>219646.30000000002</v>
      </c>
      <c r="L29" s="6">
        <v>0</v>
      </c>
      <c r="M29" s="6">
        <v>0</v>
      </c>
      <c r="N29" s="6">
        <v>3068.4</v>
      </c>
      <c r="O29" s="6">
        <v>767.1</v>
      </c>
      <c r="P29" s="6">
        <v>9460.9000000000015</v>
      </c>
      <c r="Q29" s="6">
        <v>1022.8000000000001</v>
      </c>
      <c r="R29" s="6">
        <v>255.70000000000002</v>
      </c>
      <c r="S29" s="6">
        <v>767.1</v>
      </c>
      <c r="T29" s="6">
        <v>255.70000000000002</v>
      </c>
      <c r="V29">
        <v>8</v>
      </c>
      <c r="W29">
        <v>85.9</v>
      </c>
      <c r="Z29">
        <v>1.2</v>
      </c>
      <c r="AA29">
        <v>0.3</v>
      </c>
      <c r="AB29">
        <v>3.7</v>
      </c>
      <c r="AC29">
        <v>0.4</v>
      </c>
      <c r="AD29">
        <v>0.1</v>
      </c>
      <c r="AE29">
        <v>0.3</v>
      </c>
      <c r="AF29">
        <v>0.1</v>
      </c>
    </row>
    <row r="30" spans="1:32" x14ac:dyDescent="0.3">
      <c r="B30" t="s">
        <v>75</v>
      </c>
      <c r="C30" s="18"/>
      <c r="D30" s="17" t="s">
        <v>172</v>
      </c>
      <c r="E30" s="18" t="s">
        <v>262</v>
      </c>
      <c r="F30" t="s">
        <v>33</v>
      </c>
      <c r="G30" t="s">
        <v>76</v>
      </c>
      <c r="H30">
        <v>224400</v>
      </c>
      <c r="I30">
        <v>1.5</v>
      </c>
      <c r="J30" s="6">
        <f>Table17[[#This Row],[Sunnis4]]/100*Table17[[#This Row],[Population 2018-19]]</f>
        <v>6732</v>
      </c>
      <c r="K30" s="6">
        <f>Table17[[#This Row],[Shittes5]]/100*Table17[[#This Row],[Population 2018-19]]</f>
        <v>166056</v>
      </c>
      <c r="L30" s="6">
        <f>Table17[[#This Row],[Druze6]]/100*Table17[[#This Row],[Population 2018-19]]</f>
        <v>224.4</v>
      </c>
      <c r="M30" s="6">
        <f>Table17[[#This Row],[Alawites7]]/100*Table17[[#This Row],[Population 2018-19]]</f>
        <v>0</v>
      </c>
      <c r="N30" s="6">
        <f>Table17[[#This Row],[Maronite8]]/100*Table17[[#This Row],[Population 2018-19]]</f>
        <v>21766.799999999999</v>
      </c>
      <c r="O30" s="6">
        <f>Table17[[#This Row],[Orthodox9]]/100*Table17[[#This Row],[Population 2018-19]]</f>
        <v>448.8</v>
      </c>
      <c r="P30" s="6">
        <f>Table17[[#This Row],[Catholics10]]/100*Table17[[#This Row],[Population 2018-19]]</f>
        <v>26479.200000000001</v>
      </c>
      <c r="Q30" s="6">
        <f>Table17[[#This Row],[Arm. Orthodox11]]/100*Table17[[#This Row],[Population 2018-19]]</f>
        <v>1346.4</v>
      </c>
      <c r="R30" s="6">
        <f>Table17[[#This Row],[Arm. Cath.12]]/100*Table17[[#This Row],[Population 2018-19]]</f>
        <v>0</v>
      </c>
      <c r="S30" s="6">
        <f>Table17[[#This Row],[Evangelican13]]/100*Table17[[#This Row],[Population 2018-19]]</f>
        <v>1122</v>
      </c>
      <c r="T30" s="6">
        <f>Table17[[#This Row],[Other14]]/100*Table17[[#This Row],[Population 2018-19]]</f>
        <v>224.4</v>
      </c>
      <c r="V30">
        <v>3</v>
      </c>
      <c r="W30">
        <v>74</v>
      </c>
      <c r="X30">
        <v>0.1</v>
      </c>
      <c r="Z30">
        <v>9.6999999999999993</v>
      </c>
      <c r="AA30">
        <v>0.2</v>
      </c>
      <c r="AB30">
        <v>11.8</v>
      </c>
      <c r="AC30">
        <v>0.6</v>
      </c>
      <c r="AE30">
        <v>0.5</v>
      </c>
      <c r="AF30">
        <v>0.1</v>
      </c>
    </row>
    <row r="31" spans="1:32" x14ac:dyDescent="0.3"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32" x14ac:dyDescent="0.3">
      <c r="B32" t="s">
        <v>40</v>
      </c>
      <c r="F32">
        <f>SUM(H2:H30)</f>
        <v>4842400</v>
      </c>
    </row>
    <row r="34" spans="2:9" x14ac:dyDescent="0.3">
      <c r="B34" t="s">
        <v>34</v>
      </c>
      <c r="E34" t="s">
        <v>99</v>
      </c>
    </row>
    <row r="35" spans="2:9" x14ac:dyDescent="0.3">
      <c r="B35" t="s">
        <v>93</v>
      </c>
    </row>
    <row r="37" spans="2:9" x14ac:dyDescent="0.3">
      <c r="B37" s="5" t="s">
        <v>102</v>
      </c>
      <c r="C37" s="5"/>
      <c r="D37" s="5"/>
    </row>
    <row r="38" spans="2:9" x14ac:dyDescent="0.3">
      <c r="B38" s="1" t="s">
        <v>94</v>
      </c>
      <c r="C38" s="1"/>
      <c r="D38" s="1"/>
      <c r="F38" t="s">
        <v>97</v>
      </c>
      <c r="H38" t="s">
        <v>98</v>
      </c>
    </row>
    <row r="39" spans="2:9" x14ac:dyDescent="0.3">
      <c r="F39">
        <f>F40+F41</f>
        <v>380958</v>
      </c>
      <c r="H39" s="2">
        <v>341700</v>
      </c>
    </row>
    <row r="40" spans="2:9" x14ac:dyDescent="0.3">
      <c r="B40" t="s">
        <v>96</v>
      </c>
      <c r="E40" t="s">
        <v>66</v>
      </c>
      <c r="F40">
        <v>133980</v>
      </c>
      <c r="G40">
        <f>F40/F39</f>
        <v>0.35169231253839006</v>
      </c>
      <c r="H40">
        <f>G40*H39</f>
        <v>120173.26319436789</v>
      </c>
      <c r="I40" s="1">
        <v>120173</v>
      </c>
    </row>
    <row r="41" spans="2:9" x14ac:dyDescent="0.3">
      <c r="B41" t="s">
        <v>95</v>
      </c>
      <c r="E41" t="s">
        <v>67</v>
      </c>
      <c r="F41">
        <v>246978</v>
      </c>
      <c r="G41">
        <f>F41/F39</f>
        <v>0.64830768746160994</v>
      </c>
      <c r="H41">
        <f>G41*H39</f>
        <v>221526.73680563213</v>
      </c>
      <c r="I41" s="1">
        <v>221527</v>
      </c>
    </row>
    <row r="44" spans="2:9" x14ac:dyDescent="0.3">
      <c r="B44" s="1" t="s">
        <v>100</v>
      </c>
      <c r="C44" s="1"/>
      <c r="D44" s="1"/>
      <c r="F44" t="s">
        <v>97</v>
      </c>
      <c r="H44" t="s">
        <v>98</v>
      </c>
    </row>
    <row r="45" spans="2:9" x14ac:dyDescent="0.3">
      <c r="F45">
        <f>F46+F47</f>
        <v>112761</v>
      </c>
      <c r="H45" s="2">
        <v>140800</v>
      </c>
    </row>
    <row r="46" spans="2:9" x14ac:dyDescent="0.3">
      <c r="B46" s="2" t="s">
        <v>57</v>
      </c>
      <c r="C46" s="2"/>
      <c r="D46" s="2"/>
      <c r="E46" s="2" t="s">
        <v>60</v>
      </c>
      <c r="F46">
        <v>44417</v>
      </c>
      <c r="G46">
        <f>F46/F45</f>
        <v>0.39390392068179603</v>
      </c>
      <c r="H46">
        <f>G46*H45</f>
        <v>55461.672031996881</v>
      </c>
      <c r="I46" s="1">
        <v>55462</v>
      </c>
    </row>
    <row r="47" spans="2:9" x14ac:dyDescent="0.3">
      <c r="B47" s="2" t="s">
        <v>57</v>
      </c>
      <c r="C47" s="2"/>
      <c r="D47" s="2"/>
      <c r="E47" s="2" t="s">
        <v>59</v>
      </c>
      <c r="F47">
        <v>68344</v>
      </c>
      <c r="G47">
        <f>F47/F45</f>
        <v>0.60609607931820397</v>
      </c>
      <c r="H47">
        <f>G47*H45</f>
        <v>85338.327968003126</v>
      </c>
      <c r="I47" s="1">
        <v>85338</v>
      </c>
    </row>
    <row r="50" spans="2:9" x14ac:dyDescent="0.3">
      <c r="B50" s="1" t="s">
        <v>101</v>
      </c>
      <c r="C50" s="1"/>
      <c r="D50" s="1"/>
      <c r="F50" t="s">
        <v>97</v>
      </c>
      <c r="H50" t="s">
        <v>98</v>
      </c>
    </row>
    <row r="51" spans="2:9" x14ac:dyDescent="0.3">
      <c r="F51">
        <f>F52+F53</f>
        <v>251547</v>
      </c>
      <c r="H51" s="3">
        <v>296600</v>
      </c>
    </row>
    <row r="52" spans="2:9" x14ac:dyDescent="0.3">
      <c r="B52" s="3" t="s">
        <v>73</v>
      </c>
      <c r="C52" s="3"/>
      <c r="D52" s="3"/>
      <c r="E52" s="3" t="s">
        <v>30</v>
      </c>
      <c r="F52">
        <v>61237</v>
      </c>
      <c r="G52">
        <f>F52/F51</f>
        <v>0.24344158348141698</v>
      </c>
      <c r="H52">
        <f>G52*H51</f>
        <v>72204.773660588282</v>
      </c>
      <c r="I52" s="1">
        <v>72205</v>
      </c>
    </row>
    <row r="53" spans="2:9" x14ac:dyDescent="0.3">
      <c r="B53" s="2" t="s">
        <v>75</v>
      </c>
      <c r="C53" s="2"/>
      <c r="D53" s="2"/>
      <c r="E53" s="2" t="s">
        <v>76</v>
      </c>
      <c r="F53">
        <v>190310</v>
      </c>
      <c r="G53">
        <f>F53/F51</f>
        <v>0.75655841651858302</v>
      </c>
      <c r="H53">
        <f>G53*H51</f>
        <v>224395.22633941172</v>
      </c>
      <c r="I53" s="1">
        <v>224395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14CF6-0152-4DFD-8B78-A82AABF69C57}">
  <dimension ref="A1:AQ34"/>
  <sheetViews>
    <sheetView workbookViewId="0">
      <selection activeCell="E6" sqref="E6"/>
    </sheetView>
  </sheetViews>
  <sheetFormatPr defaultRowHeight="14.4" x14ac:dyDescent="0.3"/>
  <sheetData>
    <row r="1" spans="1:43" x14ac:dyDescent="0.3">
      <c r="B1" s="1" t="s">
        <v>1</v>
      </c>
      <c r="C1" s="1" t="s">
        <v>0</v>
      </c>
      <c r="D1" s="1" t="s">
        <v>35</v>
      </c>
      <c r="E1" s="1" t="s">
        <v>43</v>
      </c>
      <c r="F1" s="1"/>
      <c r="G1" s="1"/>
      <c r="H1" s="1"/>
      <c r="I1" s="1" t="s">
        <v>37</v>
      </c>
      <c r="J1" s="1" t="s">
        <v>36</v>
      </c>
      <c r="K1" s="1" t="s">
        <v>38</v>
      </c>
      <c r="L1" s="1" t="s">
        <v>39</v>
      </c>
      <c r="M1" s="1" t="s">
        <v>41</v>
      </c>
      <c r="N1" s="1" t="s">
        <v>48</v>
      </c>
      <c r="O1" s="1" t="s">
        <v>47</v>
      </c>
      <c r="P1" s="1" t="s">
        <v>79</v>
      </c>
      <c r="Q1" s="1" t="s">
        <v>52</v>
      </c>
      <c r="R1" s="1" t="s">
        <v>50</v>
      </c>
      <c r="S1" s="1" t="s">
        <v>42</v>
      </c>
      <c r="U1" t="s">
        <v>37</v>
      </c>
      <c r="V1" t="s">
        <v>36</v>
      </c>
      <c r="W1" t="s">
        <v>38</v>
      </c>
      <c r="X1" t="s">
        <v>39</v>
      </c>
      <c r="Y1" t="s">
        <v>41</v>
      </c>
      <c r="Z1" t="s">
        <v>48</v>
      </c>
      <c r="AA1" t="s">
        <v>47</v>
      </c>
      <c r="AB1" t="s">
        <v>79</v>
      </c>
      <c r="AC1" t="s">
        <v>52</v>
      </c>
      <c r="AD1" t="s">
        <v>50</v>
      </c>
      <c r="AE1" t="s">
        <v>42</v>
      </c>
      <c r="AG1" t="s">
        <v>37</v>
      </c>
      <c r="AH1" t="s">
        <v>36</v>
      </c>
      <c r="AI1" t="s">
        <v>38</v>
      </c>
      <c r="AJ1" t="s">
        <v>39</v>
      </c>
      <c r="AK1" t="s">
        <v>41</v>
      </c>
      <c r="AL1" t="s">
        <v>48</v>
      </c>
      <c r="AM1" t="s">
        <v>47</v>
      </c>
      <c r="AN1" t="s">
        <v>79</v>
      </c>
      <c r="AO1" t="s">
        <v>52</v>
      </c>
      <c r="AP1" t="s">
        <v>50</v>
      </c>
      <c r="AQ1" t="s">
        <v>42</v>
      </c>
    </row>
    <row r="2" spans="1:43" x14ac:dyDescent="0.3">
      <c r="B2" t="s">
        <v>2</v>
      </c>
      <c r="C2" t="s">
        <v>2</v>
      </c>
      <c r="D2">
        <v>324000</v>
      </c>
      <c r="E2" t="s">
        <v>61</v>
      </c>
      <c r="F2">
        <v>1</v>
      </c>
      <c r="I2">
        <v>67.75</v>
      </c>
      <c r="J2">
        <v>1.06</v>
      </c>
      <c r="L2">
        <v>5.0199999999999996</v>
      </c>
      <c r="M2">
        <v>10.78</v>
      </c>
      <c r="N2">
        <v>14.49</v>
      </c>
      <c r="O2">
        <v>0.62</v>
      </c>
      <c r="P2">
        <v>0.01</v>
      </c>
      <c r="Q2">
        <v>0.01</v>
      </c>
      <c r="R2">
        <v>0.26</v>
      </c>
      <c r="U2">
        <f>I2/100*$D$2</f>
        <v>219510</v>
      </c>
      <c r="V2">
        <f t="shared" ref="V2:AE2" si="0">J2/100*$D$2</f>
        <v>3434.4</v>
      </c>
      <c r="W2">
        <f t="shared" si="0"/>
        <v>0</v>
      </c>
      <c r="X2">
        <f t="shared" si="0"/>
        <v>16264.799999999997</v>
      </c>
      <c r="Y2">
        <f t="shared" si="0"/>
        <v>34927.199999999997</v>
      </c>
      <c r="Z2">
        <f t="shared" si="0"/>
        <v>46947.6</v>
      </c>
      <c r="AA2">
        <f t="shared" si="0"/>
        <v>2008.8</v>
      </c>
      <c r="AB2">
        <f t="shared" si="0"/>
        <v>32.4</v>
      </c>
      <c r="AC2">
        <f t="shared" si="0"/>
        <v>32.4</v>
      </c>
      <c r="AD2">
        <f t="shared" si="0"/>
        <v>842.4</v>
      </c>
      <c r="AE2">
        <f t="shared" si="0"/>
        <v>0</v>
      </c>
      <c r="AG2">
        <v>219511</v>
      </c>
      <c r="AH2">
        <f t="shared" ref="AH2:AQ17" si="1">ROUND(V2,0)</f>
        <v>3434</v>
      </c>
      <c r="AI2">
        <f t="shared" si="1"/>
        <v>0</v>
      </c>
      <c r="AJ2">
        <f t="shared" si="1"/>
        <v>16265</v>
      </c>
      <c r="AK2">
        <f t="shared" si="1"/>
        <v>34927</v>
      </c>
      <c r="AL2">
        <f t="shared" si="1"/>
        <v>46948</v>
      </c>
      <c r="AM2">
        <f t="shared" si="1"/>
        <v>2009</v>
      </c>
      <c r="AN2">
        <f t="shared" si="1"/>
        <v>32</v>
      </c>
      <c r="AO2">
        <f t="shared" si="1"/>
        <v>32</v>
      </c>
      <c r="AP2">
        <f t="shared" si="1"/>
        <v>842</v>
      </c>
      <c r="AQ2">
        <f>ROUND(AE2,0)</f>
        <v>0</v>
      </c>
    </row>
    <row r="3" spans="1:43" x14ac:dyDescent="0.3">
      <c r="B3" t="s">
        <v>5</v>
      </c>
      <c r="C3" t="s">
        <v>3</v>
      </c>
      <c r="D3">
        <v>214600</v>
      </c>
      <c r="E3" t="s">
        <v>62</v>
      </c>
      <c r="F3">
        <v>1</v>
      </c>
      <c r="G3">
        <v>1</v>
      </c>
      <c r="I3">
        <v>13.35</v>
      </c>
      <c r="J3">
        <v>73.3</v>
      </c>
      <c r="L3">
        <v>0.03</v>
      </c>
      <c r="M3">
        <v>7.29</v>
      </c>
      <c r="N3">
        <v>0.72</v>
      </c>
      <c r="O3">
        <v>5.25</v>
      </c>
      <c r="P3">
        <v>0.04</v>
      </c>
      <c r="R3">
        <v>0.02</v>
      </c>
      <c r="U3">
        <f>I3/100*$D$3</f>
        <v>28649.100000000002</v>
      </c>
      <c r="V3">
        <f t="shared" ref="V3:AE3" si="2">J3/100*$D$3</f>
        <v>157301.79999999999</v>
      </c>
      <c r="W3">
        <f t="shared" si="2"/>
        <v>0</v>
      </c>
      <c r="X3">
        <f t="shared" si="2"/>
        <v>64.38</v>
      </c>
      <c r="Y3">
        <f t="shared" si="2"/>
        <v>15644.340000000002</v>
      </c>
      <c r="Z3">
        <f t="shared" si="2"/>
        <v>1545.12</v>
      </c>
      <c r="AA3">
        <f t="shared" si="2"/>
        <v>11266.5</v>
      </c>
      <c r="AB3">
        <f t="shared" si="2"/>
        <v>85.84</v>
      </c>
      <c r="AC3">
        <f t="shared" si="2"/>
        <v>0</v>
      </c>
      <c r="AD3">
        <f t="shared" si="2"/>
        <v>42.92</v>
      </c>
      <c r="AE3">
        <f t="shared" si="2"/>
        <v>0</v>
      </c>
      <c r="AG3">
        <v>28649</v>
      </c>
      <c r="AH3">
        <f t="shared" si="1"/>
        <v>157302</v>
      </c>
      <c r="AI3">
        <f t="shared" si="1"/>
        <v>0</v>
      </c>
      <c r="AJ3">
        <f t="shared" si="1"/>
        <v>64</v>
      </c>
      <c r="AK3">
        <f t="shared" si="1"/>
        <v>15644</v>
      </c>
      <c r="AL3">
        <f t="shared" si="1"/>
        <v>1545</v>
      </c>
      <c r="AM3">
        <f t="shared" si="1"/>
        <v>11267</v>
      </c>
      <c r="AN3">
        <f t="shared" si="1"/>
        <v>86</v>
      </c>
      <c r="AO3">
        <f t="shared" si="1"/>
        <v>0</v>
      </c>
      <c r="AP3">
        <f t="shared" si="1"/>
        <v>43</v>
      </c>
      <c r="AQ3">
        <f t="shared" si="1"/>
        <v>0</v>
      </c>
    </row>
    <row r="4" spans="1:43" x14ac:dyDescent="0.3">
      <c r="B4" t="s">
        <v>5</v>
      </c>
      <c r="C4" t="s">
        <v>4</v>
      </c>
      <c r="D4">
        <v>30500</v>
      </c>
      <c r="E4" s="34" t="s">
        <v>63</v>
      </c>
      <c r="F4">
        <v>1</v>
      </c>
      <c r="G4">
        <v>1</v>
      </c>
      <c r="I4">
        <v>13.35</v>
      </c>
      <c r="J4">
        <v>73.3</v>
      </c>
      <c r="L4">
        <v>0.03</v>
      </c>
      <c r="M4">
        <v>7.29</v>
      </c>
      <c r="N4">
        <v>0.72</v>
      </c>
      <c r="O4">
        <v>5.25</v>
      </c>
      <c r="P4">
        <v>0.04</v>
      </c>
      <c r="R4">
        <v>0.02</v>
      </c>
      <c r="U4">
        <f>I4/100*$D$4</f>
        <v>4071.7500000000005</v>
      </c>
      <c r="V4">
        <f t="shared" ref="V4:AE4" si="3">J4/100*$D$4</f>
        <v>22356.5</v>
      </c>
      <c r="W4">
        <f t="shared" si="3"/>
        <v>0</v>
      </c>
      <c r="X4">
        <f t="shared" si="3"/>
        <v>9.1499999999999986</v>
      </c>
      <c r="Y4">
        <f t="shared" si="3"/>
        <v>2223.4500000000003</v>
      </c>
      <c r="Z4">
        <f t="shared" si="3"/>
        <v>219.6</v>
      </c>
      <c r="AA4">
        <f t="shared" si="3"/>
        <v>1601.25</v>
      </c>
      <c r="AB4">
        <f t="shared" si="3"/>
        <v>12.200000000000001</v>
      </c>
      <c r="AC4">
        <f t="shared" si="3"/>
        <v>0</v>
      </c>
      <c r="AD4">
        <f t="shared" si="3"/>
        <v>6.1000000000000005</v>
      </c>
      <c r="AE4">
        <f t="shared" si="3"/>
        <v>0</v>
      </c>
      <c r="AG4">
        <v>4072</v>
      </c>
      <c r="AH4">
        <f t="shared" si="1"/>
        <v>22357</v>
      </c>
      <c r="AI4">
        <f t="shared" si="1"/>
        <v>0</v>
      </c>
      <c r="AJ4">
        <f t="shared" si="1"/>
        <v>9</v>
      </c>
      <c r="AK4">
        <f t="shared" si="1"/>
        <v>2223</v>
      </c>
      <c r="AL4">
        <f t="shared" si="1"/>
        <v>220</v>
      </c>
      <c r="AM4">
        <f t="shared" si="1"/>
        <v>1601</v>
      </c>
      <c r="AN4">
        <f t="shared" si="1"/>
        <v>12</v>
      </c>
      <c r="AO4">
        <f t="shared" si="1"/>
        <v>0</v>
      </c>
      <c r="AP4">
        <f t="shared" si="1"/>
        <v>6</v>
      </c>
      <c r="AQ4">
        <f t="shared" si="1"/>
        <v>0</v>
      </c>
    </row>
    <row r="5" spans="1:43" x14ac:dyDescent="0.3">
      <c r="B5" t="s">
        <v>6</v>
      </c>
      <c r="C5" t="s">
        <v>66</v>
      </c>
      <c r="D5">
        <v>120200</v>
      </c>
      <c r="E5" t="s">
        <v>68</v>
      </c>
      <c r="F5">
        <v>1</v>
      </c>
      <c r="I5">
        <v>9.92</v>
      </c>
      <c r="J5">
        <v>2.02</v>
      </c>
      <c r="K5">
        <v>0.28000000000000003</v>
      </c>
      <c r="L5">
        <v>0.1</v>
      </c>
      <c r="M5">
        <v>13.17</v>
      </c>
      <c r="N5">
        <v>19.21</v>
      </c>
      <c r="O5">
        <v>9.82</v>
      </c>
      <c r="P5">
        <v>28.13</v>
      </c>
      <c r="Q5">
        <v>5.55</v>
      </c>
      <c r="R5">
        <v>2.86</v>
      </c>
      <c r="S5">
        <v>8.94</v>
      </c>
      <c r="U5">
        <f>I5/100*$D$5</f>
        <v>11923.84</v>
      </c>
      <c r="V5">
        <f t="shared" ref="V5:AE5" si="4">J5/100*$D$5</f>
        <v>2428.04</v>
      </c>
      <c r="W5">
        <f t="shared" si="4"/>
        <v>336.56000000000006</v>
      </c>
      <c r="X5">
        <f t="shared" si="4"/>
        <v>120.2</v>
      </c>
      <c r="Y5">
        <f t="shared" si="4"/>
        <v>15830.340000000002</v>
      </c>
      <c r="Z5">
        <f t="shared" si="4"/>
        <v>23090.420000000002</v>
      </c>
      <c r="AA5">
        <f t="shared" si="4"/>
        <v>11803.640000000001</v>
      </c>
      <c r="AB5">
        <f t="shared" si="4"/>
        <v>33812.26</v>
      </c>
      <c r="AC5">
        <f t="shared" si="4"/>
        <v>6671.1</v>
      </c>
      <c r="AD5">
        <f t="shared" si="4"/>
        <v>3437.7200000000003</v>
      </c>
      <c r="AE5">
        <f t="shared" si="4"/>
        <v>10745.88</v>
      </c>
      <c r="AG5">
        <v>11924</v>
      </c>
      <c r="AH5">
        <f t="shared" si="1"/>
        <v>2428</v>
      </c>
      <c r="AI5">
        <f t="shared" si="1"/>
        <v>337</v>
      </c>
      <c r="AJ5">
        <f t="shared" si="1"/>
        <v>120</v>
      </c>
      <c r="AK5">
        <f t="shared" si="1"/>
        <v>15830</v>
      </c>
      <c r="AL5">
        <f t="shared" si="1"/>
        <v>23090</v>
      </c>
      <c r="AM5">
        <f t="shared" si="1"/>
        <v>11804</v>
      </c>
      <c r="AN5">
        <f t="shared" si="1"/>
        <v>33812</v>
      </c>
      <c r="AO5">
        <f t="shared" si="1"/>
        <v>6671</v>
      </c>
      <c r="AP5">
        <f t="shared" si="1"/>
        <v>3438</v>
      </c>
      <c r="AQ5">
        <f t="shared" si="1"/>
        <v>10746</v>
      </c>
    </row>
    <row r="6" spans="1:43" x14ac:dyDescent="0.3">
      <c r="B6" t="s">
        <v>6</v>
      </c>
      <c r="C6" t="s">
        <v>67</v>
      </c>
      <c r="D6" s="34">
        <v>221500</v>
      </c>
      <c r="E6" t="s">
        <v>69</v>
      </c>
      <c r="F6">
        <v>1</v>
      </c>
      <c r="I6">
        <v>62.31</v>
      </c>
      <c r="J6">
        <v>20.68</v>
      </c>
      <c r="K6">
        <v>1.55</v>
      </c>
      <c r="L6">
        <v>0.03</v>
      </c>
      <c r="M6">
        <v>1.83</v>
      </c>
      <c r="N6">
        <v>4.95</v>
      </c>
      <c r="O6">
        <v>1.6</v>
      </c>
      <c r="P6">
        <v>1.62</v>
      </c>
      <c r="Q6">
        <v>0.45</v>
      </c>
      <c r="R6">
        <v>0.79</v>
      </c>
      <c r="S6">
        <v>4.1900000000000004</v>
      </c>
      <c r="U6">
        <f>I6/100*$D$6</f>
        <v>138016.65</v>
      </c>
      <c r="V6">
        <f t="shared" ref="V6:AE6" si="5">J6/100*$D$6</f>
        <v>45806.2</v>
      </c>
      <c r="W6">
        <f t="shared" si="5"/>
        <v>3433.25</v>
      </c>
      <c r="X6">
        <f t="shared" si="5"/>
        <v>66.449999999999989</v>
      </c>
      <c r="Y6">
        <f t="shared" si="5"/>
        <v>4053.4500000000003</v>
      </c>
      <c r="Z6">
        <f t="shared" si="5"/>
        <v>10964.25</v>
      </c>
      <c r="AA6">
        <f t="shared" si="5"/>
        <v>3544</v>
      </c>
      <c r="AB6">
        <f t="shared" si="5"/>
        <v>3588.3000000000006</v>
      </c>
      <c r="AC6">
        <f t="shared" si="5"/>
        <v>996.75000000000011</v>
      </c>
      <c r="AD6">
        <f t="shared" si="5"/>
        <v>1749.8500000000001</v>
      </c>
      <c r="AE6">
        <f t="shared" si="5"/>
        <v>9280.8500000000022</v>
      </c>
      <c r="AG6">
        <v>138018</v>
      </c>
      <c r="AH6">
        <f t="shared" si="1"/>
        <v>45806</v>
      </c>
      <c r="AI6">
        <f t="shared" si="1"/>
        <v>3433</v>
      </c>
      <c r="AJ6">
        <f t="shared" si="1"/>
        <v>66</v>
      </c>
      <c r="AK6">
        <f t="shared" si="1"/>
        <v>4053</v>
      </c>
      <c r="AL6">
        <f t="shared" si="1"/>
        <v>10964</v>
      </c>
      <c r="AM6">
        <f t="shared" si="1"/>
        <v>3544</v>
      </c>
      <c r="AN6">
        <f t="shared" si="1"/>
        <v>3588</v>
      </c>
      <c r="AO6">
        <f t="shared" si="1"/>
        <v>997</v>
      </c>
      <c r="AP6">
        <f t="shared" si="1"/>
        <v>1750</v>
      </c>
      <c r="AQ6">
        <f t="shared" si="1"/>
        <v>9281</v>
      </c>
    </row>
    <row r="7" spans="1:43" x14ac:dyDescent="0.3">
      <c r="B7" t="s">
        <v>10</v>
      </c>
      <c r="C7" t="s">
        <v>7</v>
      </c>
      <c r="D7">
        <v>33800</v>
      </c>
      <c r="E7" s="34" t="s">
        <v>71</v>
      </c>
      <c r="F7">
        <v>1</v>
      </c>
      <c r="G7">
        <v>2</v>
      </c>
      <c r="I7">
        <v>48.74</v>
      </c>
      <c r="J7">
        <v>14.67</v>
      </c>
      <c r="K7">
        <v>14.66</v>
      </c>
      <c r="M7">
        <v>7.12</v>
      </c>
      <c r="N7">
        <v>7.02</v>
      </c>
      <c r="O7">
        <v>7.29</v>
      </c>
      <c r="P7">
        <v>0.02</v>
      </c>
      <c r="Q7">
        <v>0.03</v>
      </c>
      <c r="R7">
        <v>0.34</v>
      </c>
      <c r="S7">
        <v>0.11</v>
      </c>
      <c r="U7">
        <f>I7/100*$D$7</f>
        <v>16474.12</v>
      </c>
      <c r="V7">
        <f t="shared" ref="V7:AE7" si="6">J7/100*$D$7</f>
        <v>4958.46</v>
      </c>
      <c r="W7">
        <f t="shared" si="6"/>
        <v>4955.08</v>
      </c>
      <c r="X7">
        <f t="shared" si="6"/>
        <v>0</v>
      </c>
      <c r="Y7">
        <f t="shared" si="6"/>
        <v>2406.56</v>
      </c>
      <c r="Z7">
        <f t="shared" si="6"/>
        <v>2372.7599999999998</v>
      </c>
      <c r="AA7">
        <f t="shared" si="6"/>
        <v>2464.0200000000004</v>
      </c>
      <c r="AB7">
        <f t="shared" si="6"/>
        <v>6.7600000000000007</v>
      </c>
      <c r="AC7">
        <f t="shared" si="6"/>
        <v>10.139999999999999</v>
      </c>
      <c r="AD7">
        <f t="shared" si="6"/>
        <v>114.92</v>
      </c>
      <c r="AE7">
        <f t="shared" si="6"/>
        <v>37.18</v>
      </c>
      <c r="AG7">
        <v>16474</v>
      </c>
      <c r="AH7">
        <f t="shared" si="1"/>
        <v>4958</v>
      </c>
      <c r="AI7">
        <f t="shared" si="1"/>
        <v>4955</v>
      </c>
      <c r="AJ7">
        <f t="shared" si="1"/>
        <v>0</v>
      </c>
      <c r="AK7">
        <f t="shared" si="1"/>
        <v>2407</v>
      </c>
      <c r="AL7">
        <f t="shared" si="1"/>
        <v>2373</v>
      </c>
      <c r="AM7">
        <f t="shared" si="1"/>
        <v>2464</v>
      </c>
      <c r="AN7">
        <f t="shared" si="1"/>
        <v>7</v>
      </c>
      <c r="AO7">
        <f t="shared" si="1"/>
        <v>10</v>
      </c>
      <c r="AP7">
        <f t="shared" si="1"/>
        <v>115</v>
      </c>
      <c r="AQ7">
        <f t="shared" si="1"/>
        <v>37</v>
      </c>
    </row>
    <row r="8" spans="1:43" x14ac:dyDescent="0.3">
      <c r="B8" t="s">
        <v>10</v>
      </c>
      <c r="C8" t="s">
        <v>8</v>
      </c>
      <c r="D8">
        <v>86400</v>
      </c>
      <c r="E8" t="s">
        <v>72</v>
      </c>
      <c r="F8">
        <v>1</v>
      </c>
      <c r="G8">
        <v>2</v>
      </c>
      <c r="I8">
        <v>48.74</v>
      </c>
      <c r="J8">
        <v>14.67</v>
      </c>
      <c r="K8">
        <v>14.66</v>
      </c>
      <c r="M8">
        <v>7.12</v>
      </c>
      <c r="N8">
        <v>7.02</v>
      </c>
      <c r="O8">
        <v>7.29</v>
      </c>
      <c r="P8">
        <v>0.02</v>
      </c>
      <c r="Q8">
        <v>0.03</v>
      </c>
      <c r="R8">
        <v>0.34</v>
      </c>
      <c r="S8">
        <v>0.11</v>
      </c>
      <c r="U8">
        <f>I8/100*$D$8</f>
        <v>42111.360000000001</v>
      </c>
      <c r="V8">
        <f t="shared" ref="V8:AE8" si="7">J8/100*$D$8</f>
        <v>12674.88</v>
      </c>
      <c r="W8">
        <f t="shared" si="7"/>
        <v>12666.240000000002</v>
      </c>
      <c r="X8">
        <f t="shared" si="7"/>
        <v>0</v>
      </c>
      <c r="Y8">
        <f t="shared" si="7"/>
        <v>6151.68</v>
      </c>
      <c r="Z8">
        <f t="shared" si="7"/>
        <v>6065.28</v>
      </c>
      <c r="AA8">
        <f t="shared" si="7"/>
        <v>6298.56</v>
      </c>
      <c r="AB8">
        <f t="shared" si="7"/>
        <v>17.28</v>
      </c>
      <c r="AC8">
        <f t="shared" si="7"/>
        <v>25.919999999999998</v>
      </c>
      <c r="AD8">
        <f t="shared" si="7"/>
        <v>293.76000000000005</v>
      </c>
      <c r="AE8">
        <f t="shared" si="7"/>
        <v>95.04</v>
      </c>
      <c r="AG8">
        <v>42111</v>
      </c>
      <c r="AH8">
        <f t="shared" si="1"/>
        <v>12675</v>
      </c>
      <c r="AI8">
        <f t="shared" si="1"/>
        <v>12666</v>
      </c>
      <c r="AJ8">
        <f t="shared" si="1"/>
        <v>0</v>
      </c>
      <c r="AK8">
        <f t="shared" si="1"/>
        <v>6152</v>
      </c>
      <c r="AL8">
        <f t="shared" si="1"/>
        <v>6065</v>
      </c>
      <c r="AM8">
        <f t="shared" si="1"/>
        <v>6299</v>
      </c>
      <c r="AN8">
        <f t="shared" si="1"/>
        <v>17</v>
      </c>
      <c r="AO8">
        <f t="shared" si="1"/>
        <v>26</v>
      </c>
      <c r="AP8">
        <f t="shared" si="1"/>
        <v>294</v>
      </c>
      <c r="AQ8">
        <f t="shared" si="1"/>
        <v>95</v>
      </c>
    </row>
    <row r="9" spans="1:43" x14ac:dyDescent="0.3">
      <c r="B9" t="s">
        <v>10</v>
      </c>
      <c r="C9" t="s">
        <v>9</v>
      </c>
      <c r="D9">
        <v>177400</v>
      </c>
      <c r="E9" t="s">
        <v>70</v>
      </c>
      <c r="F9">
        <v>1</v>
      </c>
      <c r="I9">
        <v>28.66</v>
      </c>
      <c r="J9">
        <v>16.03</v>
      </c>
      <c r="K9">
        <v>0.53</v>
      </c>
      <c r="M9">
        <v>15.59</v>
      </c>
      <c r="N9">
        <v>9.4700000000000006</v>
      </c>
      <c r="O9">
        <v>18.57</v>
      </c>
      <c r="P9">
        <v>4.92</v>
      </c>
      <c r="Q9">
        <v>1.06</v>
      </c>
      <c r="R9">
        <v>0.77</v>
      </c>
      <c r="S9">
        <v>4.4000000000000004</v>
      </c>
      <c r="U9">
        <f>I9/100*$D$9</f>
        <v>50842.840000000004</v>
      </c>
      <c r="V9">
        <f t="shared" ref="V9:AE9" si="8">J9/100*$D$9</f>
        <v>28437.22</v>
      </c>
      <c r="W9">
        <f t="shared" si="8"/>
        <v>940.22</v>
      </c>
      <c r="X9">
        <f t="shared" si="8"/>
        <v>0</v>
      </c>
      <c r="Y9">
        <f t="shared" si="8"/>
        <v>27656.660000000003</v>
      </c>
      <c r="Z9">
        <f t="shared" si="8"/>
        <v>16799.780000000002</v>
      </c>
      <c r="AA9">
        <f t="shared" si="8"/>
        <v>32943.18</v>
      </c>
      <c r="AB9">
        <f t="shared" si="8"/>
        <v>8728.08</v>
      </c>
      <c r="AC9">
        <f t="shared" si="8"/>
        <v>1880.44</v>
      </c>
      <c r="AD9">
        <f t="shared" si="8"/>
        <v>1365.98</v>
      </c>
      <c r="AE9">
        <f t="shared" si="8"/>
        <v>7805.6</v>
      </c>
      <c r="AG9">
        <v>50843</v>
      </c>
      <c r="AH9">
        <f t="shared" si="1"/>
        <v>28437</v>
      </c>
      <c r="AI9">
        <f t="shared" si="1"/>
        <v>940</v>
      </c>
      <c r="AJ9">
        <f t="shared" si="1"/>
        <v>0</v>
      </c>
      <c r="AK9">
        <f t="shared" si="1"/>
        <v>27657</v>
      </c>
      <c r="AL9">
        <f t="shared" si="1"/>
        <v>16800</v>
      </c>
      <c r="AM9">
        <f t="shared" si="1"/>
        <v>32943</v>
      </c>
      <c r="AN9">
        <f t="shared" si="1"/>
        <v>8728</v>
      </c>
      <c r="AO9">
        <f t="shared" si="1"/>
        <v>1880</v>
      </c>
      <c r="AP9">
        <f t="shared" si="1"/>
        <v>1366</v>
      </c>
      <c r="AQ9">
        <f t="shared" si="1"/>
        <v>7806</v>
      </c>
    </row>
    <row r="10" spans="1:43" x14ac:dyDescent="0.3">
      <c r="A10" t="s">
        <v>45</v>
      </c>
      <c r="B10" t="s">
        <v>13</v>
      </c>
      <c r="C10" t="s">
        <v>11</v>
      </c>
      <c r="D10">
        <v>129500</v>
      </c>
      <c r="E10" t="s">
        <v>268</v>
      </c>
      <c r="F10">
        <v>1</v>
      </c>
      <c r="I10">
        <v>2.62</v>
      </c>
      <c r="J10">
        <v>21.18</v>
      </c>
      <c r="L10">
        <v>0.03</v>
      </c>
      <c r="M10">
        <v>71.5</v>
      </c>
      <c r="N10">
        <v>3.08</v>
      </c>
      <c r="O10">
        <v>0.4</v>
      </c>
      <c r="P10">
        <v>0.81</v>
      </c>
      <c r="Q10">
        <v>0.1</v>
      </c>
      <c r="R10">
        <v>0.12</v>
      </c>
      <c r="S10">
        <v>0.16</v>
      </c>
      <c r="U10">
        <f>I10/100*$D$10</f>
        <v>3392.9</v>
      </c>
      <c r="V10">
        <f t="shared" ref="V10:AE10" si="9">J10/100*$D$10</f>
        <v>27428.1</v>
      </c>
      <c r="W10">
        <f t="shared" si="9"/>
        <v>0</v>
      </c>
      <c r="X10">
        <f t="shared" si="9"/>
        <v>38.849999999999994</v>
      </c>
      <c r="Y10">
        <f t="shared" si="9"/>
        <v>92592.5</v>
      </c>
      <c r="Z10">
        <f t="shared" si="9"/>
        <v>3988.6</v>
      </c>
      <c r="AA10">
        <f t="shared" si="9"/>
        <v>518</v>
      </c>
      <c r="AB10">
        <f t="shared" si="9"/>
        <v>1048.9500000000003</v>
      </c>
      <c r="AC10">
        <f t="shared" si="9"/>
        <v>129.5</v>
      </c>
      <c r="AD10">
        <f t="shared" si="9"/>
        <v>155.39999999999998</v>
      </c>
      <c r="AE10">
        <f t="shared" si="9"/>
        <v>207.20000000000002</v>
      </c>
      <c r="AG10">
        <v>3392</v>
      </c>
      <c r="AH10">
        <f t="shared" si="1"/>
        <v>27428</v>
      </c>
      <c r="AI10">
        <f t="shared" si="1"/>
        <v>0</v>
      </c>
      <c r="AJ10">
        <f t="shared" si="1"/>
        <v>39</v>
      </c>
      <c r="AK10">
        <f t="shared" si="1"/>
        <v>92593</v>
      </c>
      <c r="AL10">
        <f t="shared" si="1"/>
        <v>3989</v>
      </c>
      <c r="AM10">
        <f t="shared" si="1"/>
        <v>518</v>
      </c>
      <c r="AN10">
        <f t="shared" si="1"/>
        <v>1049</v>
      </c>
      <c r="AO10">
        <f t="shared" si="1"/>
        <v>130</v>
      </c>
      <c r="AP10">
        <f t="shared" si="1"/>
        <v>155</v>
      </c>
      <c r="AQ10">
        <f t="shared" si="1"/>
        <v>207</v>
      </c>
    </row>
    <row r="11" spans="1:43" x14ac:dyDescent="0.3">
      <c r="B11" t="s">
        <v>13</v>
      </c>
      <c r="C11" t="s">
        <v>12</v>
      </c>
      <c r="D11">
        <v>260500</v>
      </c>
      <c r="E11" t="s">
        <v>268</v>
      </c>
      <c r="F11">
        <v>1</v>
      </c>
      <c r="I11">
        <v>0.25</v>
      </c>
      <c r="J11">
        <v>1.8</v>
      </c>
      <c r="K11">
        <v>0.01</v>
      </c>
      <c r="L11">
        <v>0.01</v>
      </c>
      <c r="M11">
        <v>92.16</v>
      </c>
      <c r="N11">
        <v>0.89</v>
      </c>
      <c r="O11">
        <v>2.14</v>
      </c>
      <c r="P11">
        <v>0.72</v>
      </c>
      <c r="Q11">
        <v>0.66</v>
      </c>
      <c r="R11">
        <v>0.11</v>
      </c>
      <c r="S11">
        <v>1.25</v>
      </c>
      <c r="U11">
        <f>I11/100*$D$11</f>
        <v>651.25</v>
      </c>
      <c r="V11">
        <f t="shared" ref="V11:AE11" si="10">J11/100*$D$11</f>
        <v>4689.0000000000009</v>
      </c>
      <c r="W11">
        <f t="shared" si="10"/>
        <v>26.05</v>
      </c>
      <c r="X11">
        <f t="shared" si="10"/>
        <v>26.05</v>
      </c>
      <c r="Y11">
        <f t="shared" si="10"/>
        <v>240076.79999999999</v>
      </c>
      <c r="Z11">
        <f t="shared" si="10"/>
        <v>2318.4499999999998</v>
      </c>
      <c r="AA11">
        <f t="shared" si="10"/>
        <v>5574.7000000000007</v>
      </c>
      <c r="AB11">
        <f t="shared" si="10"/>
        <v>1875.6</v>
      </c>
      <c r="AC11">
        <f t="shared" si="10"/>
        <v>1719.3</v>
      </c>
      <c r="AD11">
        <f t="shared" si="10"/>
        <v>286.55</v>
      </c>
      <c r="AE11">
        <f t="shared" si="10"/>
        <v>3256.25</v>
      </c>
      <c r="AG11">
        <v>651</v>
      </c>
      <c r="AH11">
        <f t="shared" si="1"/>
        <v>4689</v>
      </c>
      <c r="AI11">
        <f t="shared" si="1"/>
        <v>26</v>
      </c>
      <c r="AJ11">
        <f t="shared" si="1"/>
        <v>26</v>
      </c>
      <c r="AK11">
        <f t="shared" si="1"/>
        <v>240077</v>
      </c>
      <c r="AL11">
        <f t="shared" si="1"/>
        <v>2318</v>
      </c>
      <c r="AM11">
        <f t="shared" si="1"/>
        <v>5575</v>
      </c>
      <c r="AN11">
        <f t="shared" si="1"/>
        <v>1876</v>
      </c>
      <c r="AO11">
        <f t="shared" si="1"/>
        <v>1719</v>
      </c>
      <c r="AP11">
        <f t="shared" si="1"/>
        <v>287</v>
      </c>
      <c r="AQ11">
        <f t="shared" si="1"/>
        <v>3256</v>
      </c>
    </row>
    <row r="12" spans="1:43" x14ac:dyDescent="0.3">
      <c r="B12" t="s">
        <v>15</v>
      </c>
      <c r="C12" t="s">
        <v>14</v>
      </c>
      <c r="D12">
        <v>300800</v>
      </c>
      <c r="E12" t="s">
        <v>46</v>
      </c>
      <c r="F12">
        <v>1</v>
      </c>
      <c r="I12">
        <v>1.33</v>
      </c>
      <c r="J12">
        <v>3.28</v>
      </c>
      <c r="K12">
        <v>54.65</v>
      </c>
      <c r="M12">
        <v>23.47</v>
      </c>
      <c r="N12">
        <v>12.6</v>
      </c>
      <c r="O12">
        <v>2.99</v>
      </c>
      <c r="P12">
        <v>0.53</v>
      </c>
      <c r="Q12">
        <v>7.0000000000000007E-2</v>
      </c>
      <c r="R12">
        <v>0.69</v>
      </c>
      <c r="S12">
        <v>0.39</v>
      </c>
      <c r="U12">
        <f>I12/100*$D$12</f>
        <v>4000.6400000000003</v>
      </c>
      <c r="V12">
        <f t="shared" ref="V12:AE12" si="11">J12/100*$D$12</f>
        <v>9866.239999999998</v>
      </c>
      <c r="W12">
        <f t="shared" si="11"/>
        <v>164387.19999999998</v>
      </c>
      <c r="X12">
        <f t="shared" si="11"/>
        <v>0</v>
      </c>
      <c r="Y12">
        <f t="shared" si="11"/>
        <v>70597.759999999995</v>
      </c>
      <c r="Z12">
        <f t="shared" si="11"/>
        <v>37900.800000000003</v>
      </c>
      <c r="AA12">
        <f t="shared" si="11"/>
        <v>8993.92</v>
      </c>
      <c r="AB12">
        <f t="shared" si="11"/>
        <v>1594.24</v>
      </c>
      <c r="AC12">
        <f t="shared" si="11"/>
        <v>210.56000000000003</v>
      </c>
      <c r="AD12">
        <f t="shared" si="11"/>
        <v>2075.52</v>
      </c>
      <c r="AE12">
        <f t="shared" si="11"/>
        <v>1173.1200000000001</v>
      </c>
      <c r="AG12">
        <v>4000</v>
      </c>
      <c r="AH12">
        <f t="shared" si="1"/>
        <v>9866</v>
      </c>
      <c r="AI12">
        <f t="shared" si="1"/>
        <v>164387</v>
      </c>
      <c r="AJ12">
        <f t="shared" si="1"/>
        <v>0</v>
      </c>
      <c r="AK12">
        <f t="shared" si="1"/>
        <v>70598</v>
      </c>
      <c r="AL12">
        <f t="shared" si="1"/>
        <v>37901</v>
      </c>
      <c r="AM12">
        <f t="shared" si="1"/>
        <v>8994</v>
      </c>
      <c r="AN12">
        <f t="shared" si="1"/>
        <v>1594</v>
      </c>
      <c r="AO12">
        <f t="shared" si="1"/>
        <v>211</v>
      </c>
      <c r="AP12">
        <f t="shared" si="1"/>
        <v>2076</v>
      </c>
      <c r="AQ12">
        <f t="shared" si="1"/>
        <v>1173</v>
      </c>
    </row>
    <row r="13" spans="1:43" x14ac:dyDescent="0.3">
      <c r="B13" t="s">
        <v>15</v>
      </c>
      <c r="C13" t="s">
        <v>16</v>
      </c>
      <c r="D13">
        <v>553800</v>
      </c>
      <c r="E13" t="s">
        <v>51</v>
      </c>
      <c r="F13">
        <v>1</v>
      </c>
      <c r="I13">
        <v>6.11</v>
      </c>
      <c r="J13">
        <v>25.16</v>
      </c>
      <c r="K13">
        <v>17.45</v>
      </c>
      <c r="L13">
        <v>0.01</v>
      </c>
      <c r="M13">
        <v>36.26</v>
      </c>
      <c r="N13">
        <v>7.52</v>
      </c>
      <c r="O13">
        <v>4.53</v>
      </c>
      <c r="P13">
        <v>0.86</v>
      </c>
      <c r="Q13">
        <v>0.42</v>
      </c>
      <c r="R13">
        <v>0.31</v>
      </c>
      <c r="S13">
        <v>1.37</v>
      </c>
      <c r="U13">
        <f>I13/100*$D$13</f>
        <v>33837.18</v>
      </c>
      <c r="V13">
        <f t="shared" ref="V13:AE13" si="12">J13/100*$D$13</f>
        <v>139336.07999999999</v>
      </c>
      <c r="W13">
        <f t="shared" si="12"/>
        <v>96638.099999999991</v>
      </c>
      <c r="X13">
        <f t="shared" si="12"/>
        <v>55.38</v>
      </c>
      <c r="Y13">
        <f t="shared" si="12"/>
        <v>200807.87999999998</v>
      </c>
      <c r="Z13">
        <f t="shared" si="12"/>
        <v>41645.759999999995</v>
      </c>
      <c r="AA13">
        <f t="shared" si="12"/>
        <v>25087.14</v>
      </c>
      <c r="AB13">
        <f t="shared" si="12"/>
        <v>4762.68</v>
      </c>
      <c r="AC13">
        <f t="shared" si="12"/>
        <v>2325.96</v>
      </c>
      <c r="AD13">
        <f t="shared" si="12"/>
        <v>1716.78</v>
      </c>
      <c r="AE13">
        <f t="shared" si="12"/>
        <v>7587.06</v>
      </c>
      <c r="AG13">
        <v>33837</v>
      </c>
      <c r="AH13">
        <f t="shared" si="1"/>
        <v>139336</v>
      </c>
      <c r="AI13">
        <f t="shared" si="1"/>
        <v>96638</v>
      </c>
      <c r="AJ13">
        <f t="shared" si="1"/>
        <v>55</v>
      </c>
      <c r="AK13">
        <f t="shared" si="1"/>
        <v>200808</v>
      </c>
      <c r="AL13">
        <f t="shared" si="1"/>
        <v>41646</v>
      </c>
      <c r="AM13">
        <f t="shared" si="1"/>
        <v>25087</v>
      </c>
      <c r="AN13">
        <f t="shared" si="1"/>
        <v>4763</v>
      </c>
      <c r="AO13">
        <f t="shared" si="1"/>
        <v>2326</v>
      </c>
      <c r="AP13">
        <f t="shared" si="1"/>
        <v>1717</v>
      </c>
      <c r="AQ13">
        <f t="shared" si="1"/>
        <v>7587</v>
      </c>
    </row>
    <row r="14" spans="1:43" x14ac:dyDescent="0.3">
      <c r="B14" t="s">
        <v>15</v>
      </c>
      <c r="C14" t="s">
        <v>17</v>
      </c>
      <c r="D14">
        <v>277000</v>
      </c>
      <c r="E14" t="s">
        <v>53</v>
      </c>
      <c r="F14">
        <v>1</v>
      </c>
      <c r="I14">
        <v>29.72</v>
      </c>
      <c r="J14">
        <v>2.2000000000000002</v>
      </c>
      <c r="K14">
        <v>31.61</v>
      </c>
      <c r="M14">
        <v>28.85</v>
      </c>
      <c r="N14">
        <v>0.39</v>
      </c>
      <c r="O14">
        <v>6.49</v>
      </c>
      <c r="P14">
        <v>0.33</v>
      </c>
      <c r="Q14">
        <v>0.03</v>
      </c>
      <c r="R14">
        <v>0.33</v>
      </c>
      <c r="S14">
        <v>0.05</v>
      </c>
      <c r="U14">
        <f>I14/100*$D$14</f>
        <v>82324.399999999994</v>
      </c>
      <c r="V14">
        <f t="shared" ref="V14:AE14" si="13">J14/100*$D$14</f>
        <v>6094.0000000000009</v>
      </c>
      <c r="W14">
        <f t="shared" si="13"/>
        <v>87559.7</v>
      </c>
      <c r="X14">
        <f t="shared" si="13"/>
        <v>0</v>
      </c>
      <c r="Y14">
        <f t="shared" si="13"/>
        <v>79914.500000000015</v>
      </c>
      <c r="Z14">
        <f t="shared" si="13"/>
        <v>1080.3000000000002</v>
      </c>
      <c r="AA14">
        <f t="shared" si="13"/>
        <v>17977.3</v>
      </c>
      <c r="AB14">
        <f t="shared" si="13"/>
        <v>914.1</v>
      </c>
      <c r="AC14">
        <f t="shared" si="13"/>
        <v>83.1</v>
      </c>
      <c r="AD14">
        <f t="shared" si="13"/>
        <v>914.1</v>
      </c>
      <c r="AE14">
        <f t="shared" si="13"/>
        <v>138.5</v>
      </c>
      <c r="AG14">
        <v>82324</v>
      </c>
      <c r="AH14">
        <f t="shared" si="1"/>
        <v>6094</v>
      </c>
      <c r="AI14">
        <f t="shared" si="1"/>
        <v>87560</v>
      </c>
      <c r="AJ14">
        <f t="shared" si="1"/>
        <v>0</v>
      </c>
      <c r="AK14">
        <f t="shared" si="1"/>
        <v>79915</v>
      </c>
      <c r="AL14">
        <f t="shared" si="1"/>
        <v>1080</v>
      </c>
      <c r="AM14">
        <f t="shared" si="1"/>
        <v>17977</v>
      </c>
      <c r="AN14">
        <f t="shared" si="1"/>
        <v>914</v>
      </c>
      <c r="AO14">
        <f t="shared" si="1"/>
        <v>83</v>
      </c>
      <c r="AP14">
        <f t="shared" si="1"/>
        <v>914</v>
      </c>
      <c r="AQ14">
        <f t="shared" si="1"/>
        <v>139</v>
      </c>
    </row>
    <row r="15" spans="1:43" x14ac:dyDescent="0.3">
      <c r="B15" t="s">
        <v>15</v>
      </c>
      <c r="C15" t="s">
        <v>18</v>
      </c>
      <c r="D15">
        <v>511000</v>
      </c>
      <c r="E15" t="s">
        <v>54</v>
      </c>
      <c r="F15">
        <v>1</v>
      </c>
      <c r="I15">
        <v>1.97</v>
      </c>
      <c r="J15">
        <v>2.93</v>
      </c>
      <c r="K15">
        <v>1.39</v>
      </c>
      <c r="L15">
        <v>0.12</v>
      </c>
      <c r="M15">
        <v>44.96</v>
      </c>
      <c r="N15">
        <v>14.59</v>
      </c>
      <c r="O15">
        <v>9.8699999999999992</v>
      </c>
      <c r="P15">
        <v>14.1</v>
      </c>
      <c r="Q15">
        <v>3.81</v>
      </c>
      <c r="R15">
        <v>1.57</v>
      </c>
      <c r="S15">
        <v>4.6900000000000004</v>
      </c>
      <c r="U15">
        <f>I15/100*$D$15</f>
        <v>10066.699999999999</v>
      </c>
      <c r="V15">
        <f t="shared" ref="V15:AE15" si="14">J15/100*$D$15</f>
        <v>14972.300000000001</v>
      </c>
      <c r="W15">
        <f t="shared" si="14"/>
        <v>7102.9</v>
      </c>
      <c r="X15">
        <f t="shared" si="14"/>
        <v>613.19999999999993</v>
      </c>
      <c r="Y15">
        <f t="shared" si="14"/>
        <v>229745.6</v>
      </c>
      <c r="Z15">
        <f t="shared" si="14"/>
        <v>74554.899999999994</v>
      </c>
      <c r="AA15">
        <f t="shared" si="14"/>
        <v>50435.7</v>
      </c>
      <c r="AB15">
        <f t="shared" si="14"/>
        <v>72051</v>
      </c>
      <c r="AC15">
        <f t="shared" si="14"/>
        <v>19469.100000000002</v>
      </c>
      <c r="AD15">
        <f t="shared" si="14"/>
        <v>8022.7000000000007</v>
      </c>
      <c r="AE15">
        <f t="shared" si="14"/>
        <v>23965.9</v>
      </c>
      <c r="AG15">
        <v>10066</v>
      </c>
      <c r="AH15">
        <f t="shared" si="1"/>
        <v>14972</v>
      </c>
      <c r="AI15">
        <f t="shared" si="1"/>
        <v>7103</v>
      </c>
      <c r="AJ15">
        <f t="shared" si="1"/>
        <v>613</v>
      </c>
      <c r="AK15">
        <f t="shared" si="1"/>
        <v>229746</v>
      </c>
      <c r="AL15">
        <f t="shared" si="1"/>
        <v>74555</v>
      </c>
      <c r="AM15">
        <f t="shared" si="1"/>
        <v>50436</v>
      </c>
      <c r="AN15">
        <f t="shared" si="1"/>
        <v>72051</v>
      </c>
      <c r="AO15">
        <f t="shared" si="1"/>
        <v>19469</v>
      </c>
      <c r="AP15">
        <f t="shared" si="1"/>
        <v>8023</v>
      </c>
      <c r="AQ15">
        <f t="shared" si="1"/>
        <v>23966</v>
      </c>
    </row>
    <row r="16" spans="1:43" x14ac:dyDescent="0.3">
      <c r="B16" t="s">
        <v>22</v>
      </c>
      <c r="C16" t="s">
        <v>19</v>
      </c>
      <c r="D16">
        <v>96200</v>
      </c>
      <c r="E16" t="s">
        <v>55</v>
      </c>
      <c r="F16">
        <v>1</v>
      </c>
      <c r="I16">
        <v>0.09</v>
      </c>
      <c r="J16">
        <v>88.53</v>
      </c>
      <c r="M16">
        <v>8.73</v>
      </c>
      <c r="O16">
        <v>2.16</v>
      </c>
      <c r="P16">
        <v>0.44</v>
      </c>
      <c r="Q16">
        <v>0.02</v>
      </c>
      <c r="R16">
        <v>0.03</v>
      </c>
      <c r="U16">
        <f>I16/100*$D$16</f>
        <v>86.58</v>
      </c>
      <c r="V16">
        <f t="shared" ref="V16:AE16" si="15">J16/100*$D$16</f>
        <v>85165.86</v>
      </c>
      <c r="W16">
        <f t="shared" si="15"/>
        <v>0</v>
      </c>
      <c r="X16">
        <f t="shared" si="15"/>
        <v>0</v>
      </c>
      <c r="Y16">
        <f t="shared" si="15"/>
        <v>8398.26</v>
      </c>
      <c r="Z16">
        <f t="shared" si="15"/>
        <v>0</v>
      </c>
      <c r="AA16">
        <f t="shared" si="15"/>
        <v>2077.92</v>
      </c>
      <c r="AB16">
        <f t="shared" si="15"/>
        <v>423.28000000000003</v>
      </c>
      <c r="AC16">
        <f t="shared" si="15"/>
        <v>19.240000000000002</v>
      </c>
      <c r="AD16">
        <f t="shared" si="15"/>
        <v>28.859999999999996</v>
      </c>
      <c r="AE16">
        <f t="shared" si="15"/>
        <v>0</v>
      </c>
      <c r="AG16">
        <v>87</v>
      </c>
      <c r="AH16">
        <f t="shared" si="1"/>
        <v>85166</v>
      </c>
      <c r="AI16">
        <f t="shared" si="1"/>
        <v>0</v>
      </c>
      <c r="AJ16">
        <f t="shared" si="1"/>
        <v>0</v>
      </c>
      <c r="AK16">
        <f t="shared" si="1"/>
        <v>8398</v>
      </c>
      <c r="AL16">
        <f t="shared" si="1"/>
        <v>0</v>
      </c>
      <c r="AM16">
        <f t="shared" si="1"/>
        <v>2078</v>
      </c>
      <c r="AN16">
        <f t="shared" si="1"/>
        <v>423</v>
      </c>
      <c r="AO16">
        <f t="shared" si="1"/>
        <v>19</v>
      </c>
      <c r="AP16">
        <f t="shared" si="1"/>
        <v>29</v>
      </c>
      <c r="AQ16">
        <f t="shared" si="1"/>
        <v>0</v>
      </c>
    </row>
    <row r="17" spans="2:43" x14ac:dyDescent="0.3">
      <c r="B17" t="s">
        <v>22</v>
      </c>
      <c r="C17" t="s">
        <v>20</v>
      </c>
      <c r="D17">
        <v>28700</v>
      </c>
      <c r="E17" t="s">
        <v>55</v>
      </c>
      <c r="F17">
        <v>1</v>
      </c>
      <c r="G17">
        <v>3</v>
      </c>
      <c r="I17">
        <v>17.18</v>
      </c>
      <c r="J17">
        <v>57.98</v>
      </c>
      <c r="K17">
        <v>10.25</v>
      </c>
      <c r="M17">
        <v>4.1500000000000004</v>
      </c>
      <c r="N17">
        <v>6.73</v>
      </c>
      <c r="O17">
        <v>2.34</v>
      </c>
      <c r="P17">
        <v>0.41</v>
      </c>
      <c r="Q17">
        <v>0.02</v>
      </c>
      <c r="R17">
        <v>0.8</v>
      </c>
      <c r="S17">
        <v>0.14000000000000001</v>
      </c>
      <c r="U17">
        <f>I17/100*$D$17</f>
        <v>4930.66</v>
      </c>
      <c r="V17">
        <f t="shared" ref="V17:AE17" si="16">J17/100*$D$17</f>
        <v>16640.259999999998</v>
      </c>
      <c r="W17">
        <f t="shared" si="16"/>
        <v>2941.75</v>
      </c>
      <c r="X17">
        <f t="shared" si="16"/>
        <v>0</v>
      </c>
      <c r="Y17">
        <f t="shared" si="16"/>
        <v>1191.05</v>
      </c>
      <c r="Z17">
        <f t="shared" si="16"/>
        <v>1931.51</v>
      </c>
      <c r="AA17">
        <f t="shared" si="16"/>
        <v>671.57999999999993</v>
      </c>
      <c r="AB17">
        <f t="shared" si="16"/>
        <v>117.66999999999999</v>
      </c>
      <c r="AC17">
        <f t="shared" si="16"/>
        <v>5.74</v>
      </c>
      <c r="AD17">
        <f t="shared" si="16"/>
        <v>229.6</v>
      </c>
      <c r="AE17">
        <f t="shared" si="16"/>
        <v>40.180000000000007</v>
      </c>
      <c r="AG17">
        <v>4929</v>
      </c>
      <c r="AH17">
        <f t="shared" si="1"/>
        <v>16640</v>
      </c>
      <c r="AI17">
        <f t="shared" si="1"/>
        <v>2942</v>
      </c>
      <c r="AJ17">
        <f t="shared" si="1"/>
        <v>0</v>
      </c>
      <c r="AK17">
        <f t="shared" si="1"/>
        <v>1191</v>
      </c>
      <c r="AL17">
        <f t="shared" si="1"/>
        <v>1932</v>
      </c>
      <c r="AM17">
        <f t="shared" si="1"/>
        <v>672</v>
      </c>
      <c r="AN17">
        <f t="shared" si="1"/>
        <v>118</v>
      </c>
      <c r="AO17">
        <f t="shared" si="1"/>
        <v>6</v>
      </c>
      <c r="AP17">
        <f t="shared" si="1"/>
        <v>230</v>
      </c>
      <c r="AQ17">
        <f t="shared" si="1"/>
        <v>40</v>
      </c>
    </row>
    <row r="18" spans="2:43" x14ac:dyDescent="0.3">
      <c r="B18" t="s">
        <v>22</v>
      </c>
      <c r="C18" t="s">
        <v>21</v>
      </c>
      <c r="D18">
        <v>74000</v>
      </c>
      <c r="E18" s="34" t="s">
        <v>56</v>
      </c>
      <c r="F18">
        <v>1</v>
      </c>
      <c r="G18">
        <v>3</v>
      </c>
      <c r="I18">
        <v>17.18</v>
      </c>
      <c r="J18">
        <v>57.98</v>
      </c>
      <c r="K18">
        <v>10.25</v>
      </c>
      <c r="M18">
        <v>4.1500000000000004</v>
      </c>
      <c r="N18">
        <v>6.73</v>
      </c>
      <c r="O18">
        <v>2.34</v>
      </c>
      <c r="P18">
        <v>0.41</v>
      </c>
      <c r="Q18">
        <v>0.02</v>
      </c>
      <c r="R18">
        <v>0.8</v>
      </c>
      <c r="S18">
        <v>0.14000000000000001</v>
      </c>
      <c r="U18">
        <f>I18/100*$D$18</f>
        <v>12713.2</v>
      </c>
      <c r="V18">
        <f t="shared" ref="V18:AE18" si="17">J18/100*$D$18</f>
        <v>42905.2</v>
      </c>
      <c r="W18">
        <f t="shared" si="17"/>
        <v>7585</v>
      </c>
      <c r="X18">
        <f t="shared" si="17"/>
        <v>0</v>
      </c>
      <c r="Y18">
        <f t="shared" si="17"/>
        <v>3071</v>
      </c>
      <c r="Z18">
        <f t="shared" si="17"/>
        <v>4980.2</v>
      </c>
      <c r="AA18">
        <f t="shared" si="17"/>
        <v>1731.5999999999997</v>
      </c>
      <c r="AB18">
        <f t="shared" si="17"/>
        <v>303.39999999999998</v>
      </c>
      <c r="AC18">
        <f t="shared" si="17"/>
        <v>14.8</v>
      </c>
      <c r="AD18">
        <f t="shared" si="17"/>
        <v>592</v>
      </c>
      <c r="AE18">
        <f t="shared" si="17"/>
        <v>103.60000000000001</v>
      </c>
      <c r="AG18">
        <v>12713</v>
      </c>
      <c r="AH18">
        <f t="shared" ref="AH18:AH30" si="18">ROUND(V18,0)</f>
        <v>42905</v>
      </c>
      <c r="AI18">
        <f t="shared" ref="AI18:AI30" si="19">ROUND(W18,0)</f>
        <v>7585</v>
      </c>
      <c r="AJ18">
        <f t="shared" ref="AJ18:AJ30" si="20">ROUND(X18,0)</f>
        <v>0</v>
      </c>
      <c r="AK18">
        <f t="shared" ref="AK18:AK30" si="21">ROUND(Y18,0)</f>
        <v>3071</v>
      </c>
      <c r="AL18">
        <f t="shared" ref="AL18:AL30" si="22">ROUND(Z18,0)</f>
        <v>4980</v>
      </c>
      <c r="AM18">
        <f t="shared" ref="AM18:AM30" si="23">ROUND(AA18,0)</f>
        <v>1732</v>
      </c>
      <c r="AN18">
        <f t="shared" ref="AN18:AN30" si="24">ROUND(AB18,0)</f>
        <v>303</v>
      </c>
      <c r="AO18">
        <f t="shared" ref="AO18:AO30" si="25">ROUND(AC18,0)</f>
        <v>15</v>
      </c>
      <c r="AP18">
        <f t="shared" ref="AP18:AQ30" si="26">ROUND(AD18,0)</f>
        <v>592</v>
      </c>
      <c r="AQ18">
        <f t="shared" si="26"/>
        <v>104</v>
      </c>
    </row>
    <row r="19" spans="2:43" x14ac:dyDescent="0.3">
      <c r="B19" t="s">
        <v>22</v>
      </c>
      <c r="C19" t="s">
        <v>22</v>
      </c>
      <c r="D19">
        <v>180200</v>
      </c>
      <c r="E19" t="s">
        <v>55</v>
      </c>
      <c r="F19">
        <v>1</v>
      </c>
      <c r="I19">
        <v>0.68</v>
      </c>
      <c r="J19">
        <v>95.26</v>
      </c>
      <c r="K19">
        <v>5.0000000000000001E-3</v>
      </c>
      <c r="M19">
        <v>2.8</v>
      </c>
      <c r="N19">
        <v>0.05</v>
      </c>
      <c r="O19">
        <v>0.75</v>
      </c>
      <c r="P19">
        <v>0.45</v>
      </c>
      <c r="Q19">
        <v>5.0000000000000001E-3</v>
      </c>
      <c r="U19">
        <f>I19/100*$D$19</f>
        <v>1225.3600000000001</v>
      </c>
      <c r="V19">
        <f t="shared" ref="V19:AE19" si="27">J19/100*$D$19</f>
        <v>171658.52</v>
      </c>
      <c r="W19">
        <f t="shared" si="27"/>
        <v>9.01</v>
      </c>
      <c r="X19">
        <f t="shared" si="27"/>
        <v>0</v>
      </c>
      <c r="Y19">
        <f t="shared" si="27"/>
        <v>5045.5999999999995</v>
      </c>
      <c r="Z19">
        <f t="shared" si="27"/>
        <v>90.100000000000009</v>
      </c>
      <c r="AA19">
        <f t="shared" si="27"/>
        <v>1351.5</v>
      </c>
      <c r="AB19">
        <f t="shared" si="27"/>
        <v>810.90000000000009</v>
      </c>
      <c r="AC19">
        <f t="shared" si="27"/>
        <v>9.01</v>
      </c>
      <c r="AD19">
        <f t="shared" si="27"/>
        <v>0</v>
      </c>
      <c r="AE19">
        <f t="shared" si="27"/>
        <v>0</v>
      </c>
      <c r="AG19">
        <v>1224</v>
      </c>
      <c r="AH19">
        <f t="shared" si="18"/>
        <v>171659</v>
      </c>
      <c r="AI19">
        <f t="shared" si="19"/>
        <v>9</v>
      </c>
      <c r="AJ19">
        <f t="shared" si="20"/>
        <v>0</v>
      </c>
      <c r="AK19">
        <f t="shared" si="21"/>
        <v>5046</v>
      </c>
      <c r="AL19">
        <f t="shared" si="22"/>
        <v>90</v>
      </c>
      <c r="AM19">
        <f t="shared" si="23"/>
        <v>1352</v>
      </c>
      <c r="AN19">
        <f t="shared" si="24"/>
        <v>811</v>
      </c>
      <c r="AO19">
        <f t="shared" si="25"/>
        <v>9</v>
      </c>
      <c r="AP19">
        <f t="shared" si="26"/>
        <v>0</v>
      </c>
      <c r="AQ19">
        <f t="shared" si="26"/>
        <v>0</v>
      </c>
    </row>
    <row r="20" spans="2:43" x14ac:dyDescent="0.3">
      <c r="B20" t="s">
        <v>29</v>
      </c>
      <c r="C20" t="s">
        <v>23</v>
      </c>
      <c r="D20">
        <v>58900</v>
      </c>
      <c r="E20" s="34" t="s">
        <v>78</v>
      </c>
      <c r="F20">
        <v>1</v>
      </c>
      <c r="G20">
        <v>4</v>
      </c>
      <c r="I20">
        <v>8.91</v>
      </c>
      <c r="J20">
        <v>0.93</v>
      </c>
      <c r="L20">
        <v>0.24</v>
      </c>
      <c r="M20">
        <v>67.849999999999994</v>
      </c>
      <c r="N20">
        <v>20.59</v>
      </c>
      <c r="O20">
        <v>0.74</v>
      </c>
      <c r="P20">
        <v>0.15</v>
      </c>
      <c r="Q20">
        <v>0.09</v>
      </c>
      <c r="R20">
        <v>0.03</v>
      </c>
      <c r="S20">
        <v>0.47</v>
      </c>
      <c r="U20">
        <f>I20/100*$D$20</f>
        <v>5247.99</v>
      </c>
      <c r="V20">
        <f t="shared" ref="V20:AE20" si="28">J20/100*$D$20</f>
        <v>547.7700000000001</v>
      </c>
      <c r="W20">
        <f t="shared" si="28"/>
        <v>0</v>
      </c>
      <c r="X20">
        <f t="shared" si="28"/>
        <v>141.35999999999999</v>
      </c>
      <c r="Y20">
        <f t="shared" si="28"/>
        <v>39963.65</v>
      </c>
      <c r="Z20">
        <f t="shared" si="28"/>
        <v>12127.51</v>
      </c>
      <c r="AA20">
        <f t="shared" si="28"/>
        <v>435.86</v>
      </c>
      <c r="AB20">
        <f t="shared" si="28"/>
        <v>88.350000000000009</v>
      </c>
      <c r="AC20">
        <f t="shared" si="28"/>
        <v>53.01</v>
      </c>
      <c r="AD20">
        <f t="shared" si="28"/>
        <v>17.669999999999998</v>
      </c>
      <c r="AE20">
        <f t="shared" si="28"/>
        <v>276.83</v>
      </c>
      <c r="AG20">
        <v>5247</v>
      </c>
      <c r="AH20">
        <f t="shared" si="18"/>
        <v>548</v>
      </c>
      <c r="AI20">
        <f t="shared" si="19"/>
        <v>0</v>
      </c>
      <c r="AJ20">
        <f t="shared" si="20"/>
        <v>141</v>
      </c>
      <c r="AK20">
        <f t="shared" si="21"/>
        <v>39964</v>
      </c>
      <c r="AL20">
        <f t="shared" si="22"/>
        <v>12128</v>
      </c>
      <c r="AM20">
        <f t="shared" si="23"/>
        <v>436</v>
      </c>
      <c r="AN20">
        <f t="shared" si="24"/>
        <v>88</v>
      </c>
      <c r="AO20">
        <f t="shared" si="25"/>
        <v>53</v>
      </c>
      <c r="AP20">
        <f t="shared" si="26"/>
        <v>18</v>
      </c>
      <c r="AQ20">
        <f t="shared" si="26"/>
        <v>277</v>
      </c>
    </row>
    <row r="21" spans="2:43" x14ac:dyDescent="0.3">
      <c r="B21" t="s">
        <v>29</v>
      </c>
      <c r="C21" t="s">
        <v>24</v>
      </c>
      <c r="D21">
        <v>22100</v>
      </c>
      <c r="E21" s="34" t="s">
        <v>78</v>
      </c>
      <c r="F21">
        <v>1</v>
      </c>
      <c r="G21">
        <v>4</v>
      </c>
      <c r="I21">
        <v>8.91</v>
      </c>
      <c r="J21">
        <v>0.93</v>
      </c>
      <c r="L21">
        <v>0.24</v>
      </c>
      <c r="M21">
        <v>67.849999999999994</v>
      </c>
      <c r="N21">
        <v>20.59</v>
      </c>
      <c r="O21">
        <v>0.74</v>
      </c>
      <c r="P21">
        <v>0.15</v>
      </c>
      <c r="Q21">
        <v>0.09</v>
      </c>
      <c r="R21">
        <v>0.03</v>
      </c>
      <c r="S21">
        <v>0.47</v>
      </c>
      <c r="U21">
        <f>I21/100*$D$21</f>
        <v>1969.11</v>
      </c>
      <c r="V21">
        <f t="shared" ref="V21:AE21" si="29">J21/100*$D$21</f>
        <v>205.53000000000003</v>
      </c>
      <c r="W21">
        <f t="shared" si="29"/>
        <v>0</v>
      </c>
      <c r="X21">
        <f t="shared" si="29"/>
        <v>53.039999999999992</v>
      </c>
      <c r="Y21">
        <f t="shared" si="29"/>
        <v>14994.85</v>
      </c>
      <c r="Z21">
        <f t="shared" si="29"/>
        <v>4550.3900000000003</v>
      </c>
      <c r="AA21">
        <f t="shared" si="29"/>
        <v>163.54000000000002</v>
      </c>
      <c r="AB21">
        <f t="shared" si="29"/>
        <v>33.15</v>
      </c>
      <c r="AC21">
        <f t="shared" si="29"/>
        <v>19.89</v>
      </c>
      <c r="AD21">
        <f t="shared" si="29"/>
        <v>6.629999999999999</v>
      </c>
      <c r="AE21">
        <f t="shared" si="29"/>
        <v>103.86999999999999</v>
      </c>
      <c r="AG21">
        <v>1968</v>
      </c>
      <c r="AH21">
        <f t="shared" si="18"/>
        <v>206</v>
      </c>
      <c r="AI21">
        <f t="shared" si="19"/>
        <v>0</v>
      </c>
      <c r="AJ21">
        <f t="shared" si="20"/>
        <v>53</v>
      </c>
      <c r="AK21">
        <f t="shared" si="21"/>
        <v>14995</v>
      </c>
      <c r="AL21">
        <f t="shared" si="22"/>
        <v>4550</v>
      </c>
      <c r="AM21">
        <f t="shared" si="23"/>
        <v>164</v>
      </c>
      <c r="AN21">
        <f t="shared" si="24"/>
        <v>33</v>
      </c>
      <c r="AO21">
        <f t="shared" si="25"/>
        <v>20</v>
      </c>
      <c r="AP21">
        <f t="shared" si="26"/>
        <v>7</v>
      </c>
      <c r="AQ21">
        <f t="shared" si="26"/>
        <v>104</v>
      </c>
    </row>
    <row r="22" spans="2:43" x14ac:dyDescent="0.3">
      <c r="B22" t="s">
        <v>29</v>
      </c>
      <c r="C22" t="s">
        <v>25</v>
      </c>
      <c r="D22">
        <v>84600</v>
      </c>
      <c r="E22" s="34" t="s">
        <v>78</v>
      </c>
      <c r="F22">
        <v>1</v>
      </c>
      <c r="G22">
        <v>4</v>
      </c>
      <c r="I22">
        <v>8.91</v>
      </c>
      <c r="J22">
        <v>0.93</v>
      </c>
      <c r="L22">
        <v>0.24</v>
      </c>
      <c r="M22">
        <v>67.849999999999994</v>
      </c>
      <c r="N22">
        <v>20.59</v>
      </c>
      <c r="O22">
        <v>0.74</v>
      </c>
      <c r="P22">
        <v>0.15</v>
      </c>
      <c r="Q22">
        <v>0.09</v>
      </c>
      <c r="R22">
        <v>0.03</v>
      </c>
      <c r="S22">
        <v>0.47</v>
      </c>
      <c r="U22">
        <f>I22/100*$D$22</f>
        <v>7537.86</v>
      </c>
      <c r="V22">
        <f t="shared" ref="V22:AE22" si="30">J22/100*$D$22</f>
        <v>786.78000000000009</v>
      </c>
      <c r="W22">
        <f t="shared" si="30"/>
        <v>0</v>
      </c>
      <c r="X22">
        <f t="shared" si="30"/>
        <v>203.04</v>
      </c>
      <c r="Y22">
        <f t="shared" si="30"/>
        <v>57401.1</v>
      </c>
      <c r="Z22">
        <f t="shared" si="30"/>
        <v>17419.14</v>
      </c>
      <c r="AA22">
        <f t="shared" si="30"/>
        <v>626.04000000000008</v>
      </c>
      <c r="AB22">
        <f t="shared" si="30"/>
        <v>126.9</v>
      </c>
      <c r="AC22">
        <f t="shared" si="30"/>
        <v>76.14</v>
      </c>
      <c r="AD22">
        <f t="shared" si="30"/>
        <v>25.38</v>
      </c>
      <c r="AE22">
        <f t="shared" si="30"/>
        <v>397.61999999999995</v>
      </c>
      <c r="AG22">
        <v>7538</v>
      </c>
      <c r="AH22">
        <f t="shared" si="18"/>
        <v>787</v>
      </c>
      <c r="AI22">
        <f t="shared" si="19"/>
        <v>0</v>
      </c>
      <c r="AJ22">
        <f t="shared" si="20"/>
        <v>203</v>
      </c>
      <c r="AK22">
        <f t="shared" si="21"/>
        <v>57401</v>
      </c>
      <c r="AL22">
        <f t="shared" si="22"/>
        <v>17419</v>
      </c>
      <c r="AM22">
        <f t="shared" si="23"/>
        <v>626</v>
      </c>
      <c r="AN22">
        <f t="shared" si="24"/>
        <v>127</v>
      </c>
      <c r="AO22">
        <f t="shared" si="25"/>
        <v>76</v>
      </c>
      <c r="AP22">
        <f t="shared" si="26"/>
        <v>25</v>
      </c>
      <c r="AQ22">
        <f t="shared" si="26"/>
        <v>398</v>
      </c>
    </row>
    <row r="23" spans="2:43" x14ac:dyDescent="0.3">
      <c r="B23" t="s">
        <v>29</v>
      </c>
      <c r="C23" t="s">
        <v>59</v>
      </c>
      <c r="D23">
        <v>85300</v>
      </c>
      <c r="E23" t="s">
        <v>57</v>
      </c>
      <c r="F23">
        <v>1</v>
      </c>
      <c r="I23">
        <v>80.760000000000005</v>
      </c>
      <c r="J23">
        <v>0.06</v>
      </c>
      <c r="M23">
        <v>10.18</v>
      </c>
      <c r="N23">
        <v>8.0299999999999994</v>
      </c>
      <c r="P23">
        <v>0.97</v>
      </c>
      <c r="U23">
        <f>I23/100*$D$23</f>
        <v>68888.280000000013</v>
      </c>
      <c r="V23">
        <f t="shared" ref="V23:AE23" si="31">J23/100*$D$23</f>
        <v>51.179999999999993</v>
      </c>
      <c r="W23">
        <f t="shared" si="31"/>
        <v>0</v>
      </c>
      <c r="X23">
        <f t="shared" si="31"/>
        <v>0</v>
      </c>
      <c r="Y23">
        <f t="shared" si="31"/>
        <v>8683.5400000000009</v>
      </c>
      <c r="Z23">
        <f t="shared" si="31"/>
        <v>6849.59</v>
      </c>
      <c r="AA23">
        <f t="shared" si="31"/>
        <v>0</v>
      </c>
      <c r="AB23">
        <f t="shared" si="31"/>
        <v>827.41</v>
      </c>
      <c r="AC23">
        <f t="shared" si="31"/>
        <v>0</v>
      </c>
      <c r="AD23">
        <f t="shared" si="31"/>
        <v>0</v>
      </c>
      <c r="AE23">
        <f t="shared" si="31"/>
        <v>0</v>
      </c>
      <c r="AG23">
        <v>68888</v>
      </c>
      <c r="AH23">
        <f t="shared" si="18"/>
        <v>51</v>
      </c>
      <c r="AI23">
        <f t="shared" si="19"/>
        <v>0</v>
      </c>
      <c r="AJ23">
        <f t="shared" si="20"/>
        <v>0</v>
      </c>
      <c r="AK23">
        <f t="shared" si="21"/>
        <v>8684</v>
      </c>
      <c r="AL23">
        <f t="shared" si="22"/>
        <v>6850</v>
      </c>
      <c r="AM23">
        <f t="shared" si="23"/>
        <v>0</v>
      </c>
      <c r="AN23">
        <f t="shared" si="24"/>
        <v>827</v>
      </c>
      <c r="AO23">
        <f t="shared" si="25"/>
        <v>0</v>
      </c>
      <c r="AP23">
        <f t="shared" si="26"/>
        <v>0</v>
      </c>
      <c r="AQ23">
        <f t="shared" si="26"/>
        <v>0</v>
      </c>
    </row>
    <row r="24" spans="2:43" x14ac:dyDescent="0.3">
      <c r="B24" t="s">
        <v>29</v>
      </c>
      <c r="C24" t="s">
        <v>60</v>
      </c>
      <c r="D24" s="34">
        <v>55500</v>
      </c>
      <c r="E24" t="s">
        <v>57</v>
      </c>
      <c r="F24">
        <v>1</v>
      </c>
      <c r="I24">
        <v>90.29</v>
      </c>
      <c r="J24">
        <v>0.01</v>
      </c>
      <c r="M24">
        <v>0.75</v>
      </c>
      <c r="N24">
        <v>7.47</v>
      </c>
      <c r="P24">
        <v>1.48</v>
      </c>
      <c r="U24">
        <f>I24/100*$D$24</f>
        <v>50110.950000000004</v>
      </c>
      <c r="V24">
        <f t="shared" ref="V24:AE24" si="32">J24/100*$D$24</f>
        <v>5.55</v>
      </c>
      <c r="W24">
        <f t="shared" si="32"/>
        <v>0</v>
      </c>
      <c r="X24">
        <f t="shared" si="32"/>
        <v>0</v>
      </c>
      <c r="Y24">
        <f t="shared" si="32"/>
        <v>416.25</v>
      </c>
      <c r="Z24">
        <f t="shared" si="32"/>
        <v>4145.8500000000004</v>
      </c>
      <c r="AA24">
        <f t="shared" si="32"/>
        <v>0</v>
      </c>
      <c r="AB24">
        <f t="shared" si="32"/>
        <v>821.40000000000009</v>
      </c>
      <c r="AC24">
        <f t="shared" si="32"/>
        <v>0</v>
      </c>
      <c r="AD24">
        <f t="shared" si="32"/>
        <v>0</v>
      </c>
      <c r="AE24">
        <f t="shared" si="32"/>
        <v>0</v>
      </c>
      <c r="AG24">
        <v>50111</v>
      </c>
      <c r="AH24">
        <f t="shared" si="18"/>
        <v>6</v>
      </c>
      <c r="AI24">
        <f t="shared" si="19"/>
        <v>0</v>
      </c>
      <c r="AJ24">
        <f t="shared" si="20"/>
        <v>0</v>
      </c>
      <c r="AK24">
        <f t="shared" si="21"/>
        <v>416</v>
      </c>
      <c r="AL24">
        <f t="shared" si="22"/>
        <v>4146</v>
      </c>
      <c r="AM24">
        <f t="shared" si="23"/>
        <v>0</v>
      </c>
      <c r="AN24">
        <f t="shared" si="24"/>
        <v>821</v>
      </c>
      <c r="AO24">
        <f t="shared" si="25"/>
        <v>0</v>
      </c>
      <c r="AP24">
        <f t="shared" si="26"/>
        <v>0</v>
      </c>
      <c r="AQ24">
        <f t="shared" si="26"/>
        <v>0</v>
      </c>
    </row>
    <row r="25" spans="2:43" x14ac:dyDescent="0.3">
      <c r="B25" t="s">
        <v>29</v>
      </c>
      <c r="C25" t="s">
        <v>27</v>
      </c>
      <c r="D25">
        <v>243800</v>
      </c>
      <c r="E25" t="s">
        <v>57</v>
      </c>
      <c r="F25">
        <v>1</v>
      </c>
      <c r="I25">
        <v>82.23</v>
      </c>
      <c r="J25">
        <v>0.39</v>
      </c>
      <c r="L25">
        <v>8.57</v>
      </c>
      <c r="M25">
        <v>1.85</v>
      </c>
      <c r="N25">
        <v>5.35</v>
      </c>
      <c r="O25">
        <v>0.48</v>
      </c>
      <c r="P25">
        <v>0.28000000000000003</v>
      </c>
      <c r="Q25">
        <v>0.16</v>
      </c>
      <c r="R25">
        <v>0.24</v>
      </c>
      <c r="S25">
        <v>0.45</v>
      </c>
      <c r="U25">
        <f>I25/100*$D$25</f>
        <v>200476.74000000002</v>
      </c>
      <c r="V25">
        <f t="shared" ref="V25:AE25" si="33">J25/100*$D$25</f>
        <v>950.82</v>
      </c>
      <c r="W25">
        <f t="shared" si="33"/>
        <v>0</v>
      </c>
      <c r="X25">
        <f t="shared" si="33"/>
        <v>20893.66</v>
      </c>
      <c r="Y25">
        <f t="shared" si="33"/>
        <v>4510.3</v>
      </c>
      <c r="Z25">
        <f t="shared" si="33"/>
        <v>13043.3</v>
      </c>
      <c r="AA25">
        <f t="shared" si="33"/>
        <v>1170.24</v>
      </c>
      <c r="AB25">
        <f t="shared" si="33"/>
        <v>682.6400000000001</v>
      </c>
      <c r="AC25">
        <f t="shared" si="33"/>
        <v>390.08000000000004</v>
      </c>
      <c r="AD25">
        <f t="shared" si="33"/>
        <v>585.12</v>
      </c>
      <c r="AE25">
        <f t="shared" si="33"/>
        <v>1097.1000000000001</v>
      </c>
      <c r="AG25">
        <v>200477</v>
      </c>
      <c r="AH25">
        <f t="shared" si="18"/>
        <v>951</v>
      </c>
      <c r="AI25">
        <f t="shared" si="19"/>
        <v>0</v>
      </c>
      <c r="AJ25">
        <f t="shared" si="20"/>
        <v>20894</v>
      </c>
      <c r="AK25">
        <f t="shared" si="21"/>
        <v>4510</v>
      </c>
      <c r="AL25">
        <f t="shared" si="22"/>
        <v>13043</v>
      </c>
      <c r="AM25">
        <f t="shared" si="23"/>
        <v>1170</v>
      </c>
      <c r="AN25">
        <f t="shared" si="24"/>
        <v>683</v>
      </c>
      <c r="AO25">
        <f t="shared" si="25"/>
        <v>390</v>
      </c>
      <c r="AP25">
        <f t="shared" si="26"/>
        <v>585</v>
      </c>
      <c r="AQ25">
        <f t="shared" si="26"/>
        <v>1097</v>
      </c>
    </row>
    <row r="26" spans="2:43" x14ac:dyDescent="0.3">
      <c r="B26" t="s">
        <v>29</v>
      </c>
      <c r="C26" t="s">
        <v>28</v>
      </c>
      <c r="D26">
        <v>87700</v>
      </c>
      <c r="E26" t="s">
        <v>77</v>
      </c>
      <c r="F26">
        <v>1</v>
      </c>
      <c r="I26">
        <v>8.91</v>
      </c>
      <c r="J26">
        <v>0.93</v>
      </c>
      <c r="L26">
        <v>0.24</v>
      </c>
      <c r="M26">
        <v>67.849999999999994</v>
      </c>
      <c r="N26">
        <v>20.59</v>
      </c>
      <c r="O26">
        <v>0.74</v>
      </c>
      <c r="P26">
        <v>0.15</v>
      </c>
      <c r="Q26">
        <v>0.09</v>
      </c>
      <c r="R26">
        <v>0.03</v>
      </c>
      <c r="S26">
        <v>0.47</v>
      </c>
      <c r="U26">
        <f>I26/100*$D$26</f>
        <v>7814.07</v>
      </c>
      <c r="V26">
        <f t="shared" ref="V26:AE26" si="34">J26/100*$D$26</f>
        <v>815.61000000000013</v>
      </c>
      <c r="W26">
        <f t="shared" si="34"/>
        <v>0</v>
      </c>
      <c r="X26">
        <f t="shared" si="34"/>
        <v>210.48</v>
      </c>
      <c r="Y26">
        <f t="shared" si="34"/>
        <v>59504.45</v>
      </c>
      <c r="Z26">
        <f t="shared" si="34"/>
        <v>18057.43</v>
      </c>
      <c r="AA26">
        <f t="shared" si="34"/>
        <v>648.98</v>
      </c>
      <c r="AB26">
        <f t="shared" si="34"/>
        <v>131.55000000000001</v>
      </c>
      <c r="AC26">
        <f t="shared" si="34"/>
        <v>78.929999999999993</v>
      </c>
      <c r="AD26">
        <f t="shared" si="34"/>
        <v>26.31</v>
      </c>
      <c r="AE26">
        <f t="shared" si="34"/>
        <v>412.18999999999994</v>
      </c>
      <c r="AG26">
        <v>7815</v>
      </c>
      <c r="AH26">
        <f t="shared" si="18"/>
        <v>816</v>
      </c>
      <c r="AI26">
        <f t="shared" si="19"/>
        <v>0</v>
      </c>
      <c r="AJ26">
        <f t="shared" si="20"/>
        <v>210</v>
      </c>
      <c r="AK26">
        <f t="shared" si="21"/>
        <v>59504</v>
      </c>
      <c r="AL26">
        <f t="shared" si="22"/>
        <v>18057</v>
      </c>
      <c r="AM26">
        <f t="shared" si="23"/>
        <v>649</v>
      </c>
      <c r="AN26">
        <f t="shared" si="24"/>
        <v>132</v>
      </c>
      <c r="AO26">
        <f t="shared" si="25"/>
        <v>79</v>
      </c>
      <c r="AP26">
        <f t="shared" si="26"/>
        <v>26</v>
      </c>
      <c r="AQ26">
        <f t="shared" si="26"/>
        <v>412</v>
      </c>
    </row>
    <row r="27" spans="2:43" x14ac:dyDescent="0.3">
      <c r="B27" t="s">
        <v>33</v>
      </c>
      <c r="C27" t="s">
        <v>30</v>
      </c>
      <c r="D27">
        <v>72200</v>
      </c>
      <c r="E27" t="s">
        <v>73</v>
      </c>
      <c r="F27">
        <v>1</v>
      </c>
      <c r="I27">
        <v>84.12</v>
      </c>
      <c r="J27">
        <v>9.15</v>
      </c>
      <c r="K27">
        <v>0.05</v>
      </c>
      <c r="M27">
        <v>2</v>
      </c>
      <c r="N27">
        <v>0.3</v>
      </c>
      <c r="O27">
        <v>2.76</v>
      </c>
      <c r="P27">
        <v>1.08</v>
      </c>
      <c r="Q27">
        <v>0.04</v>
      </c>
      <c r="R27">
        <v>0.2</v>
      </c>
      <c r="S27">
        <v>0.3</v>
      </c>
      <c r="U27">
        <f>I27/100*$D$27</f>
        <v>60734.640000000007</v>
      </c>
      <c r="V27">
        <f t="shared" ref="V27:AE27" si="35">J27/100*$D$27</f>
        <v>6606.3</v>
      </c>
      <c r="W27">
        <f t="shared" si="35"/>
        <v>36.1</v>
      </c>
      <c r="X27">
        <f t="shared" si="35"/>
        <v>0</v>
      </c>
      <c r="Y27">
        <f t="shared" si="35"/>
        <v>1444</v>
      </c>
      <c r="Z27">
        <f t="shared" si="35"/>
        <v>216.6</v>
      </c>
      <c r="AA27">
        <f t="shared" si="35"/>
        <v>1992.72</v>
      </c>
      <c r="AB27">
        <f t="shared" si="35"/>
        <v>779.76</v>
      </c>
      <c r="AC27">
        <f t="shared" si="35"/>
        <v>28.880000000000003</v>
      </c>
      <c r="AD27">
        <f t="shared" si="35"/>
        <v>144.4</v>
      </c>
      <c r="AE27">
        <f t="shared" si="35"/>
        <v>216.6</v>
      </c>
      <c r="AG27">
        <v>60734</v>
      </c>
      <c r="AH27">
        <f t="shared" si="18"/>
        <v>6606</v>
      </c>
      <c r="AI27">
        <f t="shared" si="19"/>
        <v>36</v>
      </c>
      <c r="AJ27">
        <f t="shared" si="20"/>
        <v>0</v>
      </c>
      <c r="AK27">
        <f t="shared" si="21"/>
        <v>1444</v>
      </c>
      <c r="AL27">
        <f t="shared" si="22"/>
        <v>217</v>
      </c>
      <c r="AM27">
        <f t="shared" si="23"/>
        <v>1993</v>
      </c>
      <c r="AN27">
        <f t="shared" si="24"/>
        <v>780</v>
      </c>
      <c r="AO27">
        <f t="shared" si="25"/>
        <v>29</v>
      </c>
      <c r="AP27">
        <f t="shared" si="26"/>
        <v>144</v>
      </c>
      <c r="AQ27">
        <f t="shared" si="26"/>
        <v>217</v>
      </c>
    </row>
    <row r="28" spans="2:43" x14ac:dyDescent="0.3">
      <c r="B28" t="s">
        <v>33</v>
      </c>
      <c r="C28" t="s">
        <v>76</v>
      </c>
      <c r="D28" s="34">
        <v>224400</v>
      </c>
      <c r="E28" t="s">
        <v>75</v>
      </c>
      <c r="F28">
        <v>1</v>
      </c>
      <c r="I28">
        <v>3.02</v>
      </c>
      <c r="J28">
        <v>74.02</v>
      </c>
      <c r="K28">
        <v>0.05</v>
      </c>
      <c r="M28">
        <v>9.7200000000000006</v>
      </c>
      <c r="N28">
        <v>0.24</v>
      </c>
      <c r="O28">
        <v>11.82</v>
      </c>
      <c r="P28">
        <v>0.59</v>
      </c>
      <c r="Q28">
        <v>0.03</v>
      </c>
      <c r="R28">
        <v>0.5</v>
      </c>
      <c r="S28">
        <v>0.01</v>
      </c>
      <c r="U28">
        <f>I28/100*$D$28</f>
        <v>6776.88</v>
      </c>
      <c r="V28">
        <f t="shared" ref="V28:AE28" si="36">J28/100*$D$28</f>
        <v>166100.88</v>
      </c>
      <c r="W28">
        <f t="shared" si="36"/>
        <v>112.2</v>
      </c>
      <c r="X28">
        <f t="shared" si="36"/>
        <v>0</v>
      </c>
      <c r="Y28">
        <f t="shared" si="36"/>
        <v>21811.68</v>
      </c>
      <c r="Z28">
        <f t="shared" si="36"/>
        <v>538.55999999999995</v>
      </c>
      <c r="AA28">
        <f t="shared" si="36"/>
        <v>26524.079999999998</v>
      </c>
      <c r="AB28">
        <f t="shared" si="36"/>
        <v>1323.96</v>
      </c>
      <c r="AC28">
        <f t="shared" si="36"/>
        <v>67.319999999999993</v>
      </c>
      <c r="AD28">
        <f t="shared" si="36"/>
        <v>1122</v>
      </c>
      <c r="AE28">
        <f t="shared" si="36"/>
        <v>22.44</v>
      </c>
      <c r="AG28">
        <v>6777</v>
      </c>
      <c r="AH28">
        <f t="shared" si="18"/>
        <v>166101</v>
      </c>
      <c r="AI28">
        <f t="shared" si="19"/>
        <v>112</v>
      </c>
      <c r="AJ28">
        <f t="shared" si="20"/>
        <v>0</v>
      </c>
      <c r="AK28">
        <f t="shared" si="21"/>
        <v>21812</v>
      </c>
      <c r="AL28">
        <f t="shared" si="22"/>
        <v>539</v>
      </c>
      <c r="AM28">
        <f t="shared" si="23"/>
        <v>26524</v>
      </c>
      <c r="AN28">
        <f t="shared" si="24"/>
        <v>1324</v>
      </c>
      <c r="AO28">
        <f t="shared" si="25"/>
        <v>67</v>
      </c>
      <c r="AP28">
        <f t="shared" si="26"/>
        <v>1122</v>
      </c>
      <c r="AQ28">
        <f t="shared" si="26"/>
        <v>22</v>
      </c>
    </row>
    <row r="29" spans="2:43" x14ac:dyDescent="0.3">
      <c r="B29" t="s">
        <v>33</v>
      </c>
      <c r="C29" t="s">
        <v>31</v>
      </c>
      <c r="D29">
        <v>32100</v>
      </c>
      <c r="E29" t="s">
        <v>73</v>
      </c>
      <c r="F29">
        <v>1</v>
      </c>
      <c r="I29">
        <v>1.8</v>
      </c>
      <c r="J29">
        <v>21.3</v>
      </c>
      <c r="K29">
        <v>0.94</v>
      </c>
      <c r="M29">
        <v>59.95</v>
      </c>
      <c r="N29">
        <v>0.16</v>
      </c>
      <c r="O29">
        <v>14.67</v>
      </c>
      <c r="P29">
        <v>1.1100000000000001</v>
      </c>
      <c r="Q29">
        <v>0.03</v>
      </c>
      <c r="R29">
        <v>0.02</v>
      </c>
      <c r="S29">
        <v>0.02</v>
      </c>
      <c r="U29">
        <f>I29/100*$D$29</f>
        <v>577.80000000000007</v>
      </c>
      <c r="V29">
        <f t="shared" ref="V29:AE29" si="37">J29/100*$D$29</f>
        <v>6837.3</v>
      </c>
      <c r="W29">
        <f t="shared" si="37"/>
        <v>301.73999999999995</v>
      </c>
      <c r="X29">
        <f t="shared" si="37"/>
        <v>0</v>
      </c>
      <c r="Y29">
        <f t="shared" si="37"/>
        <v>19243.95</v>
      </c>
      <c r="Z29">
        <f t="shared" si="37"/>
        <v>51.36</v>
      </c>
      <c r="AA29">
        <f t="shared" si="37"/>
        <v>4709.07</v>
      </c>
      <c r="AB29">
        <f t="shared" si="37"/>
        <v>356.31</v>
      </c>
      <c r="AC29">
        <f t="shared" si="37"/>
        <v>9.629999999999999</v>
      </c>
      <c r="AD29">
        <f t="shared" si="37"/>
        <v>6.42</v>
      </c>
      <c r="AE29">
        <f t="shared" si="37"/>
        <v>6.42</v>
      </c>
      <c r="AG29">
        <v>579</v>
      </c>
      <c r="AH29">
        <f t="shared" si="18"/>
        <v>6837</v>
      </c>
      <c r="AI29">
        <f t="shared" si="19"/>
        <v>302</v>
      </c>
      <c r="AJ29">
        <f t="shared" si="20"/>
        <v>0</v>
      </c>
      <c r="AK29">
        <f t="shared" si="21"/>
        <v>19244</v>
      </c>
      <c r="AL29">
        <f t="shared" si="22"/>
        <v>51</v>
      </c>
      <c r="AM29">
        <f t="shared" si="23"/>
        <v>4709</v>
      </c>
      <c r="AN29">
        <f t="shared" si="24"/>
        <v>356</v>
      </c>
      <c r="AO29">
        <f t="shared" si="25"/>
        <v>10</v>
      </c>
      <c r="AP29">
        <f t="shared" si="26"/>
        <v>6</v>
      </c>
      <c r="AQ29">
        <f t="shared" si="26"/>
        <v>6</v>
      </c>
    </row>
    <row r="30" spans="2:43" x14ac:dyDescent="0.3">
      <c r="B30" t="s">
        <v>33</v>
      </c>
      <c r="C30" t="s">
        <v>32</v>
      </c>
      <c r="D30">
        <v>255700</v>
      </c>
      <c r="E30" t="s">
        <v>75</v>
      </c>
      <c r="F30">
        <v>1</v>
      </c>
      <c r="I30">
        <v>7.98</v>
      </c>
      <c r="J30">
        <v>85.89</v>
      </c>
      <c r="M30">
        <v>1.26</v>
      </c>
      <c r="N30">
        <v>0.31</v>
      </c>
      <c r="O30">
        <v>3.72</v>
      </c>
      <c r="P30">
        <v>0.35</v>
      </c>
      <c r="Q30">
        <v>0.06</v>
      </c>
      <c r="R30">
        <v>0.31</v>
      </c>
      <c r="S30">
        <v>0.12</v>
      </c>
      <c r="U30">
        <f>I30/100*$D$30</f>
        <v>20404.860000000004</v>
      </c>
      <c r="V30">
        <f t="shared" ref="V30:AE30" si="38">J30/100*$D$30</f>
        <v>219620.73</v>
      </c>
      <c r="W30">
        <f t="shared" si="38"/>
        <v>0</v>
      </c>
      <c r="X30">
        <f t="shared" si="38"/>
        <v>0</v>
      </c>
      <c r="Y30">
        <f t="shared" si="38"/>
        <v>3221.82</v>
      </c>
      <c r="Z30">
        <f t="shared" si="38"/>
        <v>792.67</v>
      </c>
      <c r="AA30">
        <f t="shared" si="38"/>
        <v>9512.0400000000009</v>
      </c>
      <c r="AB30">
        <f t="shared" si="38"/>
        <v>894.94999999999993</v>
      </c>
      <c r="AC30">
        <f t="shared" si="38"/>
        <v>153.41999999999999</v>
      </c>
      <c r="AD30">
        <f t="shared" si="38"/>
        <v>792.67</v>
      </c>
      <c r="AE30">
        <f t="shared" si="38"/>
        <v>306.83999999999997</v>
      </c>
      <c r="AG30">
        <v>20404</v>
      </c>
      <c r="AH30">
        <f t="shared" si="18"/>
        <v>219621</v>
      </c>
      <c r="AI30">
        <f t="shared" si="19"/>
        <v>0</v>
      </c>
      <c r="AJ30">
        <f t="shared" si="20"/>
        <v>0</v>
      </c>
      <c r="AK30">
        <f t="shared" si="21"/>
        <v>3222</v>
      </c>
      <c r="AL30">
        <f t="shared" si="22"/>
        <v>793</v>
      </c>
      <c r="AM30">
        <f t="shared" si="23"/>
        <v>9512</v>
      </c>
      <c r="AN30">
        <f t="shared" si="24"/>
        <v>895</v>
      </c>
      <c r="AO30">
        <f t="shared" si="25"/>
        <v>153</v>
      </c>
      <c r="AP30">
        <f t="shared" si="26"/>
        <v>793</v>
      </c>
      <c r="AQ30">
        <f t="shared" si="26"/>
        <v>307</v>
      </c>
    </row>
    <row r="32" spans="2:43" x14ac:dyDescent="0.3">
      <c r="AG32">
        <f>SUM(AG2:AG30)</f>
        <v>1095363</v>
      </c>
      <c r="AH32">
        <f t="shared" ref="AH32:AQ32" si="39">SUM(AH2:AH30)</f>
        <v>1198682</v>
      </c>
      <c r="AI32">
        <f t="shared" si="39"/>
        <v>389031</v>
      </c>
      <c r="AJ32">
        <f t="shared" si="39"/>
        <v>38758</v>
      </c>
      <c r="AK32">
        <f t="shared" si="39"/>
        <v>1271532</v>
      </c>
      <c r="AL32">
        <f t="shared" si="39"/>
        <v>354289</v>
      </c>
      <c r="AM32">
        <f t="shared" si="39"/>
        <v>232135</v>
      </c>
      <c r="AN32">
        <f t="shared" si="39"/>
        <v>136250</v>
      </c>
      <c r="AO32">
        <f t="shared" si="39"/>
        <v>34480</v>
      </c>
      <c r="AP32">
        <f t="shared" si="39"/>
        <v>24603</v>
      </c>
      <c r="AQ32">
        <f t="shared" si="39"/>
        <v>67277</v>
      </c>
    </row>
    <row r="34" spans="33:43" x14ac:dyDescent="0.3">
      <c r="AG34" cm="1">
        <f t="array" ref="AG34:AQ34">AG32:AQ32/SUM(AG32:AQ32)</f>
        <v>0.22620250289112837</v>
      </c>
      <c r="AH34">
        <v>0.24753882372377334</v>
      </c>
      <c r="AI34">
        <v>8.0338468528002638E-2</v>
      </c>
      <c r="AJ34">
        <v>8.0038823723773342E-3</v>
      </c>
      <c r="AK34">
        <v>0.26258301668594086</v>
      </c>
      <c r="AL34">
        <v>7.3163926978357843E-2</v>
      </c>
      <c r="AM34">
        <v>4.7938005947464064E-2</v>
      </c>
      <c r="AN34">
        <v>2.8136874277217908E-2</v>
      </c>
      <c r="AO34">
        <v>7.1204361473649431E-3</v>
      </c>
      <c r="AP34">
        <v>5.0807450850817778E-3</v>
      </c>
      <c r="AQ34">
        <v>1.3893317363290931E-2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E471A-3F41-4600-ACB0-2588F82C367B}">
  <dimension ref="A2:AC92"/>
  <sheetViews>
    <sheetView zoomScale="99" workbookViewId="0">
      <pane xSplit="3" ySplit="2" topLeftCell="I3" activePane="bottomRight" state="frozen"/>
      <selection pane="topRight" activeCell="D1" sqref="D1"/>
      <selection pane="bottomLeft" activeCell="A3" sqref="A3"/>
      <selection pane="bottomRight" activeCell="E66" sqref="E66:F92"/>
    </sheetView>
  </sheetViews>
  <sheetFormatPr defaultRowHeight="14.4" x14ac:dyDescent="0.3"/>
  <cols>
    <col min="7" max="7" width="9" customWidth="1"/>
  </cols>
  <sheetData>
    <row r="2" spans="1:28" x14ac:dyDescent="0.3">
      <c r="A2" s="1" t="s">
        <v>252</v>
      </c>
      <c r="B2" s="1" t="s">
        <v>1</v>
      </c>
      <c r="C2" s="1" t="s">
        <v>0</v>
      </c>
      <c r="D2" s="1" t="s">
        <v>35</v>
      </c>
      <c r="E2" s="1" t="s">
        <v>80</v>
      </c>
      <c r="F2" t="s">
        <v>37</v>
      </c>
      <c r="G2" t="s">
        <v>36</v>
      </c>
      <c r="H2" t="s">
        <v>38</v>
      </c>
      <c r="I2" t="s">
        <v>39</v>
      </c>
      <c r="J2" t="s">
        <v>41</v>
      </c>
      <c r="K2" t="s">
        <v>48</v>
      </c>
      <c r="L2" t="s">
        <v>47</v>
      </c>
      <c r="M2" t="s">
        <v>79</v>
      </c>
      <c r="N2" t="s">
        <v>52</v>
      </c>
      <c r="O2" t="s">
        <v>50</v>
      </c>
      <c r="P2" t="s">
        <v>42</v>
      </c>
      <c r="R2" s="1" t="s">
        <v>82</v>
      </c>
      <c r="S2" s="1" t="s">
        <v>83</v>
      </c>
      <c r="T2" s="1" t="s">
        <v>84</v>
      </c>
      <c r="U2" s="1" t="s">
        <v>85</v>
      </c>
      <c r="V2" s="1" t="s">
        <v>86</v>
      </c>
      <c r="W2" s="1" t="s">
        <v>87</v>
      </c>
      <c r="X2" s="1" t="s">
        <v>88</v>
      </c>
      <c r="Y2" s="1" t="s">
        <v>89</v>
      </c>
      <c r="Z2" s="1" t="s">
        <v>90</v>
      </c>
      <c r="AA2" s="1" t="s">
        <v>91</v>
      </c>
      <c r="AB2" s="1" t="s">
        <v>92</v>
      </c>
    </row>
    <row r="3" spans="1:28" x14ac:dyDescent="0.3">
      <c r="A3" s="18" t="s">
        <v>258</v>
      </c>
      <c r="B3" t="s">
        <v>10</v>
      </c>
      <c r="C3" t="s">
        <v>7</v>
      </c>
      <c r="D3">
        <v>33800</v>
      </c>
      <c r="E3">
        <v>2</v>
      </c>
      <c r="F3" s="6">
        <f t="shared" ref="F3:F12" si="0">R3/100*D3</f>
        <v>11999</v>
      </c>
      <c r="G3" s="6">
        <f t="shared" ref="G3:G12" si="1">S3/100*D3</f>
        <v>1690</v>
      </c>
      <c r="H3" s="6">
        <f t="shared" ref="H3:H12" si="2">T3/100*D3</f>
        <v>15210</v>
      </c>
      <c r="I3" s="6">
        <f t="shared" ref="I3:I12" si="3">U3/100*D3</f>
        <v>3.3800000000000003</v>
      </c>
      <c r="J3" s="6">
        <f t="shared" ref="J3:J12" si="4">V3/100*D3</f>
        <v>676</v>
      </c>
      <c r="K3" s="6">
        <f t="shared" ref="K3:K12" si="5">W3/100*D3</f>
        <v>3380</v>
      </c>
      <c r="L3" s="6">
        <f t="shared" ref="L3:L12" si="6">X3/100*D3</f>
        <v>676</v>
      </c>
      <c r="M3" s="6">
        <f t="shared" ref="M3:M12" si="7">Y3/100*D3</f>
        <v>3.3800000000000003</v>
      </c>
      <c r="N3" s="6">
        <f t="shared" ref="N3:N12" si="8">Z3/100*D3</f>
        <v>3.3800000000000003</v>
      </c>
      <c r="O3" s="6">
        <f t="shared" ref="O3:O12" si="9">AA3/100*D3</f>
        <v>101.4</v>
      </c>
      <c r="P3" s="6">
        <f t="shared" ref="P3:P12" si="10">AB3/100*D3</f>
        <v>67.599999999999994</v>
      </c>
      <c r="R3">
        <v>35.5</v>
      </c>
      <c r="S3">
        <v>5</v>
      </c>
      <c r="T3">
        <v>45</v>
      </c>
      <c r="U3">
        <v>0.01</v>
      </c>
      <c r="V3">
        <v>2</v>
      </c>
      <c r="W3">
        <v>10</v>
      </c>
      <c r="X3">
        <v>2</v>
      </c>
      <c r="Y3">
        <v>0.01</v>
      </c>
      <c r="Z3">
        <v>0.01</v>
      </c>
      <c r="AA3">
        <v>0.3</v>
      </c>
      <c r="AB3">
        <v>0.2</v>
      </c>
    </row>
    <row r="4" spans="1:28" x14ac:dyDescent="0.3">
      <c r="A4" s="18" t="s">
        <v>258</v>
      </c>
      <c r="B4" t="s">
        <v>10</v>
      </c>
      <c r="C4" t="s">
        <v>8</v>
      </c>
      <c r="D4">
        <v>86400</v>
      </c>
      <c r="E4">
        <v>2</v>
      </c>
      <c r="F4" s="6">
        <f t="shared" si="0"/>
        <v>39312</v>
      </c>
      <c r="G4" s="6">
        <f t="shared" si="1"/>
        <v>17280</v>
      </c>
      <c r="H4" s="6">
        <f t="shared" si="2"/>
        <v>1728</v>
      </c>
      <c r="I4" s="6">
        <f t="shared" si="3"/>
        <v>8.64</v>
      </c>
      <c r="J4" s="6">
        <f t="shared" si="4"/>
        <v>8640</v>
      </c>
      <c r="K4" s="6">
        <f t="shared" si="5"/>
        <v>6048.0000000000009</v>
      </c>
      <c r="L4" s="6">
        <f t="shared" si="6"/>
        <v>12960</v>
      </c>
      <c r="M4" s="6">
        <f t="shared" si="7"/>
        <v>8.64</v>
      </c>
      <c r="N4" s="6">
        <f t="shared" si="8"/>
        <v>8.64</v>
      </c>
      <c r="O4" s="6">
        <f t="shared" si="9"/>
        <v>259.2</v>
      </c>
      <c r="P4" s="6">
        <f t="shared" si="10"/>
        <v>172.8</v>
      </c>
      <c r="R4">
        <v>45.5</v>
      </c>
      <c r="S4">
        <v>20</v>
      </c>
      <c r="T4">
        <v>2</v>
      </c>
      <c r="U4">
        <v>0.01</v>
      </c>
      <c r="V4">
        <v>10</v>
      </c>
      <c r="W4">
        <v>7</v>
      </c>
      <c r="X4">
        <v>15</v>
      </c>
      <c r="Y4">
        <v>0.01</v>
      </c>
      <c r="Z4">
        <v>0.01</v>
      </c>
      <c r="AA4">
        <v>0.3</v>
      </c>
      <c r="AB4">
        <v>0.2</v>
      </c>
    </row>
    <row r="5" spans="1:28" x14ac:dyDescent="0.3">
      <c r="A5" s="18" t="s">
        <v>259</v>
      </c>
      <c r="B5" t="s">
        <v>5</v>
      </c>
      <c r="C5" t="s">
        <v>3</v>
      </c>
      <c r="D5">
        <v>214600</v>
      </c>
      <c r="E5">
        <v>3</v>
      </c>
      <c r="F5" s="6">
        <f t="shared" si="0"/>
        <v>30044.000000000004</v>
      </c>
      <c r="G5" s="6">
        <f t="shared" si="1"/>
        <v>128760</v>
      </c>
      <c r="H5" s="6">
        <f t="shared" si="2"/>
        <v>21.46</v>
      </c>
      <c r="I5" s="6">
        <f t="shared" si="3"/>
        <v>21.46</v>
      </c>
      <c r="J5" s="6">
        <f t="shared" si="4"/>
        <v>29829.4</v>
      </c>
      <c r="K5" s="6">
        <f t="shared" si="5"/>
        <v>4292</v>
      </c>
      <c r="L5" s="6">
        <f t="shared" si="6"/>
        <v>21460</v>
      </c>
      <c r="M5" s="6">
        <f t="shared" si="7"/>
        <v>21.46</v>
      </c>
      <c r="N5" s="6">
        <f t="shared" si="8"/>
        <v>21.46</v>
      </c>
      <c r="O5" s="6">
        <f t="shared" si="9"/>
        <v>21.46</v>
      </c>
      <c r="P5" s="6">
        <f t="shared" si="10"/>
        <v>214.6</v>
      </c>
      <c r="R5">
        <v>14</v>
      </c>
      <c r="S5">
        <v>60</v>
      </c>
      <c r="T5">
        <v>0.01</v>
      </c>
      <c r="U5">
        <v>0.01</v>
      </c>
      <c r="V5">
        <v>13.9</v>
      </c>
      <c r="W5">
        <v>2</v>
      </c>
      <c r="X5">
        <v>10</v>
      </c>
      <c r="Y5">
        <v>0.01</v>
      </c>
      <c r="Z5">
        <v>0.01</v>
      </c>
      <c r="AA5">
        <v>0.01</v>
      </c>
      <c r="AB5">
        <v>0.1</v>
      </c>
    </row>
    <row r="6" spans="1:28" x14ac:dyDescent="0.3">
      <c r="A6" s="18" t="s">
        <v>259</v>
      </c>
      <c r="B6" t="s">
        <v>5</v>
      </c>
      <c r="C6" t="s">
        <v>4</v>
      </c>
      <c r="D6">
        <v>30500</v>
      </c>
      <c r="E6">
        <v>3</v>
      </c>
      <c r="F6" s="6">
        <f t="shared" si="0"/>
        <v>884.49999999999989</v>
      </c>
      <c r="G6" s="6">
        <f t="shared" si="1"/>
        <v>28670</v>
      </c>
      <c r="H6" s="6">
        <f t="shared" si="2"/>
        <v>3.0500000000000003</v>
      </c>
      <c r="I6" s="6">
        <f t="shared" si="3"/>
        <v>3.0500000000000003</v>
      </c>
      <c r="J6" s="6">
        <f t="shared" si="4"/>
        <v>305</v>
      </c>
      <c r="K6" s="6">
        <f t="shared" si="5"/>
        <v>3.0500000000000003</v>
      </c>
      <c r="L6" s="6">
        <f t="shared" si="6"/>
        <v>610</v>
      </c>
      <c r="M6" s="6">
        <f t="shared" si="7"/>
        <v>3.0500000000000003</v>
      </c>
      <c r="N6" s="6">
        <f t="shared" si="8"/>
        <v>3.0500000000000003</v>
      </c>
      <c r="O6" s="6">
        <f t="shared" si="9"/>
        <v>3.0500000000000003</v>
      </c>
      <c r="P6" s="6">
        <f t="shared" si="10"/>
        <v>30.5</v>
      </c>
      <c r="R6">
        <v>2.9</v>
      </c>
      <c r="S6">
        <v>94</v>
      </c>
      <c r="T6">
        <v>0.01</v>
      </c>
      <c r="U6">
        <v>0.01</v>
      </c>
      <c r="V6">
        <v>1</v>
      </c>
      <c r="W6">
        <v>0.01</v>
      </c>
      <c r="X6">
        <v>2</v>
      </c>
      <c r="Y6">
        <v>0.01</v>
      </c>
      <c r="Z6">
        <v>0.01</v>
      </c>
      <c r="AA6">
        <v>0.01</v>
      </c>
      <c r="AB6">
        <v>0.1</v>
      </c>
    </row>
    <row r="7" spans="1:28" x14ac:dyDescent="0.3">
      <c r="A7" s="18" t="s">
        <v>261</v>
      </c>
      <c r="B7" t="s">
        <v>29</v>
      </c>
      <c r="C7" t="s">
        <v>23</v>
      </c>
      <c r="D7">
        <v>58900</v>
      </c>
      <c r="E7">
        <v>4</v>
      </c>
      <c r="F7" s="6">
        <f t="shared" si="0"/>
        <v>2356</v>
      </c>
      <c r="G7" s="6">
        <f t="shared" si="1"/>
        <v>530.1</v>
      </c>
      <c r="H7" s="6">
        <f t="shared" si="2"/>
        <v>5.8900000000000006</v>
      </c>
      <c r="I7" s="6">
        <f t="shared" si="3"/>
        <v>117.8</v>
      </c>
      <c r="J7" s="6">
        <f t="shared" si="4"/>
        <v>44175</v>
      </c>
      <c r="K7" s="6">
        <f t="shared" si="5"/>
        <v>10071.900000000001</v>
      </c>
      <c r="L7" s="6">
        <f t="shared" si="6"/>
        <v>1178</v>
      </c>
      <c r="M7" s="6">
        <f t="shared" si="7"/>
        <v>117.8</v>
      </c>
      <c r="N7" s="6">
        <f t="shared" si="8"/>
        <v>58.9</v>
      </c>
      <c r="O7" s="6">
        <f t="shared" si="9"/>
        <v>5.8900000000000006</v>
      </c>
      <c r="P7" s="6">
        <f t="shared" si="10"/>
        <v>294.5</v>
      </c>
      <c r="R7">
        <v>4</v>
      </c>
      <c r="S7">
        <v>0.9</v>
      </c>
      <c r="T7">
        <v>0.01</v>
      </c>
      <c r="U7">
        <v>0.2</v>
      </c>
      <c r="V7">
        <v>75</v>
      </c>
      <c r="W7">
        <v>17.100000000000001</v>
      </c>
      <c r="X7">
        <v>2</v>
      </c>
      <c r="Y7">
        <v>0.2</v>
      </c>
      <c r="Z7">
        <v>0.1</v>
      </c>
      <c r="AA7">
        <v>0.01</v>
      </c>
      <c r="AB7">
        <v>0.5</v>
      </c>
    </row>
    <row r="8" spans="1:28" x14ac:dyDescent="0.3">
      <c r="A8" s="18" t="s">
        <v>261</v>
      </c>
      <c r="B8" t="s">
        <v>29</v>
      </c>
      <c r="C8" t="s">
        <v>24</v>
      </c>
      <c r="D8">
        <v>22100</v>
      </c>
      <c r="E8">
        <v>4</v>
      </c>
      <c r="F8" s="6">
        <f t="shared" si="0"/>
        <v>221</v>
      </c>
      <c r="G8" s="6">
        <f t="shared" si="1"/>
        <v>198.90000000000003</v>
      </c>
      <c r="H8" s="6">
        <f t="shared" si="2"/>
        <v>2.21</v>
      </c>
      <c r="I8" s="6">
        <f t="shared" si="3"/>
        <v>44.2</v>
      </c>
      <c r="J8" s="6">
        <f t="shared" si="4"/>
        <v>20111</v>
      </c>
      <c r="K8" s="6">
        <f t="shared" si="5"/>
        <v>1127.0999999999999</v>
      </c>
      <c r="L8" s="6">
        <f t="shared" si="6"/>
        <v>221</v>
      </c>
      <c r="M8" s="6">
        <f t="shared" si="7"/>
        <v>44.2</v>
      </c>
      <c r="N8" s="6">
        <f t="shared" si="8"/>
        <v>22.1</v>
      </c>
      <c r="O8" s="6">
        <f t="shared" si="9"/>
        <v>2.21</v>
      </c>
      <c r="P8" s="6">
        <f t="shared" si="10"/>
        <v>110.5</v>
      </c>
      <c r="R8" s="6">
        <v>1</v>
      </c>
      <c r="S8">
        <v>0.9</v>
      </c>
      <c r="T8">
        <v>0.01</v>
      </c>
      <c r="U8">
        <v>0.2</v>
      </c>
      <c r="V8">
        <v>91</v>
      </c>
      <c r="W8">
        <v>5.0999999999999996</v>
      </c>
      <c r="X8">
        <v>1</v>
      </c>
      <c r="Y8">
        <v>0.2</v>
      </c>
      <c r="Z8">
        <v>0.1</v>
      </c>
      <c r="AA8">
        <v>0.01</v>
      </c>
      <c r="AB8">
        <v>0.5</v>
      </c>
    </row>
    <row r="9" spans="1:28" x14ac:dyDescent="0.3">
      <c r="A9" s="18" t="s">
        <v>261</v>
      </c>
      <c r="B9" t="s">
        <v>29</v>
      </c>
      <c r="C9" t="s">
        <v>25</v>
      </c>
      <c r="D9">
        <v>84600</v>
      </c>
      <c r="E9">
        <v>4</v>
      </c>
      <c r="F9" s="6">
        <f t="shared" si="0"/>
        <v>12690</v>
      </c>
      <c r="G9" s="6">
        <f t="shared" si="1"/>
        <v>761.40000000000009</v>
      </c>
      <c r="H9" s="6">
        <f t="shared" si="2"/>
        <v>8.4600000000000009</v>
      </c>
      <c r="I9" s="6">
        <f t="shared" si="3"/>
        <v>169.20000000000002</v>
      </c>
      <c r="J9" s="6">
        <f t="shared" si="4"/>
        <v>8460</v>
      </c>
      <c r="K9" s="6">
        <f t="shared" si="5"/>
        <v>61419.6</v>
      </c>
      <c r="L9" s="6">
        <f t="shared" si="6"/>
        <v>423</v>
      </c>
      <c r="M9" s="6">
        <f t="shared" si="7"/>
        <v>169.20000000000002</v>
      </c>
      <c r="N9" s="6">
        <f t="shared" si="8"/>
        <v>84.600000000000009</v>
      </c>
      <c r="O9" s="6">
        <f t="shared" si="9"/>
        <v>8.4600000000000009</v>
      </c>
      <c r="P9" s="6">
        <f t="shared" si="10"/>
        <v>423</v>
      </c>
      <c r="R9">
        <v>15</v>
      </c>
      <c r="S9">
        <v>0.9</v>
      </c>
      <c r="T9">
        <v>0.01</v>
      </c>
      <c r="U9">
        <v>0.2</v>
      </c>
      <c r="V9">
        <v>10</v>
      </c>
      <c r="W9">
        <v>72.599999999999994</v>
      </c>
      <c r="X9">
        <v>0.5</v>
      </c>
      <c r="Y9">
        <v>0.2</v>
      </c>
      <c r="Z9">
        <v>0.1</v>
      </c>
      <c r="AA9">
        <v>0.01</v>
      </c>
      <c r="AB9">
        <v>0.5</v>
      </c>
    </row>
    <row r="10" spans="1:28" x14ac:dyDescent="0.3">
      <c r="A10" s="18" t="s">
        <v>261</v>
      </c>
      <c r="B10" t="s">
        <v>29</v>
      </c>
      <c r="C10" t="s">
        <v>28</v>
      </c>
      <c r="D10">
        <v>87700</v>
      </c>
      <c r="E10">
        <v>4</v>
      </c>
      <c r="F10" s="6">
        <f t="shared" si="0"/>
        <v>8770</v>
      </c>
      <c r="G10" s="6">
        <f t="shared" si="1"/>
        <v>789.30000000000007</v>
      </c>
      <c r="H10" s="6">
        <f t="shared" si="2"/>
        <v>8.77</v>
      </c>
      <c r="I10" s="6">
        <f t="shared" si="3"/>
        <v>175.4</v>
      </c>
      <c r="J10" s="6">
        <f t="shared" si="4"/>
        <v>65862.7</v>
      </c>
      <c r="K10" s="6">
        <f t="shared" si="5"/>
        <v>11401</v>
      </c>
      <c r="L10" s="6">
        <f t="shared" si="6"/>
        <v>8.77</v>
      </c>
      <c r="M10" s="6">
        <f t="shared" si="7"/>
        <v>175.4</v>
      </c>
      <c r="N10" s="6">
        <f t="shared" si="8"/>
        <v>87.7</v>
      </c>
      <c r="O10" s="6">
        <f t="shared" si="9"/>
        <v>8.77</v>
      </c>
      <c r="P10" s="6">
        <f t="shared" si="10"/>
        <v>438.5</v>
      </c>
      <c r="R10">
        <v>10</v>
      </c>
      <c r="S10">
        <v>0.9</v>
      </c>
      <c r="T10">
        <v>0.01</v>
      </c>
      <c r="U10">
        <v>0.2</v>
      </c>
      <c r="V10">
        <v>75.099999999999994</v>
      </c>
      <c r="W10">
        <v>13</v>
      </c>
      <c r="X10">
        <v>0.01</v>
      </c>
      <c r="Y10">
        <v>0.2</v>
      </c>
      <c r="Z10">
        <v>0.1</v>
      </c>
      <c r="AA10">
        <v>0.01</v>
      </c>
      <c r="AB10">
        <v>0.5</v>
      </c>
    </row>
    <row r="11" spans="1:28" x14ac:dyDescent="0.3">
      <c r="A11" t="s">
        <v>263</v>
      </c>
      <c r="B11" t="s">
        <v>22</v>
      </c>
      <c r="C11" t="s">
        <v>20</v>
      </c>
      <c r="D11">
        <v>28700</v>
      </c>
      <c r="E11">
        <v>5</v>
      </c>
      <c r="F11" s="6">
        <f t="shared" si="0"/>
        <v>13115.9</v>
      </c>
      <c r="G11" s="6">
        <f t="shared" si="1"/>
        <v>2296</v>
      </c>
      <c r="H11" s="6">
        <f t="shared" si="2"/>
        <v>8610</v>
      </c>
      <c r="I11" s="6">
        <f t="shared" si="3"/>
        <v>2.87</v>
      </c>
      <c r="J11" s="6">
        <f t="shared" si="4"/>
        <v>574</v>
      </c>
      <c r="K11" s="6">
        <f t="shared" si="5"/>
        <v>3444</v>
      </c>
      <c r="L11" s="6">
        <f t="shared" si="6"/>
        <v>287</v>
      </c>
      <c r="M11" s="6">
        <f t="shared" si="7"/>
        <v>114.8</v>
      </c>
      <c r="N11" s="6">
        <f t="shared" si="8"/>
        <v>2.87</v>
      </c>
      <c r="O11" s="6">
        <f t="shared" si="9"/>
        <v>229.6</v>
      </c>
      <c r="P11" s="6">
        <f t="shared" si="10"/>
        <v>28.7</v>
      </c>
      <c r="R11">
        <v>45.7</v>
      </c>
      <c r="S11">
        <v>8</v>
      </c>
      <c r="T11">
        <v>30</v>
      </c>
      <c r="U11">
        <v>0.01</v>
      </c>
      <c r="V11">
        <v>2</v>
      </c>
      <c r="W11">
        <v>12</v>
      </c>
      <c r="X11">
        <v>1</v>
      </c>
      <c r="Y11">
        <v>0.4</v>
      </c>
      <c r="Z11">
        <v>0.01</v>
      </c>
      <c r="AA11">
        <v>0.8</v>
      </c>
      <c r="AB11">
        <v>0.1</v>
      </c>
    </row>
    <row r="12" spans="1:28" x14ac:dyDescent="0.3">
      <c r="A12" s="18" t="s">
        <v>263</v>
      </c>
      <c r="B12" t="s">
        <v>22</v>
      </c>
      <c r="C12" t="s">
        <v>21</v>
      </c>
      <c r="D12">
        <v>74000</v>
      </c>
      <c r="E12">
        <v>5</v>
      </c>
      <c r="F12" s="6">
        <f t="shared" si="0"/>
        <v>4440</v>
      </c>
      <c r="G12" s="6">
        <f t="shared" si="1"/>
        <v>45658</v>
      </c>
      <c r="H12" s="6">
        <f t="shared" si="2"/>
        <v>1480</v>
      </c>
      <c r="I12" s="6">
        <f t="shared" si="3"/>
        <v>7.4</v>
      </c>
      <c r="J12" s="6">
        <f t="shared" si="4"/>
        <v>8880</v>
      </c>
      <c r="K12" s="6">
        <f t="shared" si="5"/>
        <v>8880</v>
      </c>
      <c r="L12" s="6">
        <f t="shared" si="6"/>
        <v>3700</v>
      </c>
      <c r="M12" s="6">
        <f t="shared" si="7"/>
        <v>296</v>
      </c>
      <c r="N12" s="6">
        <f t="shared" si="8"/>
        <v>7.4</v>
      </c>
      <c r="O12" s="6">
        <f t="shared" si="9"/>
        <v>592</v>
      </c>
      <c r="P12" s="6">
        <f t="shared" si="10"/>
        <v>74</v>
      </c>
      <c r="R12">
        <v>6</v>
      </c>
      <c r="S12">
        <v>61.7</v>
      </c>
      <c r="T12">
        <v>2</v>
      </c>
      <c r="U12">
        <v>0.01</v>
      </c>
      <c r="V12">
        <v>12</v>
      </c>
      <c r="W12">
        <v>12</v>
      </c>
      <c r="X12">
        <v>5</v>
      </c>
      <c r="Y12">
        <v>0.4</v>
      </c>
      <c r="Z12">
        <v>0.01</v>
      </c>
      <c r="AA12">
        <v>0.8</v>
      </c>
      <c r="AB12">
        <v>0.1</v>
      </c>
    </row>
    <row r="16" spans="1:28" x14ac:dyDescent="0.3">
      <c r="A16" s="1" t="s">
        <v>252</v>
      </c>
      <c r="B16" s="1" t="s">
        <v>1</v>
      </c>
      <c r="C16" s="1" t="s">
        <v>0</v>
      </c>
      <c r="D16" s="1" t="s">
        <v>35</v>
      </c>
    </row>
    <row r="17" spans="1:29" x14ac:dyDescent="0.3">
      <c r="A17" s="18" t="s">
        <v>258</v>
      </c>
      <c r="B17" t="s">
        <v>10</v>
      </c>
      <c r="C17" t="s">
        <v>7</v>
      </c>
      <c r="D17">
        <v>33800</v>
      </c>
      <c r="E17" s="33">
        <f t="shared" ref="E17:E26" si="11">SUM(F17:P17)</f>
        <v>33809</v>
      </c>
      <c r="F17" s="33">
        <f t="shared" ref="F17:P17" si="12">ROUND(F3,0)</f>
        <v>11999</v>
      </c>
      <c r="G17" s="33">
        <f t="shared" si="12"/>
        <v>1690</v>
      </c>
      <c r="H17" s="33">
        <f t="shared" si="12"/>
        <v>15210</v>
      </c>
      <c r="I17" s="33">
        <f t="shared" si="12"/>
        <v>3</v>
      </c>
      <c r="J17" s="33">
        <f t="shared" si="12"/>
        <v>676</v>
      </c>
      <c r="K17" s="33">
        <f t="shared" si="12"/>
        <v>3380</v>
      </c>
      <c r="L17" s="33">
        <f t="shared" si="12"/>
        <v>676</v>
      </c>
      <c r="M17" s="33">
        <f t="shared" si="12"/>
        <v>3</v>
      </c>
      <c r="N17" s="33">
        <f t="shared" si="12"/>
        <v>3</v>
      </c>
      <c r="O17" s="33">
        <f t="shared" si="12"/>
        <v>101</v>
      </c>
      <c r="P17" s="33">
        <f t="shared" si="12"/>
        <v>68</v>
      </c>
    </row>
    <row r="18" spans="1:29" x14ac:dyDescent="0.3">
      <c r="A18" s="18" t="s">
        <v>258</v>
      </c>
      <c r="B18" t="s">
        <v>10</v>
      </c>
      <c r="C18" t="s">
        <v>8</v>
      </c>
      <c r="D18">
        <v>86400</v>
      </c>
      <c r="E18" s="33">
        <f t="shared" si="11"/>
        <v>86427</v>
      </c>
      <c r="F18" s="33">
        <f t="shared" ref="F18:P18" si="13">ROUND(F4,0)</f>
        <v>39312</v>
      </c>
      <c r="G18" s="33">
        <f t="shared" si="13"/>
        <v>17280</v>
      </c>
      <c r="H18" s="33">
        <f t="shared" si="13"/>
        <v>1728</v>
      </c>
      <c r="I18" s="33">
        <f t="shared" si="13"/>
        <v>9</v>
      </c>
      <c r="J18" s="33">
        <f t="shared" si="13"/>
        <v>8640</v>
      </c>
      <c r="K18" s="33">
        <f t="shared" si="13"/>
        <v>6048</v>
      </c>
      <c r="L18" s="33">
        <f t="shared" si="13"/>
        <v>12960</v>
      </c>
      <c r="M18" s="33">
        <f t="shared" si="13"/>
        <v>9</v>
      </c>
      <c r="N18" s="33">
        <f t="shared" si="13"/>
        <v>9</v>
      </c>
      <c r="O18" s="33">
        <f t="shared" si="13"/>
        <v>259</v>
      </c>
      <c r="P18" s="33">
        <f t="shared" si="13"/>
        <v>173</v>
      </c>
    </row>
    <row r="19" spans="1:29" x14ac:dyDescent="0.3">
      <c r="A19" s="18" t="s">
        <v>259</v>
      </c>
      <c r="B19" t="s">
        <v>5</v>
      </c>
      <c r="C19" t="s">
        <v>3</v>
      </c>
      <c r="D19">
        <v>214600</v>
      </c>
      <c r="E19" s="33">
        <f t="shared" si="11"/>
        <v>214705</v>
      </c>
      <c r="F19" s="33">
        <f t="shared" ref="F19:P19" si="14">ROUND(F5,0)</f>
        <v>30044</v>
      </c>
      <c r="G19" s="33">
        <f t="shared" si="14"/>
        <v>128760</v>
      </c>
      <c r="H19" s="33">
        <f t="shared" si="14"/>
        <v>21</v>
      </c>
      <c r="I19" s="33">
        <f t="shared" si="14"/>
        <v>21</v>
      </c>
      <c r="J19" s="33">
        <f t="shared" si="14"/>
        <v>29829</v>
      </c>
      <c r="K19" s="33">
        <f t="shared" si="14"/>
        <v>4292</v>
      </c>
      <c r="L19" s="33">
        <f t="shared" si="14"/>
        <v>21460</v>
      </c>
      <c r="M19" s="33">
        <f t="shared" si="14"/>
        <v>21</v>
      </c>
      <c r="N19" s="33">
        <f t="shared" si="14"/>
        <v>21</v>
      </c>
      <c r="O19" s="33">
        <f t="shared" si="14"/>
        <v>21</v>
      </c>
      <c r="P19" s="33">
        <f t="shared" si="14"/>
        <v>215</v>
      </c>
    </row>
    <row r="20" spans="1:29" x14ac:dyDescent="0.3">
      <c r="A20" s="18" t="s">
        <v>259</v>
      </c>
      <c r="B20" t="s">
        <v>5</v>
      </c>
      <c r="C20" t="s">
        <v>4</v>
      </c>
      <c r="D20">
        <v>30500</v>
      </c>
      <c r="E20" s="33">
        <f t="shared" si="11"/>
        <v>30519</v>
      </c>
      <c r="F20" s="33">
        <f t="shared" ref="F20:P20" si="15">ROUND(F6,0)</f>
        <v>885</v>
      </c>
      <c r="G20" s="33">
        <f t="shared" si="15"/>
        <v>28670</v>
      </c>
      <c r="H20" s="33">
        <f t="shared" si="15"/>
        <v>3</v>
      </c>
      <c r="I20" s="33">
        <f t="shared" si="15"/>
        <v>3</v>
      </c>
      <c r="J20" s="33">
        <f t="shared" si="15"/>
        <v>305</v>
      </c>
      <c r="K20" s="33">
        <f t="shared" si="15"/>
        <v>3</v>
      </c>
      <c r="L20" s="33">
        <f t="shared" si="15"/>
        <v>610</v>
      </c>
      <c r="M20" s="33">
        <f t="shared" si="15"/>
        <v>3</v>
      </c>
      <c r="N20" s="33">
        <f t="shared" si="15"/>
        <v>3</v>
      </c>
      <c r="O20" s="33">
        <f t="shared" si="15"/>
        <v>3</v>
      </c>
      <c r="P20" s="33">
        <f t="shared" si="15"/>
        <v>31</v>
      </c>
    </row>
    <row r="21" spans="1:29" x14ac:dyDescent="0.3">
      <c r="A21" s="18" t="s">
        <v>261</v>
      </c>
      <c r="B21" t="s">
        <v>29</v>
      </c>
      <c r="C21" t="s">
        <v>23</v>
      </c>
      <c r="D21">
        <v>58900</v>
      </c>
      <c r="E21" s="33">
        <f t="shared" si="11"/>
        <v>58913</v>
      </c>
      <c r="F21" s="33">
        <f t="shared" ref="F21:P21" si="16">ROUND(F7,0)</f>
        <v>2356</v>
      </c>
      <c r="G21" s="33">
        <f t="shared" si="16"/>
        <v>530</v>
      </c>
      <c r="H21" s="33">
        <f t="shared" si="16"/>
        <v>6</v>
      </c>
      <c r="I21" s="33">
        <f t="shared" si="16"/>
        <v>118</v>
      </c>
      <c r="J21" s="33">
        <f t="shared" si="16"/>
        <v>44175</v>
      </c>
      <c r="K21" s="33">
        <f t="shared" si="16"/>
        <v>10072</v>
      </c>
      <c r="L21" s="33">
        <f t="shared" si="16"/>
        <v>1178</v>
      </c>
      <c r="M21" s="33">
        <f t="shared" si="16"/>
        <v>118</v>
      </c>
      <c r="N21" s="33">
        <f t="shared" si="16"/>
        <v>59</v>
      </c>
      <c r="O21" s="33">
        <f t="shared" si="16"/>
        <v>6</v>
      </c>
      <c r="P21" s="33">
        <f t="shared" si="16"/>
        <v>295</v>
      </c>
    </row>
    <row r="22" spans="1:29" x14ac:dyDescent="0.3">
      <c r="A22" s="18" t="s">
        <v>261</v>
      </c>
      <c r="B22" t="s">
        <v>29</v>
      </c>
      <c r="C22" t="s">
        <v>24</v>
      </c>
      <c r="D22">
        <v>22100</v>
      </c>
      <c r="E22" s="33">
        <f t="shared" si="11"/>
        <v>22104</v>
      </c>
      <c r="F22" s="33">
        <f t="shared" ref="F22:P22" si="17">ROUND(F8,0)</f>
        <v>221</v>
      </c>
      <c r="G22" s="33">
        <f t="shared" si="17"/>
        <v>199</v>
      </c>
      <c r="H22" s="33">
        <f t="shared" si="17"/>
        <v>2</v>
      </c>
      <c r="I22" s="33">
        <f t="shared" si="17"/>
        <v>44</v>
      </c>
      <c r="J22" s="33">
        <f t="shared" si="17"/>
        <v>20111</v>
      </c>
      <c r="K22" s="33">
        <f t="shared" si="17"/>
        <v>1127</v>
      </c>
      <c r="L22" s="33">
        <f t="shared" si="17"/>
        <v>221</v>
      </c>
      <c r="M22" s="33">
        <f t="shared" si="17"/>
        <v>44</v>
      </c>
      <c r="N22" s="33">
        <f t="shared" si="17"/>
        <v>22</v>
      </c>
      <c r="O22" s="33">
        <f t="shared" si="17"/>
        <v>2</v>
      </c>
      <c r="P22" s="33">
        <f t="shared" si="17"/>
        <v>111</v>
      </c>
    </row>
    <row r="23" spans="1:29" x14ac:dyDescent="0.3">
      <c r="A23" s="18" t="s">
        <v>261</v>
      </c>
      <c r="B23" t="s">
        <v>29</v>
      </c>
      <c r="C23" t="s">
        <v>25</v>
      </c>
      <c r="D23">
        <v>84600</v>
      </c>
      <c r="E23" s="33">
        <f t="shared" si="11"/>
        <v>84616</v>
      </c>
      <c r="F23" s="33">
        <f t="shared" ref="F23:P23" si="18">ROUND(F9,0)</f>
        <v>12690</v>
      </c>
      <c r="G23" s="33">
        <f t="shared" si="18"/>
        <v>761</v>
      </c>
      <c r="H23" s="33">
        <f t="shared" si="18"/>
        <v>8</v>
      </c>
      <c r="I23" s="33">
        <f t="shared" si="18"/>
        <v>169</v>
      </c>
      <c r="J23" s="33">
        <f t="shared" si="18"/>
        <v>8460</v>
      </c>
      <c r="K23" s="33">
        <f t="shared" si="18"/>
        <v>61420</v>
      </c>
      <c r="L23" s="33">
        <f t="shared" si="18"/>
        <v>423</v>
      </c>
      <c r="M23" s="33">
        <f t="shared" si="18"/>
        <v>169</v>
      </c>
      <c r="N23" s="33">
        <f t="shared" si="18"/>
        <v>85</v>
      </c>
      <c r="O23" s="33">
        <f t="shared" si="18"/>
        <v>8</v>
      </c>
      <c r="P23" s="33">
        <f t="shared" si="18"/>
        <v>423</v>
      </c>
    </row>
    <row r="24" spans="1:29" x14ac:dyDescent="0.3">
      <c r="A24" s="18" t="s">
        <v>261</v>
      </c>
      <c r="B24" t="s">
        <v>29</v>
      </c>
      <c r="C24" t="s">
        <v>28</v>
      </c>
      <c r="D24">
        <v>87700</v>
      </c>
      <c r="E24" s="33">
        <f t="shared" si="11"/>
        <v>87727</v>
      </c>
      <c r="F24" s="33">
        <f t="shared" ref="F24:P24" si="19">ROUND(F10,0)</f>
        <v>8770</v>
      </c>
      <c r="G24" s="33">
        <f t="shared" si="19"/>
        <v>789</v>
      </c>
      <c r="H24" s="33">
        <f t="shared" si="19"/>
        <v>9</v>
      </c>
      <c r="I24" s="33">
        <f t="shared" si="19"/>
        <v>175</v>
      </c>
      <c r="J24" s="33">
        <f t="shared" si="19"/>
        <v>65863</v>
      </c>
      <c r="K24" s="33">
        <f t="shared" si="19"/>
        <v>11401</v>
      </c>
      <c r="L24" s="33">
        <f t="shared" si="19"/>
        <v>9</v>
      </c>
      <c r="M24" s="33">
        <f t="shared" si="19"/>
        <v>175</v>
      </c>
      <c r="N24" s="33">
        <f t="shared" si="19"/>
        <v>88</v>
      </c>
      <c r="O24" s="33">
        <f t="shared" si="19"/>
        <v>9</v>
      </c>
      <c r="P24" s="33">
        <f t="shared" si="19"/>
        <v>439</v>
      </c>
    </row>
    <row r="25" spans="1:29" x14ac:dyDescent="0.3">
      <c r="A25" t="s">
        <v>263</v>
      </c>
      <c r="B25" t="s">
        <v>22</v>
      </c>
      <c r="C25" t="s">
        <v>20</v>
      </c>
      <c r="D25">
        <v>28700</v>
      </c>
      <c r="E25" s="33">
        <f t="shared" si="11"/>
        <v>28707</v>
      </c>
      <c r="F25" s="33">
        <f t="shared" ref="F25:P25" si="20">ROUND(F11,0)</f>
        <v>13116</v>
      </c>
      <c r="G25" s="33">
        <f t="shared" si="20"/>
        <v>2296</v>
      </c>
      <c r="H25" s="33">
        <f t="shared" si="20"/>
        <v>8610</v>
      </c>
      <c r="I25" s="33">
        <f t="shared" si="20"/>
        <v>3</v>
      </c>
      <c r="J25" s="33">
        <f t="shared" si="20"/>
        <v>574</v>
      </c>
      <c r="K25" s="33">
        <f t="shared" si="20"/>
        <v>3444</v>
      </c>
      <c r="L25" s="33">
        <f t="shared" si="20"/>
        <v>287</v>
      </c>
      <c r="M25" s="33">
        <f t="shared" si="20"/>
        <v>115</v>
      </c>
      <c r="N25" s="33">
        <f t="shared" si="20"/>
        <v>3</v>
      </c>
      <c r="O25" s="33">
        <f t="shared" si="20"/>
        <v>230</v>
      </c>
      <c r="P25" s="33">
        <f t="shared" si="20"/>
        <v>29</v>
      </c>
    </row>
    <row r="26" spans="1:29" x14ac:dyDescent="0.3">
      <c r="A26" s="18" t="s">
        <v>263</v>
      </c>
      <c r="B26" t="s">
        <v>22</v>
      </c>
      <c r="C26" t="s">
        <v>21</v>
      </c>
      <c r="D26">
        <v>74000</v>
      </c>
      <c r="E26" s="33">
        <f t="shared" si="11"/>
        <v>74014</v>
      </c>
      <c r="F26" s="33">
        <f t="shared" ref="F26:P26" si="21">ROUND(F12,0)</f>
        <v>4440</v>
      </c>
      <c r="G26" s="33">
        <f t="shared" si="21"/>
        <v>45658</v>
      </c>
      <c r="H26" s="33">
        <f t="shared" si="21"/>
        <v>1480</v>
      </c>
      <c r="I26" s="33">
        <f t="shared" si="21"/>
        <v>7</v>
      </c>
      <c r="J26" s="33">
        <f t="shared" si="21"/>
        <v>8880</v>
      </c>
      <c r="K26" s="33">
        <f t="shared" si="21"/>
        <v>8880</v>
      </c>
      <c r="L26" s="33">
        <f t="shared" si="21"/>
        <v>3700</v>
      </c>
      <c r="M26" s="33">
        <f t="shared" si="21"/>
        <v>296</v>
      </c>
      <c r="N26" s="33">
        <f t="shared" si="21"/>
        <v>7</v>
      </c>
      <c r="O26" s="33">
        <f t="shared" si="21"/>
        <v>592</v>
      </c>
      <c r="P26" s="33">
        <f t="shared" si="21"/>
        <v>74</v>
      </c>
    </row>
    <row r="29" spans="1:29" x14ac:dyDescent="0.3">
      <c r="A29" s="1" t="s">
        <v>231</v>
      </c>
      <c r="B29" s="1" t="s">
        <v>252</v>
      </c>
      <c r="C29" s="1" t="s">
        <v>1</v>
      </c>
      <c r="D29" s="1" t="s">
        <v>0</v>
      </c>
      <c r="E29" s="1" t="s">
        <v>35</v>
      </c>
      <c r="F29" s="1" t="s">
        <v>80</v>
      </c>
      <c r="G29" t="s">
        <v>37</v>
      </c>
      <c r="H29" t="s">
        <v>36</v>
      </c>
      <c r="I29" t="s">
        <v>38</v>
      </c>
      <c r="J29" t="s">
        <v>39</v>
      </c>
      <c r="K29" t="s">
        <v>41</v>
      </c>
      <c r="L29" t="s">
        <v>48</v>
      </c>
      <c r="M29" t="s">
        <v>47</v>
      </c>
      <c r="N29" t="s">
        <v>79</v>
      </c>
      <c r="O29" t="s">
        <v>52</v>
      </c>
      <c r="P29" t="s">
        <v>50</v>
      </c>
      <c r="Q29" t="s">
        <v>42</v>
      </c>
      <c r="R29" t="s">
        <v>81</v>
      </c>
      <c r="S29" t="s">
        <v>82</v>
      </c>
      <c r="T29" t="s">
        <v>83</v>
      </c>
      <c r="U29" t="s">
        <v>84</v>
      </c>
      <c r="V29" t="s">
        <v>85</v>
      </c>
      <c r="W29" t="s">
        <v>86</v>
      </c>
      <c r="X29" t="s">
        <v>87</v>
      </c>
      <c r="Y29" t="s">
        <v>88</v>
      </c>
      <c r="Z29" t="s">
        <v>89</v>
      </c>
      <c r="AA29" t="s">
        <v>90</v>
      </c>
      <c r="AB29" t="s">
        <v>91</v>
      </c>
      <c r="AC29" t="s">
        <v>92</v>
      </c>
    </row>
    <row r="30" spans="1:29" x14ac:dyDescent="0.3">
      <c r="A30" s="17" t="s">
        <v>166</v>
      </c>
      <c r="B30" s="18" t="s">
        <v>258</v>
      </c>
      <c r="C30" t="s">
        <v>10</v>
      </c>
      <c r="D30" t="s">
        <v>7</v>
      </c>
      <c r="E30">
        <v>33800</v>
      </c>
      <c r="F30">
        <v>2</v>
      </c>
      <c r="G30" s="6">
        <v>16460.600000000002</v>
      </c>
      <c r="H30" s="6">
        <v>4968.5999999999995</v>
      </c>
      <c r="I30" s="6">
        <v>4968.5999999999995</v>
      </c>
      <c r="J30" s="6">
        <v>0</v>
      </c>
      <c r="K30" s="6">
        <v>2399.7999999999997</v>
      </c>
      <c r="L30" s="6">
        <v>2366</v>
      </c>
      <c r="M30" s="6">
        <v>2467.3999999999996</v>
      </c>
      <c r="N30" s="6">
        <v>0</v>
      </c>
      <c r="O30" s="6">
        <v>0</v>
      </c>
      <c r="P30" s="6">
        <v>101.4</v>
      </c>
      <c r="Q30" s="6">
        <v>67.599999999999994</v>
      </c>
      <c r="S30">
        <v>48.7</v>
      </c>
      <c r="T30">
        <v>14.7</v>
      </c>
      <c r="U30">
        <v>14.7</v>
      </c>
      <c r="W30">
        <v>7.1</v>
      </c>
      <c r="X30">
        <v>7</v>
      </c>
      <c r="Y30">
        <v>7.3</v>
      </c>
      <c r="AB30">
        <v>0.3</v>
      </c>
      <c r="AC30">
        <v>0.2</v>
      </c>
    </row>
    <row r="31" spans="1:29" x14ac:dyDescent="0.3">
      <c r="A31" s="17" t="s">
        <v>161</v>
      </c>
      <c r="B31" s="18" t="s">
        <v>258</v>
      </c>
      <c r="C31" t="s">
        <v>10</v>
      </c>
      <c r="D31" t="s">
        <v>8</v>
      </c>
      <c r="E31">
        <v>86400</v>
      </c>
      <c r="F31">
        <v>2</v>
      </c>
      <c r="G31" s="6">
        <v>42076.800000000003</v>
      </c>
      <c r="H31" s="6">
        <v>12700.8</v>
      </c>
      <c r="I31" s="6">
        <v>12700.8</v>
      </c>
      <c r="J31" s="6">
        <v>0</v>
      </c>
      <c r="K31" s="6">
        <v>6134.4</v>
      </c>
      <c r="L31" s="6">
        <v>6048.0000000000009</v>
      </c>
      <c r="M31" s="6">
        <v>6307.2</v>
      </c>
      <c r="N31" s="6">
        <v>0</v>
      </c>
      <c r="O31" s="6">
        <v>0</v>
      </c>
      <c r="P31" s="6">
        <v>259.2</v>
      </c>
      <c r="Q31" s="6">
        <v>172.8</v>
      </c>
      <c r="S31">
        <v>48.7</v>
      </c>
      <c r="T31">
        <v>14.7</v>
      </c>
      <c r="U31">
        <v>14.7</v>
      </c>
      <c r="W31">
        <v>7.1</v>
      </c>
      <c r="X31">
        <v>7</v>
      </c>
      <c r="Y31">
        <v>7.3</v>
      </c>
      <c r="AB31">
        <v>0.3</v>
      </c>
      <c r="AC31">
        <v>0.2</v>
      </c>
    </row>
    <row r="32" spans="1:29" x14ac:dyDescent="0.3">
      <c r="A32" s="17" t="s">
        <v>131</v>
      </c>
      <c r="B32" s="18" t="s">
        <v>259</v>
      </c>
      <c r="C32" t="s">
        <v>5</v>
      </c>
      <c r="D32" t="s">
        <v>3</v>
      </c>
      <c r="E32">
        <v>214600</v>
      </c>
      <c r="F32">
        <v>3</v>
      </c>
      <c r="G32" s="6">
        <v>28541.800000000003</v>
      </c>
      <c r="H32" s="6">
        <v>157301.79999999999</v>
      </c>
      <c r="I32" s="6">
        <v>0</v>
      </c>
      <c r="J32" s="6">
        <v>0</v>
      </c>
      <c r="K32" s="6">
        <v>15665.8</v>
      </c>
      <c r="L32" s="6">
        <v>1502.1999999999998</v>
      </c>
      <c r="M32" s="6">
        <v>11373.8</v>
      </c>
      <c r="N32" s="6">
        <v>0</v>
      </c>
      <c r="O32" s="6">
        <v>0</v>
      </c>
      <c r="P32" s="6">
        <v>0</v>
      </c>
      <c r="Q32" s="6">
        <v>214.6</v>
      </c>
      <c r="S32">
        <v>13.3</v>
      </c>
      <c r="T32">
        <v>73.3</v>
      </c>
      <c r="W32">
        <v>7.3</v>
      </c>
      <c r="X32">
        <v>0.7</v>
      </c>
      <c r="Y32">
        <v>5.3</v>
      </c>
      <c r="AC32">
        <v>0.1</v>
      </c>
    </row>
    <row r="33" spans="1:29" x14ac:dyDescent="0.3">
      <c r="A33" s="17" t="s">
        <v>120</v>
      </c>
      <c r="B33" s="18" t="s">
        <v>259</v>
      </c>
      <c r="C33" t="s">
        <v>5</v>
      </c>
      <c r="D33" t="s">
        <v>4</v>
      </c>
      <c r="E33">
        <v>30500</v>
      </c>
      <c r="F33">
        <v>3</v>
      </c>
      <c r="G33" s="6">
        <v>4056.5</v>
      </c>
      <c r="H33" s="6">
        <v>22356.5</v>
      </c>
      <c r="I33" s="6">
        <v>0</v>
      </c>
      <c r="J33" s="6">
        <v>0</v>
      </c>
      <c r="K33" s="6">
        <v>2226.5</v>
      </c>
      <c r="L33" s="6">
        <v>213.49999999999997</v>
      </c>
      <c r="M33" s="6">
        <v>1616.5</v>
      </c>
      <c r="N33" s="6">
        <v>0</v>
      </c>
      <c r="O33" s="6">
        <v>0</v>
      </c>
      <c r="P33" s="6">
        <v>0</v>
      </c>
      <c r="Q33" s="6">
        <v>30.5</v>
      </c>
      <c r="S33">
        <v>13.3</v>
      </c>
      <c r="T33">
        <v>73.3</v>
      </c>
      <c r="W33">
        <v>7.3</v>
      </c>
      <c r="X33">
        <v>0.7</v>
      </c>
      <c r="Y33">
        <v>5.3</v>
      </c>
      <c r="AC33">
        <v>0.1</v>
      </c>
    </row>
    <row r="34" spans="1:29" x14ac:dyDescent="0.3">
      <c r="A34" s="17" t="s">
        <v>137</v>
      </c>
      <c r="B34" s="18" t="s">
        <v>261</v>
      </c>
      <c r="C34" t="s">
        <v>29</v>
      </c>
      <c r="D34" t="s">
        <v>23</v>
      </c>
      <c r="E34">
        <v>58900</v>
      </c>
      <c r="F34">
        <v>4</v>
      </c>
      <c r="G34" s="6">
        <v>5242.1000000000004</v>
      </c>
      <c r="H34" s="6">
        <v>530.1</v>
      </c>
      <c r="I34" s="6">
        <v>0</v>
      </c>
      <c r="J34" s="6">
        <v>117.8</v>
      </c>
      <c r="K34" s="6">
        <v>39993.100000000006</v>
      </c>
      <c r="L34" s="6">
        <v>12133.400000000001</v>
      </c>
      <c r="M34" s="6">
        <v>412.29999999999995</v>
      </c>
      <c r="N34" s="6">
        <v>117.8</v>
      </c>
      <c r="O34" s="6">
        <v>58.9</v>
      </c>
      <c r="P34" s="6">
        <v>0</v>
      </c>
      <c r="Q34" s="6">
        <v>294.5</v>
      </c>
      <c r="S34">
        <v>8.9</v>
      </c>
      <c r="T34">
        <v>0.9</v>
      </c>
      <c r="V34">
        <v>0.2</v>
      </c>
      <c r="W34">
        <v>67.900000000000006</v>
      </c>
      <c r="X34">
        <v>20.6</v>
      </c>
      <c r="Y34">
        <v>0.7</v>
      </c>
      <c r="Z34">
        <v>0.2</v>
      </c>
      <c r="AA34">
        <v>0.1</v>
      </c>
      <c r="AC34">
        <v>0.5</v>
      </c>
    </row>
    <row r="35" spans="1:29" x14ac:dyDescent="0.3">
      <c r="A35" s="17" t="s">
        <v>140</v>
      </c>
      <c r="B35" s="18" t="s">
        <v>261</v>
      </c>
      <c r="C35" t="s">
        <v>29</v>
      </c>
      <c r="D35" t="s">
        <v>24</v>
      </c>
      <c r="E35">
        <v>22100</v>
      </c>
      <c r="F35">
        <v>4</v>
      </c>
      <c r="G35" s="6">
        <v>1966.9000000000003</v>
      </c>
      <c r="H35" s="6">
        <v>198.90000000000003</v>
      </c>
      <c r="I35" s="6">
        <v>0</v>
      </c>
      <c r="J35" s="6">
        <v>44.2</v>
      </c>
      <c r="K35" s="6">
        <v>15005.900000000001</v>
      </c>
      <c r="L35" s="6">
        <v>4552.6000000000004</v>
      </c>
      <c r="M35" s="6">
        <v>154.69999999999999</v>
      </c>
      <c r="N35" s="6">
        <v>44.2</v>
      </c>
      <c r="O35" s="6">
        <v>22.1</v>
      </c>
      <c r="P35" s="6">
        <v>0</v>
      </c>
      <c r="Q35" s="6">
        <v>110.5</v>
      </c>
      <c r="S35">
        <v>8.9</v>
      </c>
      <c r="T35">
        <v>0.9</v>
      </c>
      <c r="V35">
        <v>0.2</v>
      </c>
      <c r="W35">
        <v>67.900000000000006</v>
      </c>
      <c r="X35">
        <v>20.6</v>
      </c>
      <c r="Y35">
        <v>0.7</v>
      </c>
      <c r="Z35">
        <v>0.2</v>
      </c>
      <c r="AA35">
        <v>0.1</v>
      </c>
      <c r="AC35">
        <v>0.5</v>
      </c>
    </row>
    <row r="36" spans="1:29" x14ac:dyDescent="0.3">
      <c r="A36" s="17" t="s">
        <v>134</v>
      </c>
      <c r="B36" s="18" t="s">
        <v>261</v>
      </c>
      <c r="C36" t="s">
        <v>29</v>
      </c>
      <c r="D36" t="s">
        <v>25</v>
      </c>
      <c r="E36">
        <v>84600</v>
      </c>
      <c r="F36">
        <v>4</v>
      </c>
      <c r="G36" s="6">
        <v>7529.4000000000005</v>
      </c>
      <c r="H36" s="6">
        <v>761.40000000000009</v>
      </c>
      <c r="I36" s="6">
        <v>0</v>
      </c>
      <c r="J36" s="6">
        <v>169.20000000000002</v>
      </c>
      <c r="K36" s="6">
        <v>57443.4</v>
      </c>
      <c r="L36" s="6">
        <v>17427.600000000002</v>
      </c>
      <c r="M36" s="6">
        <v>592.19999999999993</v>
      </c>
      <c r="N36" s="6">
        <v>169.20000000000002</v>
      </c>
      <c r="O36" s="6">
        <v>84.600000000000009</v>
      </c>
      <c r="P36" s="6">
        <v>0</v>
      </c>
      <c r="Q36" s="6">
        <v>423</v>
      </c>
      <c r="S36">
        <v>8.9</v>
      </c>
      <c r="T36">
        <v>0.9</v>
      </c>
      <c r="V36">
        <v>0.2</v>
      </c>
      <c r="W36">
        <v>67.900000000000006</v>
      </c>
      <c r="X36">
        <v>20.6</v>
      </c>
      <c r="Y36">
        <v>0.7</v>
      </c>
      <c r="Z36">
        <v>0.2</v>
      </c>
      <c r="AA36">
        <v>0.1</v>
      </c>
      <c r="AC36">
        <v>0.5</v>
      </c>
    </row>
    <row r="37" spans="1:29" x14ac:dyDescent="0.3">
      <c r="A37" s="17" t="s">
        <v>129</v>
      </c>
      <c r="B37" s="18" t="s">
        <v>261</v>
      </c>
      <c r="C37" t="s">
        <v>29</v>
      </c>
      <c r="D37" t="s">
        <v>28</v>
      </c>
      <c r="E37">
        <v>87700</v>
      </c>
      <c r="F37">
        <v>4</v>
      </c>
      <c r="G37" s="6">
        <v>7805.3000000000011</v>
      </c>
      <c r="H37" s="6">
        <v>789.30000000000007</v>
      </c>
      <c r="I37" s="6">
        <v>0</v>
      </c>
      <c r="J37" s="6">
        <v>175.4</v>
      </c>
      <c r="K37" s="6">
        <v>59548.3</v>
      </c>
      <c r="L37" s="6">
        <v>18066.2</v>
      </c>
      <c r="M37" s="6">
        <v>613.9</v>
      </c>
      <c r="N37" s="6">
        <v>175.4</v>
      </c>
      <c r="O37" s="6">
        <v>87.7</v>
      </c>
      <c r="P37" s="6">
        <v>0</v>
      </c>
      <c r="Q37" s="6">
        <v>438.5</v>
      </c>
      <c r="S37">
        <v>8.9</v>
      </c>
      <c r="T37">
        <v>0.9</v>
      </c>
      <c r="V37">
        <v>0.2</v>
      </c>
      <c r="W37">
        <v>67.900000000000006</v>
      </c>
      <c r="X37">
        <v>20.6</v>
      </c>
      <c r="Y37">
        <v>0.7</v>
      </c>
      <c r="Z37">
        <v>0.2</v>
      </c>
      <c r="AA37">
        <v>0.1</v>
      </c>
      <c r="AC37">
        <v>0.5</v>
      </c>
    </row>
    <row r="38" spans="1:29" x14ac:dyDescent="0.3">
      <c r="A38" s="17" t="s">
        <v>177</v>
      </c>
      <c r="B38" t="s">
        <v>263</v>
      </c>
      <c r="C38" t="s">
        <v>22</v>
      </c>
      <c r="D38" t="s">
        <v>20</v>
      </c>
      <c r="E38">
        <v>28700</v>
      </c>
      <c r="F38">
        <v>5</v>
      </c>
      <c r="G38" s="6">
        <v>4936.3999999999996</v>
      </c>
      <c r="H38" s="6">
        <v>16646</v>
      </c>
      <c r="I38" s="6">
        <v>2956.1000000000004</v>
      </c>
      <c r="J38" s="6">
        <v>0</v>
      </c>
      <c r="K38" s="6">
        <v>1205.4000000000001</v>
      </c>
      <c r="L38" s="6">
        <v>1922.9</v>
      </c>
      <c r="M38" s="6">
        <v>660.1</v>
      </c>
      <c r="N38" s="6">
        <v>114.8</v>
      </c>
      <c r="O38" s="6">
        <v>0</v>
      </c>
      <c r="P38" s="6">
        <v>229.6</v>
      </c>
      <c r="Q38" s="6">
        <v>28.7</v>
      </c>
      <c r="S38">
        <v>17.2</v>
      </c>
      <c r="T38">
        <v>58</v>
      </c>
      <c r="U38">
        <v>10.3</v>
      </c>
      <c r="W38">
        <v>4.2</v>
      </c>
      <c r="X38">
        <v>6.7</v>
      </c>
      <c r="Y38">
        <v>2.2999999999999998</v>
      </c>
      <c r="Z38">
        <v>0.4</v>
      </c>
      <c r="AB38">
        <v>0.8</v>
      </c>
      <c r="AC38">
        <v>0.1</v>
      </c>
    </row>
    <row r="39" spans="1:29" x14ac:dyDescent="0.3">
      <c r="A39" s="17" t="s">
        <v>180</v>
      </c>
      <c r="B39" s="18" t="s">
        <v>263</v>
      </c>
      <c r="C39" t="s">
        <v>22</v>
      </c>
      <c r="D39" t="s">
        <v>21</v>
      </c>
      <c r="E39">
        <v>74000</v>
      </c>
      <c r="F39">
        <v>5</v>
      </c>
      <c r="G39" s="6">
        <v>12727.999999999998</v>
      </c>
      <c r="H39" s="6">
        <v>42920</v>
      </c>
      <c r="I39" s="6">
        <v>7622.0000000000009</v>
      </c>
      <c r="J39" s="6">
        <v>0</v>
      </c>
      <c r="K39" s="6">
        <v>3108</v>
      </c>
      <c r="L39" s="6">
        <v>4958</v>
      </c>
      <c r="M39" s="6">
        <v>1702</v>
      </c>
      <c r="N39" s="6">
        <v>296</v>
      </c>
      <c r="O39" s="6">
        <v>0</v>
      </c>
      <c r="P39" s="6">
        <v>592</v>
      </c>
      <c r="Q39" s="6">
        <v>74</v>
      </c>
      <c r="S39">
        <v>17.2</v>
      </c>
      <c r="T39">
        <v>58</v>
      </c>
      <c r="U39">
        <v>10.3</v>
      </c>
      <c r="W39">
        <v>4.2</v>
      </c>
      <c r="X39">
        <v>6.7</v>
      </c>
      <c r="Y39">
        <v>2.2999999999999998</v>
      </c>
      <c r="Z39">
        <v>0.4</v>
      </c>
      <c r="AB39">
        <v>0.8</v>
      </c>
      <c r="AC39">
        <v>0.1</v>
      </c>
    </row>
    <row r="41" spans="1:29" x14ac:dyDescent="0.3">
      <c r="F41" s="1" t="s">
        <v>37</v>
      </c>
      <c r="G41" s="1" t="s">
        <v>36</v>
      </c>
      <c r="H41" s="1" t="s">
        <v>38</v>
      </c>
      <c r="I41" s="1" t="s">
        <v>39</v>
      </c>
      <c r="J41" s="1" t="s">
        <v>41</v>
      </c>
      <c r="K41" s="1" t="s">
        <v>48</v>
      </c>
      <c r="L41" s="1" t="s">
        <v>47</v>
      </c>
      <c r="M41" s="1" t="s">
        <v>79</v>
      </c>
      <c r="N41" s="1" t="s">
        <v>52</v>
      </c>
      <c r="O41" s="1" t="s">
        <v>50</v>
      </c>
      <c r="P41" s="1" t="s">
        <v>42</v>
      </c>
    </row>
    <row r="42" spans="1:29" x14ac:dyDescent="0.3">
      <c r="B42" s="18" t="s">
        <v>258</v>
      </c>
      <c r="C42" t="s">
        <v>10</v>
      </c>
      <c r="E42" s="33">
        <f>SUM(F42:P42)</f>
        <v>120200</v>
      </c>
      <c r="F42" s="33">
        <f t="shared" ref="F42:P42" si="22">G30+G31</f>
        <v>58537.400000000009</v>
      </c>
      <c r="G42" s="33">
        <f t="shared" si="22"/>
        <v>17669.399999999998</v>
      </c>
      <c r="H42" s="33">
        <f t="shared" si="22"/>
        <v>17669.399999999998</v>
      </c>
      <c r="I42" s="33">
        <f t="shared" si="22"/>
        <v>0</v>
      </c>
      <c r="J42" s="33">
        <f t="shared" si="22"/>
        <v>8534.1999999999989</v>
      </c>
      <c r="K42" s="33">
        <f t="shared" si="22"/>
        <v>8414</v>
      </c>
      <c r="L42" s="33">
        <f t="shared" si="22"/>
        <v>8774.5999999999985</v>
      </c>
      <c r="M42" s="33">
        <f t="shared" si="22"/>
        <v>0</v>
      </c>
      <c r="N42" s="33">
        <f t="shared" si="22"/>
        <v>0</v>
      </c>
      <c r="O42" s="33">
        <f t="shared" si="22"/>
        <v>360.6</v>
      </c>
      <c r="P42" s="33">
        <f t="shared" si="22"/>
        <v>240.4</v>
      </c>
    </row>
    <row r="43" spans="1:29" x14ac:dyDescent="0.3">
      <c r="B43" s="18" t="s">
        <v>259</v>
      </c>
      <c r="C43" t="s">
        <v>5</v>
      </c>
      <c r="E43" s="33">
        <f>SUM(F43:P43)</f>
        <v>245099.99999999997</v>
      </c>
      <c r="F43" s="33">
        <f t="shared" ref="F43:P43" si="23">G33+G32</f>
        <v>32598.300000000003</v>
      </c>
      <c r="G43" s="33">
        <f t="shared" si="23"/>
        <v>179658.3</v>
      </c>
      <c r="H43" s="33">
        <f t="shared" si="23"/>
        <v>0</v>
      </c>
      <c r="I43" s="33">
        <f t="shared" si="23"/>
        <v>0</v>
      </c>
      <c r="J43" s="33">
        <f t="shared" si="23"/>
        <v>17892.3</v>
      </c>
      <c r="K43" s="33">
        <f t="shared" si="23"/>
        <v>1715.6999999999998</v>
      </c>
      <c r="L43" s="33">
        <f t="shared" si="23"/>
        <v>12990.3</v>
      </c>
      <c r="M43" s="33">
        <f t="shared" si="23"/>
        <v>0</v>
      </c>
      <c r="N43" s="33">
        <f t="shared" si="23"/>
        <v>0</v>
      </c>
      <c r="O43" s="33">
        <f t="shared" si="23"/>
        <v>0</v>
      </c>
      <c r="P43" s="33">
        <f t="shared" si="23"/>
        <v>245.1</v>
      </c>
    </row>
    <row r="44" spans="1:29" x14ac:dyDescent="0.3">
      <c r="B44" s="18" t="s">
        <v>261</v>
      </c>
      <c r="C44" t="s">
        <v>29</v>
      </c>
      <c r="E44" s="33">
        <f>SUM(F44:P44)</f>
        <v>253300</v>
      </c>
      <c r="F44" s="33">
        <f t="shared" ref="F44:P44" si="24">G34+G35+G36+G37</f>
        <v>22543.700000000004</v>
      </c>
      <c r="G44" s="33">
        <f t="shared" si="24"/>
        <v>2279.7000000000003</v>
      </c>
      <c r="H44" s="33">
        <f t="shared" si="24"/>
        <v>0</v>
      </c>
      <c r="I44" s="33">
        <f t="shared" si="24"/>
        <v>506.6</v>
      </c>
      <c r="J44" s="33">
        <f t="shared" si="24"/>
        <v>171990.7</v>
      </c>
      <c r="K44" s="33">
        <f t="shared" si="24"/>
        <v>52179.8</v>
      </c>
      <c r="L44" s="33">
        <f t="shared" si="24"/>
        <v>1773.1</v>
      </c>
      <c r="M44" s="33">
        <f t="shared" si="24"/>
        <v>506.6</v>
      </c>
      <c r="N44" s="33">
        <f t="shared" si="24"/>
        <v>253.3</v>
      </c>
      <c r="O44" s="33">
        <f t="shared" si="24"/>
        <v>0</v>
      </c>
      <c r="P44" s="33">
        <f t="shared" si="24"/>
        <v>1266.5</v>
      </c>
    </row>
    <row r="45" spans="1:29" x14ac:dyDescent="0.3">
      <c r="B45" t="s">
        <v>263</v>
      </c>
      <c r="C45" t="s">
        <v>22</v>
      </c>
      <c r="E45" s="33">
        <f>SUM(F45:P45)</f>
        <v>102700</v>
      </c>
      <c r="F45" s="33">
        <f t="shared" ref="F45:P45" si="25">G38+G39</f>
        <v>17664.399999999998</v>
      </c>
      <c r="G45" s="33">
        <f t="shared" si="25"/>
        <v>59566</v>
      </c>
      <c r="H45" s="33">
        <f t="shared" si="25"/>
        <v>10578.100000000002</v>
      </c>
      <c r="I45" s="33">
        <f t="shared" si="25"/>
        <v>0</v>
      </c>
      <c r="J45" s="33">
        <f t="shared" si="25"/>
        <v>4313.3999999999996</v>
      </c>
      <c r="K45" s="33">
        <f t="shared" si="25"/>
        <v>6880.9</v>
      </c>
      <c r="L45" s="33">
        <f t="shared" si="25"/>
        <v>2362.1</v>
      </c>
      <c r="M45" s="33">
        <f t="shared" si="25"/>
        <v>410.8</v>
      </c>
      <c r="N45" s="33">
        <f t="shared" si="25"/>
        <v>0</v>
      </c>
      <c r="O45" s="33">
        <f t="shared" si="25"/>
        <v>821.6</v>
      </c>
      <c r="P45" s="33">
        <f t="shared" si="25"/>
        <v>102.7</v>
      </c>
    </row>
    <row r="47" spans="1:29" x14ac:dyDescent="0.3">
      <c r="B47" t="s">
        <v>258</v>
      </c>
      <c r="C47" t="s">
        <v>10</v>
      </c>
      <c r="E47">
        <v>120200</v>
      </c>
      <c r="F47" s="9">
        <f t="shared" ref="F47:P47" si="26">F42/$E$42</f>
        <v>0.4870000000000001</v>
      </c>
      <c r="G47" s="9">
        <f t="shared" si="26"/>
        <v>0.14699999999999999</v>
      </c>
      <c r="H47" s="9">
        <f t="shared" si="26"/>
        <v>0.14699999999999999</v>
      </c>
      <c r="I47" s="9">
        <f t="shared" si="26"/>
        <v>0</v>
      </c>
      <c r="J47" s="9">
        <f t="shared" si="26"/>
        <v>7.0999999999999994E-2</v>
      </c>
      <c r="K47" s="9">
        <f t="shared" si="26"/>
        <v>7.0000000000000007E-2</v>
      </c>
      <c r="L47" s="9">
        <f t="shared" si="26"/>
        <v>7.2999999999999982E-2</v>
      </c>
      <c r="M47" s="9">
        <f t="shared" si="26"/>
        <v>0</v>
      </c>
      <c r="N47" s="9">
        <f t="shared" si="26"/>
        <v>0</v>
      </c>
      <c r="O47" s="9">
        <f t="shared" si="26"/>
        <v>3.0000000000000001E-3</v>
      </c>
      <c r="P47" s="9">
        <f t="shared" si="26"/>
        <v>2E-3</v>
      </c>
    </row>
    <row r="48" spans="1:29" x14ac:dyDescent="0.3">
      <c r="B48" t="s">
        <v>259</v>
      </c>
      <c r="C48" t="s">
        <v>5</v>
      </c>
      <c r="E48">
        <v>245099.99999999997</v>
      </c>
      <c r="F48" s="9">
        <f t="shared" ref="F48:P48" si="27">F43/$E$43</f>
        <v>0.13300000000000003</v>
      </c>
      <c r="G48" s="9">
        <f t="shared" si="27"/>
        <v>0.73299999999999998</v>
      </c>
      <c r="H48" s="9">
        <f t="shared" si="27"/>
        <v>0</v>
      </c>
      <c r="I48" s="9">
        <f t="shared" si="27"/>
        <v>0</v>
      </c>
      <c r="J48" s="9">
        <f t="shared" si="27"/>
        <v>7.3000000000000009E-2</v>
      </c>
      <c r="K48" s="9">
        <f t="shared" si="27"/>
        <v>7.0000000000000001E-3</v>
      </c>
      <c r="L48" s="9">
        <f t="shared" si="27"/>
        <v>5.3000000000000005E-2</v>
      </c>
      <c r="M48" s="9">
        <f t="shared" si="27"/>
        <v>0</v>
      </c>
      <c r="N48" s="9">
        <f t="shared" si="27"/>
        <v>0</v>
      </c>
      <c r="O48" s="9">
        <f t="shared" si="27"/>
        <v>0</v>
      </c>
      <c r="P48" s="9">
        <f t="shared" si="27"/>
        <v>1E-3</v>
      </c>
    </row>
    <row r="49" spans="2:28" x14ac:dyDescent="0.3">
      <c r="B49" t="s">
        <v>261</v>
      </c>
      <c r="C49" t="s">
        <v>29</v>
      </c>
      <c r="E49">
        <v>253300</v>
      </c>
      <c r="F49" s="9">
        <f t="shared" ref="F49:P49" si="28">F44/$E$44</f>
        <v>8.9000000000000024E-2</v>
      </c>
      <c r="G49" s="9">
        <f t="shared" si="28"/>
        <v>9.0000000000000011E-3</v>
      </c>
      <c r="H49" s="9">
        <f t="shared" si="28"/>
        <v>0</v>
      </c>
      <c r="I49" s="9">
        <f t="shared" si="28"/>
        <v>2E-3</v>
      </c>
      <c r="J49" s="9">
        <f t="shared" si="28"/>
        <v>0.67900000000000005</v>
      </c>
      <c r="K49" s="9">
        <f t="shared" si="28"/>
        <v>0.20600000000000002</v>
      </c>
      <c r="L49" s="9">
        <f t="shared" si="28"/>
        <v>6.9999999999999993E-3</v>
      </c>
      <c r="M49" s="9">
        <f t="shared" si="28"/>
        <v>2E-3</v>
      </c>
      <c r="N49" s="9">
        <f t="shared" si="28"/>
        <v>1E-3</v>
      </c>
      <c r="O49" s="9">
        <f t="shared" si="28"/>
        <v>0</v>
      </c>
      <c r="P49" s="9">
        <f t="shared" si="28"/>
        <v>5.0000000000000001E-3</v>
      </c>
    </row>
    <row r="50" spans="2:28" x14ac:dyDescent="0.3">
      <c r="B50" t="s">
        <v>263</v>
      </c>
      <c r="C50" t="s">
        <v>22</v>
      </c>
      <c r="E50">
        <v>102700</v>
      </c>
      <c r="F50" s="9">
        <f t="shared" ref="F50:P50" si="29">F45/$E$45</f>
        <v>0.17199999999999999</v>
      </c>
      <c r="G50" s="9">
        <f t="shared" si="29"/>
        <v>0.57999999999999996</v>
      </c>
      <c r="H50" s="9">
        <f t="shared" si="29"/>
        <v>0.10300000000000002</v>
      </c>
      <c r="I50" s="9">
        <f t="shared" si="29"/>
        <v>0</v>
      </c>
      <c r="J50" s="9">
        <f t="shared" si="29"/>
        <v>4.1999999999999996E-2</v>
      </c>
      <c r="K50" s="9">
        <f t="shared" si="29"/>
        <v>6.699999999999999E-2</v>
      </c>
      <c r="L50" s="9">
        <f t="shared" si="29"/>
        <v>2.3E-2</v>
      </c>
      <c r="M50" s="9">
        <f t="shared" si="29"/>
        <v>4.0000000000000001E-3</v>
      </c>
      <c r="N50" s="9">
        <f t="shared" si="29"/>
        <v>0</v>
      </c>
      <c r="O50" s="9">
        <f t="shared" si="29"/>
        <v>8.0000000000000002E-3</v>
      </c>
      <c r="P50" s="9">
        <f t="shared" si="29"/>
        <v>1E-3</v>
      </c>
    </row>
    <row r="53" spans="2:28" x14ac:dyDescent="0.3">
      <c r="B53" s="1" t="s">
        <v>1</v>
      </c>
      <c r="C53" s="1" t="s">
        <v>0</v>
      </c>
      <c r="D53" s="1" t="s">
        <v>35</v>
      </c>
      <c r="E53" s="1" t="s">
        <v>269</v>
      </c>
      <c r="F53" s="1" t="s">
        <v>37</v>
      </c>
      <c r="G53" s="1" t="s">
        <v>36</v>
      </c>
      <c r="H53" s="1" t="s">
        <v>38</v>
      </c>
      <c r="I53" s="1" t="s">
        <v>39</v>
      </c>
      <c r="J53" s="1" t="s">
        <v>41</v>
      </c>
      <c r="K53" s="1" t="s">
        <v>48</v>
      </c>
      <c r="L53" s="1" t="s">
        <v>47</v>
      </c>
      <c r="M53" s="1" t="s">
        <v>79</v>
      </c>
      <c r="N53" s="1" t="s">
        <v>52</v>
      </c>
      <c r="O53" s="1" t="s">
        <v>50</v>
      </c>
      <c r="P53" s="1" t="s">
        <v>42</v>
      </c>
    </row>
    <row r="54" spans="2:28" x14ac:dyDescent="0.3">
      <c r="B54" t="s">
        <v>5</v>
      </c>
      <c r="C54" t="s">
        <v>3</v>
      </c>
      <c r="D54">
        <v>214600</v>
      </c>
      <c r="E54">
        <v>245100</v>
      </c>
      <c r="F54">
        <v>13.35</v>
      </c>
      <c r="G54">
        <v>73.3</v>
      </c>
      <c r="I54">
        <v>0.03</v>
      </c>
      <c r="J54">
        <v>7.29</v>
      </c>
      <c r="K54">
        <v>0.72</v>
      </c>
      <c r="L54">
        <v>5.25</v>
      </c>
      <c r="M54">
        <v>0.04</v>
      </c>
      <c r="O54">
        <v>0.02</v>
      </c>
      <c r="R54">
        <f t="shared" ref="R54:AB54" si="30">F54/100*$E$54</f>
        <v>32720.850000000002</v>
      </c>
      <c r="S54">
        <f t="shared" si="30"/>
        <v>179658.3</v>
      </c>
      <c r="T54">
        <f t="shared" si="30"/>
        <v>0</v>
      </c>
      <c r="U54">
        <f t="shared" si="30"/>
        <v>73.529999999999987</v>
      </c>
      <c r="V54">
        <f t="shared" si="30"/>
        <v>17867.79</v>
      </c>
      <c r="W54">
        <f t="shared" si="30"/>
        <v>1764.72</v>
      </c>
      <c r="X54">
        <f t="shared" si="30"/>
        <v>12867.75</v>
      </c>
      <c r="Y54">
        <f t="shared" si="30"/>
        <v>98.04</v>
      </c>
      <c r="Z54">
        <f t="shared" si="30"/>
        <v>0</v>
      </c>
      <c r="AA54">
        <f t="shared" si="30"/>
        <v>49.02</v>
      </c>
      <c r="AB54">
        <f t="shared" si="30"/>
        <v>0</v>
      </c>
    </row>
    <row r="55" spans="2:28" x14ac:dyDescent="0.3">
      <c r="B55" t="s">
        <v>10</v>
      </c>
      <c r="C55" t="s">
        <v>8</v>
      </c>
      <c r="D55">
        <v>86400</v>
      </c>
      <c r="E55">
        <v>120200</v>
      </c>
      <c r="F55">
        <v>48.74</v>
      </c>
      <c r="G55">
        <v>14.67</v>
      </c>
      <c r="H55">
        <v>14.66</v>
      </c>
      <c r="J55">
        <v>7.12</v>
      </c>
      <c r="K55">
        <v>7.02</v>
      </c>
      <c r="L55">
        <v>7.29</v>
      </c>
      <c r="M55">
        <v>0.02</v>
      </c>
      <c r="N55">
        <v>0.03</v>
      </c>
      <c r="O55">
        <v>0.34</v>
      </c>
      <c r="P55">
        <v>0.11</v>
      </c>
      <c r="R55">
        <f t="shared" ref="R55:AB55" si="31">F55/100*$E$55</f>
        <v>58585.48</v>
      </c>
      <c r="S55">
        <f t="shared" si="31"/>
        <v>17633.34</v>
      </c>
      <c r="T55">
        <f t="shared" si="31"/>
        <v>17621.32</v>
      </c>
      <c r="U55">
        <f t="shared" si="31"/>
        <v>0</v>
      </c>
      <c r="V55">
        <f t="shared" si="31"/>
        <v>8558.24</v>
      </c>
      <c r="W55">
        <f t="shared" si="31"/>
        <v>8438.0399999999991</v>
      </c>
      <c r="X55">
        <f t="shared" si="31"/>
        <v>8762.58</v>
      </c>
      <c r="Y55">
        <f t="shared" si="31"/>
        <v>24.040000000000003</v>
      </c>
      <c r="Z55">
        <f t="shared" si="31"/>
        <v>36.059999999999995</v>
      </c>
      <c r="AA55">
        <f t="shared" si="31"/>
        <v>408.68</v>
      </c>
      <c r="AB55">
        <f t="shared" si="31"/>
        <v>132.22</v>
      </c>
    </row>
    <row r="56" spans="2:28" x14ac:dyDescent="0.3">
      <c r="B56" t="s">
        <v>22</v>
      </c>
      <c r="C56" t="s">
        <v>20</v>
      </c>
      <c r="D56">
        <v>28700</v>
      </c>
      <c r="E56">
        <v>102700</v>
      </c>
      <c r="F56">
        <v>17.18</v>
      </c>
      <c r="G56">
        <v>57.98</v>
      </c>
      <c r="H56">
        <v>10.25</v>
      </c>
      <c r="J56">
        <v>4.1500000000000004</v>
      </c>
      <c r="K56">
        <v>6.73</v>
      </c>
      <c r="L56">
        <v>2.34</v>
      </c>
      <c r="M56">
        <v>0.41</v>
      </c>
      <c r="N56">
        <v>0.02</v>
      </c>
      <c r="O56">
        <v>0.8</v>
      </c>
      <c r="P56">
        <v>0.14000000000000001</v>
      </c>
      <c r="R56">
        <f t="shared" ref="R56:AB56" si="32">F56/100*$E$56</f>
        <v>17643.86</v>
      </c>
      <c r="S56">
        <f t="shared" si="32"/>
        <v>59545.46</v>
      </c>
      <c r="T56">
        <f t="shared" si="32"/>
        <v>10526.75</v>
      </c>
      <c r="U56">
        <f t="shared" si="32"/>
        <v>0</v>
      </c>
      <c r="V56">
        <f t="shared" si="32"/>
        <v>4262.05</v>
      </c>
      <c r="W56">
        <f t="shared" si="32"/>
        <v>6911.71</v>
      </c>
      <c r="X56">
        <f t="shared" si="32"/>
        <v>2403.1799999999998</v>
      </c>
      <c r="Y56">
        <f t="shared" si="32"/>
        <v>421.06999999999994</v>
      </c>
      <c r="Z56">
        <f t="shared" si="32"/>
        <v>20.540000000000003</v>
      </c>
      <c r="AA56">
        <f t="shared" si="32"/>
        <v>821.6</v>
      </c>
      <c r="AB56">
        <f t="shared" si="32"/>
        <v>143.78000000000003</v>
      </c>
    </row>
    <row r="57" spans="2:28" x14ac:dyDescent="0.3">
      <c r="B57" t="s">
        <v>29</v>
      </c>
      <c r="C57" t="s">
        <v>28</v>
      </c>
      <c r="D57">
        <v>87700</v>
      </c>
      <c r="E57">
        <v>253300</v>
      </c>
      <c r="F57">
        <v>8.91</v>
      </c>
      <c r="G57">
        <v>0.93</v>
      </c>
      <c r="I57">
        <v>0.24</v>
      </c>
      <c r="J57">
        <v>67.849999999999994</v>
      </c>
      <c r="K57">
        <v>20.59</v>
      </c>
      <c r="L57">
        <v>0.74</v>
      </c>
      <c r="M57">
        <v>0.15</v>
      </c>
      <c r="N57">
        <v>0.09</v>
      </c>
      <c r="O57">
        <v>0.03</v>
      </c>
      <c r="P57">
        <v>0.47</v>
      </c>
      <c r="R57">
        <f t="shared" ref="R57:AB57" si="33">F57/100*$E$57</f>
        <v>22569.03</v>
      </c>
      <c r="S57">
        <f t="shared" si="33"/>
        <v>2355.69</v>
      </c>
      <c r="T57">
        <f t="shared" si="33"/>
        <v>0</v>
      </c>
      <c r="U57">
        <f t="shared" si="33"/>
        <v>607.91999999999996</v>
      </c>
      <c r="V57">
        <f t="shared" si="33"/>
        <v>171864.05</v>
      </c>
      <c r="W57">
        <f t="shared" si="33"/>
        <v>52154.47</v>
      </c>
      <c r="X57">
        <f t="shared" si="33"/>
        <v>1874.42</v>
      </c>
      <c r="Y57">
        <f t="shared" si="33"/>
        <v>379.95</v>
      </c>
      <c r="Z57">
        <f t="shared" si="33"/>
        <v>227.97</v>
      </c>
      <c r="AA57">
        <f t="shared" si="33"/>
        <v>75.989999999999995</v>
      </c>
      <c r="AB57">
        <f t="shared" si="33"/>
        <v>1190.5099999999998</v>
      </c>
    </row>
    <row r="59" spans="2:28" x14ac:dyDescent="0.3">
      <c r="Q59">
        <f>SUM(R59:AB59)</f>
        <v>245100</v>
      </c>
      <c r="R59">
        <v>32720</v>
      </c>
      <c r="S59">
        <v>179658</v>
      </c>
      <c r="T59">
        <v>0</v>
      </c>
      <c r="U59">
        <v>74</v>
      </c>
      <c r="V59">
        <v>17868</v>
      </c>
      <c r="W59">
        <v>1765</v>
      </c>
      <c r="X59">
        <v>12868</v>
      </c>
      <c r="Y59">
        <v>98</v>
      </c>
      <c r="Z59">
        <v>0</v>
      </c>
      <c r="AA59">
        <v>49</v>
      </c>
      <c r="AB59">
        <v>0</v>
      </c>
    </row>
    <row r="60" spans="2:28" x14ac:dyDescent="0.3">
      <c r="Q60">
        <f>SUM(R60:AB60)</f>
        <v>120200</v>
      </c>
      <c r="R60">
        <v>58586</v>
      </c>
      <c r="S60">
        <v>17633</v>
      </c>
      <c r="T60">
        <v>17621</v>
      </c>
      <c r="U60">
        <v>0</v>
      </c>
      <c r="V60">
        <v>8558</v>
      </c>
      <c r="W60">
        <v>8438</v>
      </c>
      <c r="X60">
        <v>8763</v>
      </c>
      <c r="Y60">
        <v>24</v>
      </c>
      <c r="Z60">
        <v>36</v>
      </c>
      <c r="AA60">
        <v>409</v>
      </c>
      <c r="AB60">
        <v>132</v>
      </c>
    </row>
    <row r="61" spans="2:28" x14ac:dyDescent="0.3">
      <c r="Q61">
        <f>SUM(R61:AB61)</f>
        <v>102700</v>
      </c>
      <c r="R61">
        <v>17643</v>
      </c>
      <c r="S61">
        <v>59545</v>
      </c>
      <c r="T61">
        <v>10527</v>
      </c>
      <c r="U61">
        <v>0</v>
      </c>
      <c r="V61">
        <v>4262</v>
      </c>
      <c r="W61">
        <v>6912</v>
      </c>
      <c r="X61">
        <v>2403</v>
      </c>
      <c r="Y61">
        <v>421</v>
      </c>
      <c r="Z61">
        <v>21</v>
      </c>
      <c r="AA61">
        <v>822</v>
      </c>
      <c r="AB61">
        <v>144</v>
      </c>
    </row>
    <row r="62" spans="2:28" x14ac:dyDescent="0.3">
      <c r="Q62">
        <f>SUM(R62:AB62)</f>
        <v>253300</v>
      </c>
      <c r="R62">
        <v>22569</v>
      </c>
      <c r="S62">
        <v>2356</v>
      </c>
      <c r="T62">
        <v>0</v>
      </c>
      <c r="U62">
        <v>608</v>
      </c>
      <c r="V62">
        <v>171864</v>
      </c>
      <c r="W62">
        <v>52154</v>
      </c>
      <c r="X62">
        <v>1874</v>
      </c>
      <c r="Y62">
        <v>380</v>
      </c>
      <c r="Z62">
        <v>228</v>
      </c>
      <c r="AA62">
        <v>76</v>
      </c>
      <c r="AB62">
        <v>1191</v>
      </c>
    </row>
    <row r="66" spans="4:18" x14ac:dyDescent="0.3">
      <c r="D66" s="1" t="s">
        <v>188</v>
      </c>
      <c r="E66" s="1" t="s">
        <v>1</v>
      </c>
      <c r="F66" s="1" t="s">
        <v>0</v>
      </c>
      <c r="G66" s="1" t="s">
        <v>199</v>
      </c>
      <c r="H66" s="1" t="s">
        <v>37</v>
      </c>
      <c r="I66" s="1" t="s">
        <v>36</v>
      </c>
      <c r="J66" s="1" t="s">
        <v>38</v>
      </c>
      <c r="K66" s="1" t="s">
        <v>39</v>
      </c>
      <c r="L66" s="1" t="s">
        <v>41</v>
      </c>
      <c r="M66" s="1" t="s">
        <v>48</v>
      </c>
      <c r="N66" s="1" t="s">
        <v>47</v>
      </c>
      <c r="O66" s="1" t="s">
        <v>79</v>
      </c>
      <c r="P66" s="1" t="s">
        <v>52</v>
      </c>
      <c r="Q66" s="1" t="s">
        <v>50</v>
      </c>
      <c r="R66" s="1" t="s">
        <v>42</v>
      </c>
    </row>
    <row r="67" spans="4:18" x14ac:dyDescent="0.3">
      <c r="D67" t="s">
        <v>117</v>
      </c>
      <c r="E67" t="s">
        <v>2</v>
      </c>
      <c r="F67" t="s">
        <v>2</v>
      </c>
      <c r="G67">
        <v>324000</v>
      </c>
    </row>
    <row r="68" spans="4:18" x14ac:dyDescent="0.3">
      <c r="D68" t="s">
        <v>131</v>
      </c>
      <c r="E68" t="s">
        <v>121</v>
      </c>
      <c r="F68" t="s">
        <v>3</v>
      </c>
      <c r="G68">
        <v>214600</v>
      </c>
      <c r="H68">
        <v>31902</v>
      </c>
      <c r="I68">
        <v>150470</v>
      </c>
      <c r="J68">
        <v>0</v>
      </c>
      <c r="K68">
        <v>66</v>
      </c>
      <c r="L68">
        <v>17710</v>
      </c>
      <c r="M68">
        <v>1764</v>
      </c>
      <c r="N68">
        <v>12557</v>
      </c>
      <c r="O68">
        <v>87</v>
      </c>
      <c r="P68">
        <v>0</v>
      </c>
      <c r="Q68">
        <v>44</v>
      </c>
      <c r="R68">
        <v>0</v>
      </c>
    </row>
    <row r="69" spans="4:18" x14ac:dyDescent="0.3">
      <c r="D69" t="s">
        <v>120</v>
      </c>
      <c r="E69" t="s">
        <v>121</v>
      </c>
      <c r="F69" t="s">
        <v>4</v>
      </c>
      <c r="G69">
        <v>30500</v>
      </c>
      <c r="H69">
        <v>818</v>
      </c>
      <c r="I69">
        <v>29188</v>
      </c>
      <c r="J69">
        <v>0</v>
      </c>
      <c r="K69">
        <v>8</v>
      </c>
      <c r="L69">
        <v>158</v>
      </c>
      <c r="M69">
        <v>1</v>
      </c>
      <c r="N69">
        <v>311</v>
      </c>
      <c r="O69">
        <v>11</v>
      </c>
      <c r="P69">
        <v>0</v>
      </c>
      <c r="Q69">
        <v>5</v>
      </c>
      <c r="R69">
        <v>0</v>
      </c>
    </row>
    <row r="70" spans="4:18" x14ac:dyDescent="0.3">
      <c r="D70" t="s">
        <v>154</v>
      </c>
      <c r="E70" t="s">
        <v>6</v>
      </c>
      <c r="F70" t="s">
        <v>6</v>
      </c>
      <c r="G70">
        <v>341700</v>
      </c>
    </row>
    <row r="71" spans="4:18" x14ac:dyDescent="0.3">
      <c r="D71" t="s">
        <v>166</v>
      </c>
      <c r="E71" t="s">
        <v>152</v>
      </c>
      <c r="F71" t="s">
        <v>7</v>
      </c>
      <c r="G71">
        <v>33800</v>
      </c>
      <c r="H71">
        <v>12731</v>
      </c>
      <c r="I71">
        <v>1440</v>
      </c>
      <c r="J71">
        <v>15664</v>
      </c>
      <c r="K71">
        <v>0</v>
      </c>
      <c r="L71">
        <v>568</v>
      </c>
      <c r="M71">
        <v>2843</v>
      </c>
      <c r="N71">
        <v>397</v>
      </c>
      <c r="O71">
        <v>6</v>
      </c>
      <c r="P71">
        <v>9</v>
      </c>
      <c r="Q71">
        <v>107</v>
      </c>
      <c r="R71">
        <v>35</v>
      </c>
    </row>
    <row r="72" spans="4:18" x14ac:dyDescent="0.3">
      <c r="D72" t="s">
        <v>161</v>
      </c>
      <c r="E72" t="s">
        <v>152</v>
      </c>
      <c r="F72" t="s">
        <v>8</v>
      </c>
      <c r="G72">
        <v>86400</v>
      </c>
      <c r="H72">
        <v>45855</v>
      </c>
      <c r="I72">
        <v>16193</v>
      </c>
      <c r="J72">
        <v>1957</v>
      </c>
      <c r="K72">
        <v>0</v>
      </c>
      <c r="L72">
        <v>7990</v>
      </c>
      <c r="M72">
        <v>5595</v>
      </c>
      <c r="N72">
        <v>8366</v>
      </c>
      <c r="O72">
        <v>18</v>
      </c>
      <c r="P72">
        <v>27</v>
      </c>
      <c r="Q72">
        <v>302</v>
      </c>
      <c r="R72">
        <v>97</v>
      </c>
    </row>
    <row r="73" spans="4:18" x14ac:dyDescent="0.3">
      <c r="D73" t="s">
        <v>151</v>
      </c>
      <c r="E73" t="s">
        <v>152</v>
      </c>
      <c r="F73" t="s">
        <v>9</v>
      </c>
      <c r="G73">
        <v>177400</v>
      </c>
    </row>
    <row r="74" spans="4:18" x14ac:dyDescent="0.3">
      <c r="D74" t="s">
        <v>186</v>
      </c>
      <c r="E74" t="s">
        <v>173</v>
      </c>
      <c r="F74" t="s">
        <v>19</v>
      </c>
      <c r="G74">
        <v>96200</v>
      </c>
    </row>
    <row r="75" spans="4:18" x14ac:dyDescent="0.3">
      <c r="D75" t="s">
        <v>177</v>
      </c>
      <c r="E75" t="s">
        <v>173</v>
      </c>
      <c r="F75" t="s">
        <v>20</v>
      </c>
      <c r="G75">
        <v>28700</v>
      </c>
      <c r="H75">
        <v>13500</v>
      </c>
      <c r="I75">
        <v>3128</v>
      </c>
      <c r="J75">
        <v>9107</v>
      </c>
      <c r="K75">
        <v>0</v>
      </c>
      <c r="L75">
        <v>284</v>
      </c>
      <c r="M75">
        <v>2071</v>
      </c>
      <c r="N75">
        <v>189</v>
      </c>
      <c r="O75">
        <v>126</v>
      </c>
      <c r="P75">
        <v>6</v>
      </c>
      <c r="Q75">
        <v>246</v>
      </c>
      <c r="R75">
        <v>43</v>
      </c>
    </row>
    <row r="76" spans="4:18" x14ac:dyDescent="0.3">
      <c r="D76" t="s">
        <v>180</v>
      </c>
      <c r="E76" t="s">
        <v>173</v>
      </c>
      <c r="F76" t="s">
        <v>21</v>
      </c>
      <c r="G76">
        <v>74000</v>
      </c>
      <c r="H76">
        <v>4143</v>
      </c>
      <c r="I76">
        <v>56417</v>
      </c>
      <c r="J76">
        <v>1420</v>
      </c>
      <c r="K76">
        <v>0</v>
      </c>
      <c r="L76">
        <v>3978</v>
      </c>
      <c r="M76">
        <v>4841</v>
      </c>
      <c r="N76">
        <v>2214</v>
      </c>
      <c r="O76">
        <v>295</v>
      </c>
      <c r="P76">
        <v>15</v>
      </c>
      <c r="Q76">
        <v>576</v>
      </c>
      <c r="R76">
        <v>101</v>
      </c>
    </row>
    <row r="77" spans="4:18" x14ac:dyDescent="0.3">
      <c r="D77" t="s">
        <v>175</v>
      </c>
      <c r="E77" t="s">
        <v>173</v>
      </c>
      <c r="F77" t="s">
        <v>22</v>
      </c>
      <c r="G77">
        <v>180200</v>
      </c>
    </row>
    <row r="78" spans="4:18" x14ac:dyDescent="0.3">
      <c r="D78" t="s">
        <v>143</v>
      </c>
      <c r="E78" t="s">
        <v>13</v>
      </c>
      <c r="F78" t="s">
        <v>11</v>
      </c>
      <c r="G78">
        <v>129500</v>
      </c>
    </row>
    <row r="79" spans="4:18" x14ac:dyDescent="0.3">
      <c r="D79" t="s">
        <v>146</v>
      </c>
      <c r="E79" t="s">
        <v>13</v>
      </c>
      <c r="F79" t="s">
        <v>12</v>
      </c>
      <c r="G79">
        <v>260500</v>
      </c>
    </row>
    <row r="80" spans="4:18" x14ac:dyDescent="0.3">
      <c r="D80" t="s">
        <v>158</v>
      </c>
      <c r="E80" t="s">
        <v>15</v>
      </c>
      <c r="F80" t="s">
        <v>14</v>
      </c>
      <c r="G80">
        <v>300800</v>
      </c>
    </row>
    <row r="81" spans="4:18" x14ac:dyDescent="0.3">
      <c r="D81" t="s">
        <v>156</v>
      </c>
      <c r="E81" t="s">
        <v>15</v>
      </c>
      <c r="F81" t="s">
        <v>16</v>
      </c>
      <c r="G81">
        <v>553800</v>
      </c>
    </row>
    <row r="82" spans="4:18" x14ac:dyDescent="0.3">
      <c r="D82" t="s">
        <v>163</v>
      </c>
      <c r="E82" t="s">
        <v>15</v>
      </c>
      <c r="F82" t="s">
        <v>17</v>
      </c>
      <c r="G82">
        <v>277000</v>
      </c>
    </row>
    <row r="83" spans="4:18" x14ac:dyDescent="0.3">
      <c r="D83" t="s">
        <v>149</v>
      </c>
      <c r="E83" t="s">
        <v>15</v>
      </c>
      <c r="F83" t="s">
        <v>18</v>
      </c>
      <c r="G83">
        <v>511000</v>
      </c>
    </row>
    <row r="84" spans="4:18" x14ac:dyDescent="0.3">
      <c r="D84" t="s">
        <v>137</v>
      </c>
      <c r="E84" t="s">
        <v>125</v>
      </c>
      <c r="F84" t="s">
        <v>23</v>
      </c>
      <c r="G84">
        <v>58900</v>
      </c>
      <c r="H84">
        <v>1401</v>
      </c>
      <c r="I84">
        <v>404</v>
      </c>
      <c r="J84">
        <v>0</v>
      </c>
      <c r="K84">
        <v>104</v>
      </c>
      <c r="L84">
        <v>52234</v>
      </c>
      <c r="M84">
        <v>3465</v>
      </c>
      <c r="N84">
        <v>971</v>
      </c>
      <c r="O84">
        <v>65</v>
      </c>
      <c r="P84">
        <v>39</v>
      </c>
      <c r="Q84">
        <v>13</v>
      </c>
      <c r="R84">
        <v>204</v>
      </c>
    </row>
    <row r="85" spans="4:18" x14ac:dyDescent="0.3">
      <c r="D85" t="s">
        <v>140</v>
      </c>
      <c r="E85" t="s">
        <v>125</v>
      </c>
      <c r="F85" t="s">
        <v>24</v>
      </c>
      <c r="G85">
        <v>22100</v>
      </c>
      <c r="H85">
        <v>117</v>
      </c>
      <c r="I85">
        <v>135</v>
      </c>
      <c r="J85">
        <v>0</v>
      </c>
      <c r="K85">
        <v>35</v>
      </c>
      <c r="L85">
        <v>21198</v>
      </c>
      <c r="M85">
        <v>346</v>
      </c>
      <c r="N85">
        <v>162</v>
      </c>
      <c r="O85">
        <v>22</v>
      </c>
      <c r="P85">
        <v>13</v>
      </c>
      <c r="Q85">
        <v>4</v>
      </c>
      <c r="R85">
        <v>68</v>
      </c>
    </row>
    <row r="86" spans="4:18" x14ac:dyDescent="0.3">
      <c r="D86" t="s">
        <v>134</v>
      </c>
      <c r="E86" t="s">
        <v>125</v>
      </c>
      <c r="F86" t="s">
        <v>25</v>
      </c>
      <c r="G86">
        <v>84600</v>
      </c>
      <c r="H86">
        <v>15870</v>
      </c>
      <c r="I86">
        <v>1220</v>
      </c>
      <c r="J86">
        <v>0</v>
      </c>
      <c r="K86">
        <v>315</v>
      </c>
      <c r="L86">
        <v>21044</v>
      </c>
      <c r="M86">
        <v>44447</v>
      </c>
      <c r="N86">
        <v>733</v>
      </c>
      <c r="O86">
        <v>197</v>
      </c>
      <c r="P86">
        <v>118</v>
      </c>
      <c r="Q86">
        <v>39</v>
      </c>
      <c r="R86">
        <v>617</v>
      </c>
    </row>
    <row r="87" spans="4:18" x14ac:dyDescent="0.3">
      <c r="D87" t="s">
        <v>124</v>
      </c>
      <c r="E87" t="s">
        <v>125</v>
      </c>
      <c r="F87" t="s">
        <v>26</v>
      </c>
      <c r="G87">
        <v>140800</v>
      </c>
      <c r="H87">
        <v>5182</v>
      </c>
      <c r="I87">
        <v>597</v>
      </c>
      <c r="J87">
        <v>0</v>
      </c>
      <c r="K87">
        <v>154</v>
      </c>
      <c r="L87">
        <v>77388</v>
      </c>
      <c r="M87">
        <v>3897</v>
      </c>
      <c r="N87">
        <v>7</v>
      </c>
      <c r="O87">
        <v>96</v>
      </c>
      <c r="P87">
        <v>58</v>
      </c>
      <c r="Q87">
        <v>19</v>
      </c>
      <c r="R87">
        <v>302</v>
      </c>
    </row>
    <row r="88" spans="4:18" x14ac:dyDescent="0.3">
      <c r="D88" t="s">
        <v>127</v>
      </c>
      <c r="E88" t="s">
        <v>125</v>
      </c>
      <c r="F88" t="s">
        <v>27</v>
      </c>
      <c r="G88">
        <v>243800</v>
      </c>
    </row>
    <row r="89" spans="4:18" x14ac:dyDescent="0.3">
      <c r="D89" t="s">
        <v>129</v>
      </c>
      <c r="E89" t="s">
        <v>125</v>
      </c>
      <c r="F89" t="s">
        <v>28</v>
      </c>
      <c r="G89">
        <v>87700</v>
      </c>
    </row>
    <row r="90" spans="4:18" x14ac:dyDescent="0.3">
      <c r="D90" t="s">
        <v>168</v>
      </c>
      <c r="E90" t="s">
        <v>169</v>
      </c>
      <c r="F90" t="s">
        <v>31</v>
      </c>
      <c r="G90">
        <v>32100</v>
      </c>
    </row>
    <row r="91" spans="4:18" x14ac:dyDescent="0.3">
      <c r="D91" t="s">
        <v>172</v>
      </c>
      <c r="E91" t="s">
        <v>169</v>
      </c>
      <c r="F91" t="s">
        <v>30</v>
      </c>
      <c r="G91">
        <v>296600</v>
      </c>
    </row>
    <row r="92" spans="4:18" x14ac:dyDescent="0.3">
      <c r="D92" t="s">
        <v>183</v>
      </c>
      <c r="E92" t="s">
        <v>169</v>
      </c>
      <c r="F92" t="s">
        <v>32</v>
      </c>
      <c r="G92">
        <v>255700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25D1A-705B-4F78-BF0E-ED6F9822098F}">
  <dimension ref="A1:AD56"/>
  <sheetViews>
    <sheetView workbookViewId="0">
      <selection activeCell="AD30" sqref="Q1:AD30"/>
    </sheetView>
  </sheetViews>
  <sheetFormatPr defaultRowHeight="14.4" x14ac:dyDescent="0.3"/>
  <sheetData>
    <row r="1" spans="1:30" s="1" customFormat="1" x14ac:dyDescent="0.3">
      <c r="A1" s="1" t="s">
        <v>188</v>
      </c>
      <c r="B1" s="1" t="s">
        <v>1</v>
      </c>
      <c r="C1" s="1" t="s">
        <v>0</v>
      </c>
      <c r="D1" s="1" t="s">
        <v>199</v>
      </c>
      <c r="E1" s="1" t="s">
        <v>37</v>
      </c>
      <c r="F1" s="1" t="s">
        <v>36</v>
      </c>
      <c r="G1" s="1" t="s">
        <v>38</v>
      </c>
      <c r="H1" s="1" t="s">
        <v>39</v>
      </c>
      <c r="I1" s="1" t="s">
        <v>41</v>
      </c>
      <c r="J1" s="1" t="s">
        <v>48</v>
      </c>
      <c r="K1" s="1" t="s">
        <v>47</v>
      </c>
      <c r="L1" s="1" t="s">
        <v>79</v>
      </c>
      <c r="M1" s="1" t="s">
        <v>52</v>
      </c>
      <c r="N1" s="1" t="s">
        <v>50</v>
      </c>
      <c r="O1" s="1" t="s">
        <v>42</v>
      </c>
      <c r="Q1" s="1" t="s">
        <v>1</v>
      </c>
      <c r="R1" s="1" t="s">
        <v>0</v>
      </c>
      <c r="S1" s="1" t="s">
        <v>35</v>
      </c>
      <c r="T1" s="1" t="s">
        <v>37</v>
      </c>
      <c r="U1" s="1" t="s">
        <v>36</v>
      </c>
      <c r="V1" s="1" t="s">
        <v>38</v>
      </c>
      <c r="W1" s="1" t="s">
        <v>39</v>
      </c>
      <c r="X1" s="1" t="s">
        <v>41</v>
      </c>
      <c r="Y1" s="1" t="s">
        <v>48</v>
      </c>
      <c r="Z1" s="1" t="s">
        <v>47</v>
      </c>
      <c r="AA1" s="1" t="s">
        <v>79</v>
      </c>
      <c r="AB1" s="1" t="s">
        <v>52</v>
      </c>
      <c r="AC1" s="1" t="s">
        <v>50</v>
      </c>
      <c r="AD1" s="1" t="s">
        <v>42</v>
      </c>
    </row>
    <row r="2" spans="1:30" x14ac:dyDescent="0.3">
      <c r="A2" t="s">
        <v>117</v>
      </c>
      <c r="B2" t="s">
        <v>2</v>
      </c>
      <c r="C2" t="s">
        <v>2</v>
      </c>
      <c r="D2">
        <v>324000</v>
      </c>
      <c r="Q2" t="s">
        <v>2</v>
      </c>
      <c r="R2" t="s">
        <v>2</v>
      </c>
      <c r="S2">
        <v>324000</v>
      </c>
      <c r="T2">
        <v>219511</v>
      </c>
      <c r="U2">
        <v>3434</v>
      </c>
      <c r="V2">
        <v>0</v>
      </c>
      <c r="W2">
        <v>16265</v>
      </c>
      <c r="X2">
        <v>34927</v>
      </c>
      <c r="Y2">
        <v>46948</v>
      </c>
      <c r="Z2">
        <v>2009</v>
      </c>
      <c r="AA2">
        <v>32</v>
      </c>
      <c r="AB2">
        <v>32</v>
      </c>
      <c r="AC2">
        <v>842</v>
      </c>
      <c r="AD2">
        <v>0</v>
      </c>
    </row>
    <row r="3" spans="1:30" x14ac:dyDescent="0.3">
      <c r="A3" t="s">
        <v>131</v>
      </c>
      <c r="B3" t="s">
        <v>121</v>
      </c>
      <c r="C3" t="s">
        <v>3</v>
      </c>
      <c r="D3">
        <v>214600</v>
      </c>
      <c r="E3">
        <v>31902</v>
      </c>
      <c r="F3">
        <v>150470</v>
      </c>
      <c r="G3">
        <v>0</v>
      </c>
      <c r="H3">
        <v>66</v>
      </c>
      <c r="I3">
        <v>17710</v>
      </c>
      <c r="J3">
        <v>1764</v>
      </c>
      <c r="K3">
        <v>12557</v>
      </c>
      <c r="L3">
        <v>87</v>
      </c>
      <c r="M3">
        <v>0</v>
      </c>
      <c r="N3">
        <v>44</v>
      </c>
      <c r="O3">
        <v>0</v>
      </c>
      <c r="Q3" t="s">
        <v>5</v>
      </c>
      <c r="R3" t="s">
        <v>3</v>
      </c>
      <c r="S3">
        <v>214600</v>
      </c>
      <c r="T3">
        <v>31902</v>
      </c>
      <c r="U3">
        <v>150470</v>
      </c>
      <c r="V3">
        <v>0</v>
      </c>
      <c r="W3">
        <v>66</v>
      </c>
      <c r="X3">
        <v>17710</v>
      </c>
      <c r="Y3">
        <v>1764</v>
      </c>
      <c r="Z3">
        <v>12557</v>
      </c>
      <c r="AA3">
        <v>87</v>
      </c>
      <c r="AB3">
        <v>0</v>
      </c>
      <c r="AC3">
        <v>44</v>
      </c>
      <c r="AD3">
        <v>0</v>
      </c>
    </row>
    <row r="4" spans="1:30" x14ac:dyDescent="0.3">
      <c r="A4" t="s">
        <v>120</v>
      </c>
      <c r="B4" t="s">
        <v>121</v>
      </c>
      <c r="C4" t="s">
        <v>4</v>
      </c>
      <c r="D4">
        <v>30500</v>
      </c>
      <c r="E4">
        <v>818</v>
      </c>
      <c r="F4">
        <v>29188</v>
      </c>
      <c r="G4">
        <v>0</v>
      </c>
      <c r="H4">
        <v>8</v>
      </c>
      <c r="I4">
        <v>158</v>
      </c>
      <c r="J4">
        <v>1</v>
      </c>
      <c r="K4">
        <v>311</v>
      </c>
      <c r="L4">
        <v>11</v>
      </c>
      <c r="M4">
        <v>0</v>
      </c>
      <c r="N4">
        <v>5</v>
      </c>
      <c r="O4">
        <v>0</v>
      </c>
      <c r="Q4" t="s">
        <v>5</v>
      </c>
      <c r="R4" t="s">
        <v>4</v>
      </c>
      <c r="S4">
        <v>30500</v>
      </c>
      <c r="T4">
        <v>818</v>
      </c>
      <c r="U4">
        <v>29188</v>
      </c>
      <c r="V4">
        <v>0</v>
      </c>
      <c r="W4">
        <v>8</v>
      </c>
      <c r="X4">
        <v>158</v>
      </c>
      <c r="Y4">
        <v>1</v>
      </c>
      <c r="Z4">
        <v>311</v>
      </c>
      <c r="AA4">
        <v>11</v>
      </c>
      <c r="AB4">
        <v>0</v>
      </c>
      <c r="AC4">
        <v>5</v>
      </c>
      <c r="AD4">
        <v>0</v>
      </c>
    </row>
    <row r="5" spans="1:30" x14ac:dyDescent="0.3">
      <c r="A5" t="s">
        <v>154</v>
      </c>
      <c r="B5" t="s">
        <v>6</v>
      </c>
      <c r="C5" t="s">
        <v>6</v>
      </c>
      <c r="D5">
        <v>341700</v>
      </c>
      <c r="Q5" t="s">
        <v>6</v>
      </c>
      <c r="R5" t="s">
        <v>66</v>
      </c>
      <c r="S5">
        <v>120200</v>
      </c>
      <c r="T5">
        <v>11924</v>
      </c>
      <c r="U5">
        <v>2428</v>
      </c>
      <c r="V5">
        <v>337</v>
      </c>
      <c r="W5">
        <v>120</v>
      </c>
      <c r="X5">
        <v>15830</v>
      </c>
      <c r="Y5">
        <v>23090</v>
      </c>
      <c r="Z5">
        <v>11804</v>
      </c>
      <c r="AA5">
        <v>33812</v>
      </c>
      <c r="AB5">
        <v>6671</v>
      </c>
      <c r="AC5">
        <v>3438</v>
      </c>
      <c r="AD5">
        <v>10746</v>
      </c>
    </row>
    <row r="6" spans="1:30" x14ac:dyDescent="0.3">
      <c r="A6" t="s">
        <v>166</v>
      </c>
      <c r="B6" t="s">
        <v>152</v>
      </c>
      <c r="C6" t="s">
        <v>7</v>
      </c>
      <c r="D6">
        <v>33800</v>
      </c>
      <c r="E6">
        <v>12731</v>
      </c>
      <c r="F6">
        <v>1440</v>
      </c>
      <c r="G6">
        <v>15664</v>
      </c>
      <c r="H6">
        <v>0</v>
      </c>
      <c r="I6">
        <v>568</v>
      </c>
      <c r="J6">
        <v>2843</v>
      </c>
      <c r="K6">
        <v>397</v>
      </c>
      <c r="L6">
        <v>6</v>
      </c>
      <c r="M6">
        <v>9</v>
      </c>
      <c r="N6">
        <v>107</v>
      </c>
      <c r="O6">
        <v>35</v>
      </c>
      <c r="Q6" t="s">
        <v>6</v>
      </c>
      <c r="R6" t="s">
        <v>67</v>
      </c>
      <c r="S6">
        <v>221500</v>
      </c>
      <c r="T6">
        <v>138018</v>
      </c>
      <c r="U6">
        <v>45806</v>
      </c>
      <c r="V6">
        <v>3433</v>
      </c>
      <c r="W6">
        <v>66</v>
      </c>
      <c r="X6">
        <v>4053</v>
      </c>
      <c r="Y6">
        <v>10964</v>
      </c>
      <c r="Z6">
        <v>3544</v>
      </c>
      <c r="AA6">
        <v>3588</v>
      </c>
      <c r="AB6">
        <v>997</v>
      </c>
      <c r="AC6">
        <v>1750</v>
      </c>
      <c r="AD6">
        <v>9281</v>
      </c>
    </row>
    <row r="7" spans="1:30" x14ac:dyDescent="0.3">
      <c r="A7" t="s">
        <v>161</v>
      </c>
      <c r="B7" t="s">
        <v>152</v>
      </c>
      <c r="C7" t="s">
        <v>8</v>
      </c>
      <c r="D7">
        <v>86400</v>
      </c>
      <c r="E7">
        <v>45855</v>
      </c>
      <c r="F7">
        <v>16193</v>
      </c>
      <c r="G7">
        <v>1957</v>
      </c>
      <c r="H7">
        <v>0</v>
      </c>
      <c r="I7">
        <v>7990</v>
      </c>
      <c r="J7">
        <v>5595</v>
      </c>
      <c r="K7">
        <v>8366</v>
      </c>
      <c r="L7">
        <v>18</v>
      </c>
      <c r="M7">
        <v>27</v>
      </c>
      <c r="N7">
        <v>302</v>
      </c>
      <c r="O7">
        <v>97</v>
      </c>
      <c r="Q7" t="s">
        <v>10</v>
      </c>
      <c r="R7" t="s">
        <v>7</v>
      </c>
      <c r="S7">
        <v>33800</v>
      </c>
      <c r="T7">
        <v>12731</v>
      </c>
      <c r="U7">
        <v>1440</v>
      </c>
      <c r="V7">
        <v>15664</v>
      </c>
      <c r="W7">
        <v>0</v>
      </c>
      <c r="X7">
        <v>568</v>
      </c>
      <c r="Y7">
        <v>2843</v>
      </c>
      <c r="Z7">
        <v>397</v>
      </c>
      <c r="AA7">
        <v>6</v>
      </c>
      <c r="AB7">
        <v>9</v>
      </c>
      <c r="AC7">
        <v>107</v>
      </c>
      <c r="AD7">
        <v>35</v>
      </c>
    </row>
    <row r="8" spans="1:30" x14ac:dyDescent="0.3">
      <c r="A8" t="s">
        <v>151</v>
      </c>
      <c r="B8" t="s">
        <v>152</v>
      </c>
      <c r="C8" t="s">
        <v>9</v>
      </c>
      <c r="D8">
        <v>177400</v>
      </c>
      <c r="Q8" t="s">
        <v>10</v>
      </c>
      <c r="R8" t="s">
        <v>8</v>
      </c>
      <c r="S8">
        <v>86400</v>
      </c>
      <c r="T8">
        <v>45855</v>
      </c>
      <c r="U8">
        <v>16193</v>
      </c>
      <c r="V8">
        <v>1957</v>
      </c>
      <c r="W8">
        <v>0</v>
      </c>
      <c r="X8">
        <v>7990</v>
      </c>
      <c r="Y8">
        <v>5595</v>
      </c>
      <c r="Z8">
        <v>8366</v>
      </c>
      <c r="AA8">
        <v>18</v>
      </c>
      <c r="AB8">
        <v>27</v>
      </c>
      <c r="AC8">
        <v>302</v>
      </c>
      <c r="AD8">
        <v>97</v>
      </c>
    </row>
    <row r="9" spans="1:30" x14ac:dyDescent="0.3">
      <c r="A9" t="s">
        <v>186</v>
      </c>
      <c r="B9" t="s">
        <v>173</v>
      </c>
      <c r="C9" t="s">
        <v>19</v>
      </c>
      <c r="D9">
        <v>96200</v>
      </c>
      <c r="Q9" t="s">
        <v>10</v>
      </c>
      <c r="R9" t="s">
        <v>9</v>
      </c>
      <c r="S9">
        <v>177400</v>
      </c>
      <c r="T9">
        <v>50843</v>
      </c>
      <c r="U9">
        <v>28437</v>
      </c>
      <c r="V9">
        <v>940</v>
      </c>
      <c r="W9">
        <v>0</v>
      </c>
      <c r="X9">
        <v>27657</v>
      </c>
      <c r="Y9">
        <v>16800</v>
      </c>
      <c r="Z9">
        <v>32943</v>
      </c>
      <c r="AA9">
        <v>8728</v>
      </c>
      <c r="AB9">
        <v>1880</v>
      </c>
      <c r="AC9">
        <v>1366</v>
      </c>
      <c r="AD9">
        <v>7806</v>
      </c>
    </row>
    <row r="10" spans="1:30" x14ac:dyDescent="0.3">
      <c r="A10" t="s">
        <v>177</v>
      </c>
      <c r="B10" t="s">
        <v>173</v>
      </c>
      <c r="C10" t="s">
        <v>20</v>
      </c>
      <c r="D10">
        <v>28700</v>
      </c>
      <c r="E10">
        <v>13500</v>
      </c>
      <c r="F10">
        <v>3128</v>
      </c>
      <c r="G10">
        <v>9107</v>
      </c>
      <c r="H10">
        <v>0</v>
      </c>
      <c r="I10">
        <v>284</v>
      </c>
      <c r="J10">
        <v>2071</v>
      </c>
      <c r="K10">
        <v>189</v>
      </c>
      <c r="L10">
        <v>126</v>
      </c>
      <c r="M10">
        <v>6</v>
      </c>
      <c r="N10">
        <v>246</v>
      </c>
      <c r="O10">
        <v>43</v>
      </c>
      <c r="Q10" t="s">
        <v>13</v>
      </c>
      <c r="R10" t="s">
        <v>11</v>
      </c>
      <c r="S10">
        <v>129500</v>
      </c>
      <c r="T10">
        <v>3392</v>
      </c>
      <c r="U10">
        <v>27428</v>
      </c>
      <c r="V10">
        <v>0</v>
      </c>
      <c r="W10">
        <v>39</v>
      </c>
      <c r="X10">
        <v>92593</v>
      </c>
      <c r="Y10">
        <v>3989</v>
      </c>
      <c r="Z10">
        <v>518</v>
      </c>
      <c r="AA10">
        <v>1049</v>
      </c>
      <c r="AB10">
        <v>130</v>
      </c>
      <c r="AC10">
        <v>155</v>
      </c>
      <c r="AD10">
        <v>207</v>
      </c>
    </row>
    <row r="11" spans="1:30" x14ac:dyDescent="0.3">
      <c r="A11" t="s">
        <v>180</v>
      </c>
      <c r="B11" t="s">
        <v>173</v>
      </c>
      <c r="C11" t="s">
        <v>21</v>
      </c>
      <c r="D11">
        <v>74000</v>
      </c>
      <c r="E11">
        <v>4143</v>
      </c>
      <c r="F11">
        <v>56417</v>
      </c>
      <c r="G11">
        <v>1420</v>
      </c>
      <c r="H11">
        <v>0</v>
      </c>
      <c r="I11">
        <v>3978</v>
      </c>
      <c r="J11">
        <v>4841</v>
      </c>
      <c r="K11">
        <v>2214</v>
      </c>
      <c r="L11">
        <v>295</v>
      </c>
      <c r="M11">
        <v>15</v>
      </c>
      <c r="N11">
        <v>576</v>
      </c>
      <c r="O11">
        <v>101</v>
      </c>
      <c r="Q11" t="s">
        <v>13</v>
      </c>
      <c r="R11" t="s">
        <v>12</v>
      </c>
      <c r="S11">
        <v>260500</v>
      </c>
      <c r="T11">
        <v>651</v>
      </c>
      <c r="U11">
        <v>4689</v>
      </c>
      <c r="V11">
        <v>26</v>
      </c>
      <c r="W11">
        <v>26</v>
      </c>
      <c r="X11">
        <v>240077</v>
      </c>
      <c r="Y11">
        <v>2318</v>
      </c>
      <c r="Z11">
        <v>5575</v>
      </c>
      <c r="AA11">
        <v>1876</v>
      </c>
      <c r="AB11">
        <v>1719</v>
      </c>
      <c r="AC11">
        <v>287</v>
      </c>
      <c r="AD11">
        <v>3256</v>
      </c>
    </row>
    <row r="12" spans="1:30" x14ac:dyDescent="0.3">
      <c r="A12" t="s">
        <v>175</v>
      </c>
      <c r="B12" t="s">
        <v>173</v>
      </c>
      <c r="C12" t="s">
        <v>22</v>
      </c>
      <c r="D12">
        <v>180200</v>
      </c>
      <c r="Q12" t="s">
        <v>15</v>
      </c>
      <c r="R12" t="s">
        <v>14</v>
      </c>
      <c r="S12">
        <v>300800</v>
      </c>
      <c r="T12">
        <v>4000</v>
      </c>
      <c r="U12">
        <v>9866</v>
      </c>
      <c r="V12">
        <v>164387</v>
      </c>
      <c r="W12">
        <v>0</v>
      </c>
      <c r="X12">
        <v>70598</v>
      </c>
      <c r="Y12">
        <v>37901</v>
      </c>
      <c r="Z12">
        <v>8994</v>
      </c>
      <c r="AA12">
        <v>1594</v>
      </c>
      <c r="AB12">
        <v>211</v>
      </c>
      <c r="AC12">
        <v>2076</v>
      </c>
      <c r="AD12">
        <v>1173</v>
      </c>
    </row>
    <row r="13" spans="1:30" x14ac:dyDescent="0.3">
      <c r="A13" t="s">
        <v>143</v>
      </c>
      <c r="B13" t="s">
        <v>13</v>
      </c>
      <c r="C13" t="s">
        <v>11</v>
      </c>
      <c r="D13">
        <v>129500</v>
      </c>
      <c r="Q13" t="s">
        <v>15</v>
      </c>
      <c r="R13" t="s">
        <v>16</v>
      </c>
      <c r="S13">
        <v>553800</v>
      </c>
      <c r="T13">
        <v>33837</v>
      </c>
      <c r="U13">
        <v>139336</v>
      </c>
      <c r="V13">
        <v>96638</v>
      </c>
      <c r="W13">
        <v>55</v>
      </c>
      <c r="X13">
        <v>200808</v>
      </c>
      <c r="Y13">
        <v>41646</v>
      </c>
      <c r="Z13">
        <v>25087</v>
      </c>
      <c r="AA13">
        <v>4763</v>
      </c>
      <c r="AB13">
        <v>2326</v>
      </c>
      <c r="AC13">
        <v>1717</v>
      </c>
      <c r="AD13">
        <v>7587</v>
      </c>
    </row>
    <row r="14" spans="1:30" x14ac:dyDescent="0.3">
      <c r="A14" t="s">
        <v>146</v>
      </c>
      <c r="B14" t="s">
        <v>13</v>
      </c>
      <c r="C14" t="s">
        <v>12</v>
      </c>
      <c r="D14">
        <v>260500</v>
      </c>
      <c r="Q14" t="s">
        <v>15</v>
      </c>
      <c r="R14" t="s">
        <v>17</v>
      </c>
      <c r="S14">
        <v>277000</v>
      </c>
      <c r="T14">
        <v>82324</v>
      </c>
      <c r="U14">
        <v>6094</v>
      </c>
      <c r="V14">
        <v>87560</v>
      </c>
      <c r="W14">
        <v>0</v>
      </c>
      <c r="X14">
        <v>79915</v>
      </c>
      <c r="Y14">
        <v>1080</v>
      </c>
      <c r="Z14">
        <v>17977</v>
      </c>
      <c r="AA14">
        <v>914</v>
      </c>
      <c r="AB14">
        <v>83</v>
      </c>
      <c r="AC14">
        <v>914</v>
      </c>
      <c r="AD14">
        <v>139</v>
      </c>
    </row>
    <row r="15" spans="1:30" x14ac:dyDescent="0.3">
      <c r="A15" t="s">
        <v>158</v>
      </c>
      <c r="B15" t="s">
        <v>15</v>
      </c>
      <c r="C15" t="s">
        <v>14</v>
      </c>
      <c r="D15">
        <v>300800</v>
      </c>
      <c r="Q15" t="s">
        <v>15</v>
      </c>
      <c r="R15" t="s">
        <v>18</v>
      </c>
      <c r="S15">
        <v>511000</v>
      </c>
      <c r="T15">
        <v>10066</v>
      </c>
      <c r="U15">
        <v>14972</v>
      </c>
      <c r="V15">
        <v>7103</v>
      </c>
      <c r="W15">
        <v>613</v>
      </c>
      <c r="X15">
        <v>229746</v>
      </c>
      <c r="Y15">
        <v>74555</v>
      </c>
      <c r="Z15">
        <v>50436</v>
      </c>
      <c r="AA15">
        <v>72051</v>
      </c>
      <c r="AB15">
        <v>19469</v>
      </c>
      <c r="AC15">
        <v>8023</v>
      </c>
      <c r="AD15">
        <v>23966</v>
      </c>
    </row>
    <row r="16" spans="1:30" x14ac:dyDescent="0.3">
      <c r="A16" t="s">
        <v>156</v>
      </c>
      <c r="B16" t="s">
        <v>15</v>
      </c>
      <c r="C16" t="s">
        <v>16</v>
      </c>
      <c r="D16">
        <v>553800</v>
      </c>
      <c r="Q16" t="s">
        <v>22</v>
      </c>
      <c r="R16" t="s">
        <v>19</v>
      </c>
      <c r="S16">
        <v>96200</v>
      </c>
      <c r="T16">
        <v>87</v>
      </c>
      <c r="U16">
        <v>85166</v>
      </c>
      <c r="V16">
        <v>0</v>
      </c>
      <c r="W16">
        <v>0</v>
      </c>
      <c r="X16">
        <v>8398</v>
      </c>
      <c r="Y16">
        <v>0</v>
      </c>
      <c r="Z16">
        <v>2078</v>
      </c>
      <c r="AA16">
        <v>423</v>
      </c>
      <c r="AB16">
        <v>19</v>
      </c>
      <c r="AC16">
        <v>29</v>
      </c>
      <c r="AD16">
        <v>0</v>
      </c>
    </row>
    <row r="17" spans="1:30" x14ac:dyDescent="0.3">
      <c r="A17" t="s">
        <v>163</v>
      </c>
      <c r="B17" t="s">
        <v>15</v>
      </c>
      <c r="C17" t="s">
        <v>17</v>
      </c>
      <c r="D17">
        <v>277000</v>
      </c>
      <c r="Q17" t="s">
        <v>22</v>
      </c>
      <c r="R17" t="s">
        <v>20</v>
      </c>
      <c r="S17">
        <v>28700</v>
      </c>
      <c r="T17">
        <v>13500</v>
      </c>
      <c r="U17">
        <v>3128</v>
      </c>
      <c r="V17">
        <v>9107</v>
      </c>
      <c r="W17">
        <v>0</v>
      </c>
      <c r="X17">
        <v>284</v>
      </c>
      <c r="Y17">
        <v>2071</v>
      </c>
      <c r="Z17">
        <v>189</v>
      </c>
      <c r="AA17">
        <v>126</v>
      </c>
      <c r="AB17">
        <v>6</v>
      </c>
      <c r="AC17">
        <v>246</v>
      </c>
      <c r="AD17">
        <v>43</v>
      </c>
    </row>
    <row r="18" spans="1:30" x14ac:dyDescent="0.3">
      <c r="A18" t="s">
        <v>149</v>
      </c>
      <c r="B18" t="s">
        <v>15</v>
      </c>
      <c r="C18" t="s">
        <v>18</v>
      </c>
      <c r="D18">
        <v>511000</v>
      </c>
      <c r="Q18" t="s">
        <v>22</v>
      </c>
      <c r="R18" t="s">
        <v>21</v>
      </c>
      <c r="S18">
        <v>74000</v>
      </c>
      <c r="T18">
        <v>4143</v>
      </c>
      <c r="U18">
        <v>56417</v>
      </c>
      <c r="V18">
        <v>1420</v>
      </c>
      <c r="W18">
        <v>0</v>
      </c>
      <c r="X18">
        <v>3978</v>
      </c>
      <c r="Y18">
        <v>4841</v>
      </c>
      <c r="Z18">
        <v>2214</v>
      </c>
      <c r="AA18">
        <v>295</v>
      </c>
      <c r="AB18">
        <v>15</v>
      </c>
      <c r="AC18">
        <v>576</v>
      </c>
      <c r="AD18">
        <v>101</v>
      </c>
    </row>
    <row r="19" spans="1:30" x14ac:dyDescent="0.3">
      <c r="A19" t="s">
        <v>137</v>
      </c>
      <c r="B19" t="s">
        <v>125</v>
      </c>
      <c r="C19" t="s">
        <v>23</v>
      </c>
      <c r="D19">
        <v>58900</v>
      </c>
      <c r="E19">
        <v>1401</v>
      </c>
      <c r="F19">
        <v>404</v>
      </c>
      <c r="G19">
        <v>0</v>
      </c>
      <c r="H19">
        <v>104</v>
      </c>
      <c r="I19">
        <v>52234</v>
      </c>
      <c r="J19">
        <v>3465</v>
      </c>
      <c r="K19">
        <v>971</v>
      </c>
      <c r="L19">
        <v>65</v>
      </c>
      <c r="M19">
        <v>39</v>
      </c>
      <c r="N19">
        <v>13</v>
      </c>
      <c r="O19">
        <v>204</v>
      </c>
      <c r="Q19" t="s">
        <v>22</v>
      </c>
      <c r="R19" t="s">
        <v>22</v>
      </c>
      <c r="S19">
        <v>180200</v>
      </c>
      <c r="T19">
        <v>1224</v>
      </c>
      <c r="U19">
        <v>171659</v>
      </c>
      <c r="V19">
        <v>9</v>
      </c>
      <c r="W19">
        <v>0</v>
      </c>
      <c r="X19">
        <v>5046</v>
      </c>
      <c r="Y19">
        <v>90</v>
      </c>
      <c r="Z19">
        <v>1352</v>
      </c>
      <c r="AA19">
        <v>811</v>
      </c>
      <c r="AB19">
        <v>9</v>
      </c>
      <c r="AC19">
        <v>0</v>
      </c>
      <c r="AD19">
        <v>0</v>
      </c>
    </row>
    <row r="20" spans="1:30" x14ac:dyDescent="0.3">
      <c r="A20" t="s">
        <v>140</v>
      </c>
      <c r="B20" t="s">
        <v>125</v>
      </c>
      <c r="C20" t="s">
        <v>24</v>
      </c>
      <c r="D20">
        <v>22100</v>
      </c>
      <c r="E20">
        <v>117</v>
      </c>
      <c r="F20">
        <v>135</v>
      </c>
      <c r="G20">
        <v>0</v>
      </c>
      <c r="H20">
        <v>35</v>
      </c>
      <c r="I20">
        <v>21198</v>
      </c>
      <c r="J20">
        <v>346</v>
      </c>
      <c r="K20">
        <v>162</v>
      </c>
      <c r="L20">
        <v>22</v>
      </c>
      <c r="M20">
        <v>13</v>
      </c>
      <c r="N20">
        <v>4</v>
      </c>
      <c r="O20">
        <v>68</v>
      </c>
      <c r="Q20" t="s">
        <v>29</v>
      </c>
      <c r="R20" t="s">
        <v>23</v>
      </c>
      <c r="S20">
        <v>58900</v>
      </c>
      <c r="T20">
        <v>1401</v>
      </c>
      <c r="U20">
        <v>404</v>
      </c>
      <c r="V20">
        <v>0</v>
      </c>
      <c r="W20">
        <v>104</v>
      </c>
      <c r="X20">
        <v>52234</v>
      </c>
      <c r="Y20">
        <v>3465</v>
      </c>
      <c r="Z20">
        <v>971</v>
      </c>
      <c r="AA20">
        <v>65</v>
      </c>
      <c r="AB20">
        <v>39</v>
      </c>
      <c r="AC20">
        <v>13</v>
      </c>
      <c r="AD20">
        <v>204</v>
      </c>
    </row>
    <row r="21" spans="1:30" x14ac:dyDescent="0.3">
      <c r="A21" t="s">
        <v>134</v>
      </c>
      <c r="B21" t="s">
        <v>125</v>
      </c>
      <c r="C21" t="s">
        <v>25</v>
      </c>
      <c r="D21">
        <v>84600</v>
      </c>
      <c r="E21">
        <v>15870</v>
      </c>
      <c r="F21">
        <v>1220</v>
      </c>
      <c r="G21">
        <v>0</v>
      </c>
      <c r="H21">
        <v>315</v>
      </c>
      <c r="I21">
        <v>21044</v>
      </c>
      <c r="J21">
        <v>44447</v>
      </c>
      <c r="K21">
        <v>733</v>
      </c>
      <c r="L21">
        <v>197</v>
      </c>
      <c r="M21">
        <v>118</v>
      </c>
      <c r="N21">
        <v>39</v>
      </c>
      <c r="O21">
        <v>617</v>
      </c>
      <c r="Q21" t="s">
        <v>29</v>
      </c>
      <c r="R21" t="s">
        <v>24</v>
      </c>
      <c r="S21">
        <v>22100</v>
      </c>
      <c r="T21">
        <v>117</v>
      </c>
      <c r="U21">
        <v>135</v>
      </c>
      <c r="V21">
        <v>0</v>
      </c>
      <c r="W21">
        <v>35</v>
      </c>
      <c r="X21">
        <v>21198</v>
      </c>
      <c r="Y21">
        <v>346</v>
      </c>
      <c r="Z21">
        <v>162</v>
      </c>
      <c r="AA21">
        <v>22</v>
      </c>
      <c r="AB21">
        <v>13</v>
      </c>
      <c r="AC21">
        <v>4</v>
      </c>
      <c r="AD21">
        <v>68</v>
      </c>
    </row>
    <row r="22" spans="1:30" x14ac:dyDescent="0.3">
      <c r="A22" t="s">
        <v>124</v>
      </c>
      <c r="B22" t="s">
        <v>125</v>
      </c>
      <c r="C22" t="s">
        <v>26</v>
      </c>
      <c r="D22">
        <v>140800</v>
      </c>
      <c r="Q22" t="s">
        <v>29</v>
      </c>
      <c r="R22" t="s">
        <v>25</v>
      </c>
      <c r="S22">
        <v>84600</v>
      </c>
      <c r="T22">
        <v>15870</v>
      </c>
      <c r="U22">
        <v>1220</v>
      </c>
      <c r="V22">
        <v>0</v>
      </c>
      <c r="W22">
        <v>315</v>
      </c>
      <c r="X22">
        <v>21044</v>
      </c>
      <c r="Y22">
        <v>44447</v>
      </c>
      <c r="Z22">
        <v>733</v>
      </c>
      <c r="AA22">
        <v>197</v>
      </c>
      <c r="AB22">
        <v>118</v>
      </c>
      <c r="AC22">
        <v>39</v>
      </c>
      <c r="AD22">
        <v>617</v>
      </c>
    </row>
    <row r="23" spans="1:30" x14ac:dyDescent="0.3">
      <c r="A23" t="s">
        <v>127</v>
      </c>
      <c r="B23" t="s">
        <v>125</v>
      </c>
      <c r="C23" t="s">
        <v>27</v>
      </c>
      <c r="D23">
        <v>243800</v>
      </c>
      <c r="Q23" t="s">
        <v>29</v>
      </c>
      <c r="R23" t="s">
        <v>59</v>
      </c>
      <c r="S23">
        <v>85300</v>
      </c>
      <c r="T23">
        <v>68888</v>
      </c>
      <c r="U23">
        <v>51</v>
      </c>
      <c r="V23">
        <v>0</v>
      </c>
      <c r="W23">
        <v>0</v>
      </c>
      <c r="X23">
        <v>8684</v>
      </c>
      <c r="Y23">
        <v>6850</v>
      </c>
      <c r="Z23">
        <v>0</v>
      </c>
      <c r="AA23">
        <v>827</v>
      </c>
      <c r="AB23">
        <v>0</v>
      </c>
      <c r="AC23">
        <v>0</v>
      </c>
      <c r="AD23">
        <v>0</v>
      </c>
    </row>
    <row r="24" spans="1:30" x14ac:dyDescent="0.3">
      <c r="A24" t="s">
        <v>129</v>
      </c>
      <c r="B24" t="s">
        <v>125</v>
      </c>
      <c r="C24" t="s">
        <v>28</v>
      </c>
      <c r="D24">
        <v>87700</v>
      </c>
      <c r="E24">
        <v>5182</v>
      </c>
      <c r="F24">
        <v>597</v>
      </c>
      <c r="G24">
        <v>0</v>
      </c>
      <c r="H24">
        <v>154</v>
      </c>
      <c r="I24">
        <v>77388</v>
      </c>
      <c r="J24">
        <v>3897</v>
      </c>
      <c r="K24">
        <v>7</v>
      </c>
      <c r="L24">
        <v>96</v>
      </c>
      <c r="M24">
        <v>58</v>
      </c>
      <c r="N24">
        <v>19</v>
      </c>
      <c r="O24">
        <v>302</v>
      </c>
      <c r="Q24" t="s">
        <v>29</v>
      </c>
      <c r="R24" t="s">
        <v>60</v>
      </c>
      <c r="S24">
        <v>55500</v>
      </c>
      <c r="T24">
        <v>50111</v>
      </c>
      <c r="U24">
        <v>6</v>
      </c>
      <c r="V24">
        <v>0</v>
      </c>
      <c r="W24">
        <v>0</v>
      </c>
      <c r="X24">
        <v>416</v>
      </c>
      <c r="Y24">
        <v>4146</v>
      </c>
      <c r="Z24">
        <v>0</v>
      </c>
      <c r="AA24">
        <v>821</v>
      </c>
      <c r="AB24">
        <v>0</v>
      </c>
      <c r="AC24">
        <v>0</v>
      </c>
      <c r="AD24">
        <v>0</v>
      </c>
    </row>
    <row r="25" spans="1:30" x14ac:dyDescent="0.3">
      <c r="A25" t="s">
        <v>168</v>
      </c>
      <c r="B25" t="s">
        <v>169</v>
      </c>
      <c r="C25" t="s">
        <v>31</v>
      </c>
      <c r="D25">
        <v>32100</v>
      </c>
      <c r="Q25" t="s">
        <v>29</v>
      </c>
      <c r="R25" t="s">
        <v>27</v>
      </c>
      <c r="S25">
        <v>243800</v>
      </c>
      <c r="T25">
        <v>200477</v>
      </c>
      <c r="U25">
        <v>951</v>
      </c>
      <c r="V25">
        <v>0</v>
      </c>
      <c r="W25">
        <v>20894</v>
      </c>
      <c r="X25">
        <v>4510</v>
      </c>
      <c r="Y25">
        <v>13043</v>
      </c>
      <c r="Z25">
        <v>1170</v>
      </c>
      <c r="AA25">
        <v>683</v>
      </c>
      <c r="AB25">
        <v>390</v>
      </c>
      <c r="AC25">
        <v>585</v>
      </c>
      <c r="AD25">
        <v>1097</v>
      </c>
    </row>
    <row r="26" spans="1:30" x14ac:dyDescent="0.3">
      <c r="A26" t="s">
        <v>172</v>
      </c>
      <c r="B26" t="s">
        <v>169</v>
      </c>
      <c r="C26" t="s">
        <v>30</v>
      </c>
      <c r="D26">
        <v>296600</v>
      </c>
      <c r="Q26" t="s">
        <v>29</v>
      </c>
      <c r="R26" t="s">
        <v>28</v>
      </c>
      <c r="S26">
        <v>87700</v>
      </c>
      <c r="T26">
        <v>5182</v>
      </c>
      <c r="U26">
        <v>597</v>
      </c>
      <c r="V26">
        <v>0</v>
      </c>
      <c r="W26">
        <v>154</v>
      </c>
      <c r="X26">
        <v>77388</v>
      </c>
      <c r="Y26">
        <v>3897</v>
      </c>
      <c r="Z26">
        <v>7</v>
      </c>
      <c r="AA26">
        <v>96</v>
      </c>
      <c r="AB26">
        <v>58</v>
      </c>
      <c r="AC26">
        <v>19</v>
      </c>
      <c r="AD26">
        <v>302</v>
      </c>
    </row>
    <row r="27" spans="1:30" x14ac:dyDescent="0.3">
      <c r="A27" t="s">
        <v>183</v>
      </c>
      <c r="B27" t="s">
        <v>169</v>
      </c>
      <c r="C27" t="s">
        <v>32</v>
      </c>
      <c r="D27">
        <v>255700</v>
      </c>
      <c r="Q27" t="s">
        <v>33</v>
      </c>
      <c r="R27" t="s">
        <v>30</v>
      </c>
      <c r="S27">
        <v>72200</v>
      </c>
      <c r="T27">
        <v>60734</v>
      </c>
      <c r="U27">
        <v>6606</v>
      </c>
      <c r="V27">
        <v>36</v>
      </c>
      <c r="W27">
        <v>0</v>
      </c>
      <c r="X27">
        <v>1444</v>
      </c>
      <c r="Y27">
        <v>217</v>
      </c>
      <c r="Z27">
        <v>1993</v>
      </c>
      <c r="AA27">
        <v>780</v>
      </c>
      <c r="AB27">
        <v>29</v>
      </c>
      <c r="AC27">
        <v>144</v>
      </c>
      <c r="AD27">
        <v>217</v>
      </c>
    </row>
    <row r="28" spans="1:30" x14ac:dyDescent="0.3">
      <c r="Q28" t="s">
        <v>33</v>
      </c>
      <c r="R28" t="s">
        <v>76</v>
      </c>
      <c r="S28">
        <v>224400</v>
      </c>
      <c r="T28">
        <v>6777</v>
      </c>
      <c r="U28">
        <v>166101</v>
      </c>
      <c r="V28">
        <v>112</v>
      </c>
      <c r="W28">
        <v>0</v>
      </c>
      <c r="X28">
        <v>21812</v>
      </c>
      <c r="Y28">
        <v>539</v>
      </c>
      <c r="Z28">
        <v>26524</v>
      </c>
      <c r="AA28">
        <v>1324</v>
      </c>
      <c r="AB28">
        <v>67</v>
      </c>
      <c r="AC28">
        <v>1122</v>
      </c>
      <c r="AD28">
        <v>22</v>
      </c>
    </row>
    <row r="29" spans="1:30" x14ac:dyDescent="0.3">
      <c r="Q29" t="s">
        <v>33</v>
      </c>
      <c r="R29" t="s">
        <v>31</v>
      </c>
      <c r="S29">
        <v>32100</v>
      </c>
      <c r="T29">
        <v>579</v>
      </c>
      <c r="U29">
        <v>6837</v>
      </c>
      <c r="V29">
        <v>302</v>
      </c>
      <c r="W29">
        <v>0</v>
      </c>
      <c r="X29">
        <v>19244</v>
      </c>
      <c r="Y29">
        <v>51</v>
      </c>
      <c r="Z29">
        <v>4709</v>
      </c>
      <c r="AA29">
        <v>356</v>
      </c>
      <c r="AB29">
        <v>10</v>
      </c>
      <c r="AC29">
        <v>6</v>
      </c>
      <c r="AD29">
        <v>6</v>
      </c>
    </row>
    <row r="30" spans="1:30" x14ac:dyDescent="0.3">
      <c r="A30" t="s">
        <v>188</v>
      </c>
      <c r="B30" t="s">
        <v>270</v>
      </c>
      <c r="C30" t="s">
        <v>0</v>
      </c>
      <c r="D30" t="s">
        <v>35</v>
      </c>
      <c r="E30" t="s">
        <v>190</v>
      </c>
      <c r="F30" t="s">
        <v>191</v>
      </c>
      <c r="G30" t="s">
        <v>38</v>
      </c>
      <c r="H30" t="s">
        <v>192</v>
      </c>
      <c r="I30" t="s">
        <v>41</v>
      </c>
      <c r="J30" t="s">
        <v>48</v>
      </c>
      <c r="K30" t="s">
        <v>193</v>
      </c>
      <c r="L30" t="s">
        <v>49</v>
      </c>
      <c r="M30" t="s">
        <v>194</v>
      </c>
      <c r="N30" t="s">
        <v>195</v>
      </c>
      <c r="O30" t="s">
        <v>196</v>
      </c>
      <c r="Q30" t="s">
        <v>33</v>
      </c>
      <c r="R30" t="s">
        <v>32</v>
      </c>
      <c r="S30">
        <v>255700</v>
      </c>
      <c r="T30">
        <v>20404</v>
      </c>
      <c r="U30">
        <v>219621</v>
      </c>
      <c r="V30">
        <v>0</v>
      </c>
      <c r="W30">
        <v>0</v>
      </c>
      <c r="X30">
        <v>3222</v>
      </c>
      <c r="Y30">
        <v>793</v>
      </c>
      <c r="Z30">
        <v>9512</v>
      </c>
      <c r="AA30">
        <v>895</v>
      </c>
      <c r="AB30">
        <v>153</v>
      </c>
      <c r="AC30">
        <v>793</v>
      </c>
      <c r="AD30">
        <v>307</v>
      </c>
    </row>
    <row r="31" spans="1:30" x14ac:dyDescent="0.3">
      <c r="A31" t="s">
        <v>117</v>
      </c>
      <c r="B31" t="s">
        <v>2</v>
      </c>
      <c r="C31" t="s">
        <v>2</v>
      </c>
      <c r="D31">
        <v>324000</v>
      </c>
      <c r="E31">
        <v>219348</v>
      </c>
      <c r="F31">
        <v>3564</v>
      </c>
      <c r="G31">
        <v>0</v>
      </c>
      <c r="H31">
        <v>16200</v>
      </c>
      <c r="I31">
        <v>34992</v>
      </c>
      <c r="J31">
        <v>46980</v>
      </c>
      <c r="K31">
        <v>1944</v>
      </c>
      <c r="L31">
        <v>0</v>
      </c>
      <c r="M31">
        <v>0</v>
      </c>
      <c r="N31">
        <v>972</v>
      </c>
      <c r="O31">
        <v>0</v>
      </c>
    </row>
    <row r="32" spans="1:30" x14ac:dyDescent="0.3">
      <c r="A32" t="s">
        <v>131</v>
      </c>
      <c r="B32" t="s">
        <v>121</v>
      </c>
      <c r="C32" t="s">
        <v>3</v>
      </c>
      <c r="D32">
        <v>214600</v>
      </c>
      <c r="E32">
        <v>28541</v>
      </c>
      <c r="F32">
        <v>157302</v>
      </c>
      <c r="G32">
        <v>0</v>
      </c>
      <c r="H32">
        <v>0</v>
      </c>
      <c r="I32">
        <v>15666</v>
      </c>
      <c r="J32">
        <v>1502</v>
      </c>
      <c r="K32">
        <v>11374</v>
      </c>
      <c r="L32">
        <v>0</v>
      </c>
      <c r="M32">
        <v>0</v>
      </c>
      <c r="N32">
        <v>0</v>
      </c>
      <c r="O32">
        <v>215</v>
      </c>
      <c r="S32">
        <f>SUM(S2:S30)</f>
        <v>4842400</v>
      </c>
      <c r="T32">
        <f>SUM(T2:T30)</f>
        <v>1095366</v>
      </c>
      <c r="U32">
        <f t="shared" ref="U32:AD32" si="0">SUM(U2:U30)</f>
        <v>1198680</v>
      </c>
      <c r="V32">
        <f t="shared" si="0"/>
        <v>389031</v>
      </c>
      <c r="W32">
        <f t="shared" si="0"/>
        <v>38760</v>
      </c>
      <c r="X32">
        <f t="shared" si="0"/>
        <v>1271532</v>
      </c>
      <c r="Y32">
        <f t="shared" si="0"/>
        <v>354290</v>
      </c>
      <c r="Z32">
        <f t="shared" si="0"/>
        <v>232132</v>
      </c>
      <c r="AA32">
        <f t="shared" si="0"/>
        <v>136250</v>
      </c>
      <c r="AB32">
        <f t="shared" si="0"/>
        <v>34480</v>
      </c>
      <c r="AC32">
        <f t="shared" si="0"/>
        <v>24602</v>
      </c>
      <c r="AD32">
        <f t="shared" si="0"/>
        <v>67277</v>
      </c>
    </row>
    <row r="33" spans="1:30" x14ac:dyDescent="0.3">
      <c r="A33" t="s">
        <v>120</v>
      </c>
      <c r="B33" t="s">
        <v>121</v>
      </c>
      <c r="C33" t="s">
        <v>4</v>
      </c>
      <c r="D33">
        <v>30500</v>
      </c>
      <c r="E33">
        <v>4054</v>
      </c>
      <c r="F33">
        <v>22357</v>
      </c>
      <c r="G33">
        <v>0</v>
      </c>
      <c r="H33">
        <v>0</v>
      </c>
      <c r="I33">
        <v>2227</v>
      </c>
      <c r="J33">
        <v>214</v>
      </c>
      <c r="K33">
        <v>1617</v>
      </c>
      <c r="L33">
        <v>0</v>
      </c>
      <c r="M33">
        <v>0</v>
      </c>
      <c r="N33">
        <v>0</v>
      </c>
      <c r="O33">
        <v>31</v>
      </c>
    </row>
    <row r="34" spans="1:30" x14ac:dyDescent="0.3">
      <c r="A34" t="s">
        <v>154</v>
      </c>
      <c r="B34" t="s">
        <v>6</v>
      </c>
      <c r="C34" t="s">
        <v>6</v>
      </c>
      <c r="D34">
        <v>341700</v>
      </c>
      <c r="E34">
        <v>149910</v>
      </c>
      <c r="F34">
        <v>48259</v>
      </c>
      <c r="G34">
        <v>3784</v>
      </c>
      <c r="H34">
        <v>120</v>
      </c>
      <c r="I34">
        <v>19850</v>
      </c>
      <c r="J34">
        <v>33928</v>
      </c>
      <c r="K34">
        <v>15321</v>
      </c>
      <c r="L34">
        <v>37313</v>
      </c>
      <c r="M34">
        <v>7838</v>
      </c>
      <c r="N34">
        <v>5257</v>
      </c>
      <c r="O34">
        <v>20120</v>
      </c>
      <c r="T34">
        <f>T32/$S$32</f>
        <v>0.22620312241863538</v>
      </c>
      <c r="U34">
        <f t="shared" ref="U34:AD34" si="1">U32/$S$32</f>
        <v>0.24753841070543531</v>
      </c>
      <c r="V34">
        <f t="shared" si="1"/>
        <v>8.0338468528002638E-2</v>
      </c>
      <c r="W34">
        <f t="shared" si="1"/>
        <v>8.004295390715347E-3</v>
      </c>
      <c r="X34">
        <f t="shared" si="1"/>
        <v>0.26258301668594086</v>
      </c>
      <c r="Y34">
        <f t="shared" si="1"/>
        <v>7.3164133487526845E-2</v>
      </c>
      <c r="Z34">
        <f t="shared" si="1"/>
        <v>4.7937386419957047E-2</v>
      </c>
      <c r="AA34">
        <f t="shared" si="1"/>
        <v>2.8136874277217908E-2</v>
      </c>
      <c r="AB34">
        <f t="shared" si="1"/>
        <v>7.1204361473649431E-3</v>
      </c>
      <c r="AC34">
        <f t="shared" si="1"/>
        <v>5.0805385759127705E-3</v>
      </c>
      <c r="AD34">
        <f t="shared" si="1"/>
        <v>1.3893317363290931E-2</v>
      </c>
    </row>
    <row r="35" spans="1:30" x14ac:dyDescent="0.3">
      <c r="A35" t="s">
        <v>166</v>
      </c>
      <c r="B35" t="s">
        <v>152</v>
      </c>
      <c r="C35" t="s">
        <v>7</v>
      </c>
      <c r="D35">
        <v>33800</v>
      </c>
      <c r="E35">
        <v>16460</v>
      </c>
      <c r="F35">
        <v>4969</v>
      </c>
      <c r="G35">
        <v>4969</v>
      </c>
      <c r="H35">
        <v>0</v>
      </c>
      <c r="I35">
        <v>2400</v>
      </c>
      <c r="J35">
        <v>2366</v>
      </c>
      <c r="K35">
        <v>2467</v>
      </c>
      <c r="L35">
        <v>0</v>
      </c>
      <c r="M35">
        <v>0</v>
      </c>
      <c r="N35">
        <v>101</v>
      </c>
      <c r="O35">
        <v>68</v>
      </c>
    </row>
    <row r="36" spans="1:30" x14ac:dyDescent="0.3">
      <c r="A36" t="s">
        <v>161</v>
      </c>
      <c r="B36" t="s">
        <v>152</v>
      </c>
      <c r="C36" t="s">
        <v>8</v>
      </c>
      <c r="D36">
        <v>86400</v>
      </c>
      <c r="E36">
        <v>42077</v>
      </c>
      <c r="F36">
        <v>12701</v>
      </c>
      <c r="G36">
        <v>12701</v>
      </c>
      <c r="H36">
        <v>0</v>
      </c>
      <c r="I36">
        <v>6134</v>
      </c>
      <c r="J36">
        <v>6048</v>
      </c>
      <c r="K36">
        <v>6307</v>
      </c>
      <c r="L36">
        <v>0</v>
      </c>
      <c r="M36">
        <v>0</v>
      </c>
      <c r="N36">
        <v>259</v>
      </c>
      <c r="O36">
        <v>173</v>
      </c>
    </row>
    <row r="37" spans="1:30" x14ac:dyDescent="0.3">
      <c r="A37" t="s">
        <v>151</v>
      </c>
      <c r="B37" t="s">
        <v>152</v>
      </c>
      <c r="C37" t="s">
        <v>9</v>
      </c>
      <c r="D37">
        <v>177400</v>
      </c>
      <c r="E37">
        <v>50737</v>
      </c>
      <c r="F37">
        <v>28384</v>
      </c>
      <c r="G37">
        <v>887</v>
      </c>
      <c r="H37">
        <v>0</v>
      </c>
      <c r="I37">
        <v>27674</v>
      </c>
      <c r="J37">
        <v>16853</v>
      </c>
      <c r="K37">
        <v>32996</v>
      </c>
      <c r="L37">
        <v>8693</v>
      </c>
      <c r="M37">
        <v>1951</v>
      </c>
      <c r="N37">
        <v>1419</v>
      </c>
      <c r="O37">
        <v>7806</v>
      </c>
    </row>
    <row r="38" spans="1:30" x14ac:dyDescent="0.3">
      <c r="A38" t="s">
        <v>186</v>
      </c>
      <c r="B38" t="s">
        <v>173</v>
      </c>
      <c r="C38" t="s">
        <v>19</v>
      </c>
      <c r="D38">
        <v>96200</v>
      </c>
      <c r="E38">
        <v>97</v>
      </c>
      <c r="F38">
        <v>85137</v>
      </c>
      <c r="G38">
        <v>0</v>
      </c>
      <c r="H38">
        <v>0</v>
      </c>
      <c r="I38">
        <v>8369</v>
      </c>
      <c r="J38">
        <v>0</v>
      </c>
      <c r="K38">
        <v>2116</v>
      </c>
      <c r="L38">
        <v>385</v>
      </c>
      <c r="M38">
        <v>0</v>
      </c>
      <c r="N38">
        <v>0</v>
      </c>
      <c r="O38">
        <v>96</v>
      </c>
    </row>
    <row r="39" spans="1:30" x14ac:dyDescent="0.3">
      <c r="A39" t="s">
        <v>177</v>
      </c>
      <c r="B39" t="s">
        <v>173</v>
      </c>
      <c r="C39" t="s">
        <v>20</v>
      </c>
      <c r="D39">
        <v>28700</v>
      </c>
      <c r="E39">
        <v>4936</v>
      </c>
      <c r="F39">
        <v>16646</v>
      </c>
      <c r="G39">
        <v>2956</v>
      </c>
      <c r="H39">
        <v>0</v>
      </c>
      <c r="I39">
        <v>1205</v>
      </c>
      <c r="J39">
        <v>1923</v>
      </c>
      <c r="K39">
        <v>660</v>
      </c>
      <c r="L39">
        <v>115</v>
      </c>
      <c r="M39">
        <v>0</v>
      </c>
      <c r="N39">
        <v>230</v>
      </c>
      <c r="O39">
        <v>29</v>
      </c>
    </row>
    <row r="40" spans="1:30" x14ac:dyDescent="0.3">
      <c r="A40" t="s">
        <v>180</v>
      </c>
      <c r="B40" t="s">
        <v>173</v>
      </c>
      <c r="C40" t="s">
        <v>21</v>
      </c>
      <c r="D40">
        <v>74000</v>
      </c>
      <c r="E40">
        <v>12728</v>
      </c>
      <c r="F40">
        <v>42920</v>
      </c>
      <c r="G40">
        <v>7622</v>
      </c>
      <c r="H40">
        <v>0</v>
      </c>
      <c r="I40">
        <v>3108</v>
      </c>
      <c r="J40">
        <v>4958</v>
      </c>
      <c r="K40">
        <v>1702</v>
      </c>
      <c r="L40">
        <v>296</v>
      </c>
      <c r="M40">
        <v>0</v>
      </c>
      <c r="N40">
        <v>592</v>
      </c>
      <c r="O40">
        <v>74</v>
      </c>
    </row>
    <row r="41" spans="1:30" x14ac:dyDescent="0.3">
      <c r="A41" t="s">
        <v>175</v>
      </c>
      <c r="B41" t="s">
        <v>173</v>
      </c>
      <c r="C41" t="s">
        <v>22</v>
      </c>
      <c r="D41">
        <v>180200</v>
      </c>
      <c r="E41">
        <v>1261</v>
      </c>
      <c r="F41">
        <v>171731</v>
      </c>
      <c r="G41">
        <v>0</v>
      </c>
      <c r="H41">
        <v>0</v>
      </c>
      <c r="I41">
        <v>5046</v>
      </c>
      <c r="J41">
        <v>0</v>
      </c>
      <c r="K41">
        <v>1261</v>
      </c>
      <c r="L41">
        <v>721</v>
      </c>
      <c r="M41">
        <v>0</v>
      </c>
      <c r="N41">
        <v>0</v>
      </c>
      <c r="O41">
        <v>180</v>
      </c>
    </row>
    <row r="42" spans="1:30" x14ac:dyDescent="0.3">
      <c r="A42" t="s">
        <v>143</v>
      </c>
      <c r="B42" t="s">
        <v>13</v>
      </c>
      <c r="C42" t="s">
        <v>11</v>
      </c>
      <c r="D42">
        <v>129500</v>
      </c>
      <c r="E42">
        <v>3365</v>
      </c>
      <c r="F42">
        <v>27454</v>
      </c>
      <c r="G42">
        <v>0</v>
      </c>
      <c r="H42">
        <v>0</v>
      </c>
      <c r="I42">
        <v>92593</v>
      </c>
      <c r="J42">
        <v>4015</v>
      </c>
      <c r="K42">
        <v>518</v>
      </c>
      <c r="L42">
        <v>1036</v>
      </c>
      <c r="M42">
        <v>130</v>
      </c>
      <c r="N42">
        <v>130</v>
      </c>
      <c r="O42">
        <v>259</v>
      </c>
    </row>
    <row r="43" spans="1:30" x14ac:dyDescent="0.3">
      <c r="A43" t="s">
        <v>146</v>
      </c>
      <c r="B43" t="s">
        <v>13</v>
      </c>
      <c r="C43" t="s">
        <v>12</v>
      </c>
      <c r="D43">
        <v>260500</v>
      </c>
      <c r="E43">
        <v>778</v>
      </c>
      <c r="F43">
        <v>4689</v>
      </c>
      <c r="G43">
        <v>0</v>
      </c>
      <c r="H43">
        <v>0</v>
      </c>
      <c r="I43">
        <v>239921</v>
      </c>
      <c r="J43">
        <v>2345</v>
      </c>
      <c r="K43">
        <v>5471</v>
      </c>
      <c r="L43">
        <v>1824</v>
      </c>
      <c r="M43">
        <v>1824</v>
      </c>
      <c r="N43">
        <v>261</v>
      </c>
      <c r="O43">
        <v>3387</v>
      </c>
    </row>
    <row r="44" spans="1:30" x14ac:dyDescent="0.3">
      <c r="A44" t="s">
        <v>158</v>
      </c>
      <c r="B44" t="s">
        <v>15</v>
      </c>
      <c r="C44" t="s">
        <v>14</v>
      </c>
      <c r="D44">
        <v>300800</v>
      </c>
      <c r="E44">
        <v>3910</v>
      </c>
      <c r="F44">
        <v>9926</v>
      </c>
      <c r="G44">
        <v>164237</v>
      </c>
      <c r="H44">
        <v>0</v>
      </c>
      <c r="I44">
        <v>70688</v>
      </c>
      <c r="J44">
        <v>37901</v>
      </c>
      <c r="K44">
        <v>9024</v>
      </c>
      <c r="L44">
        <v>1504</v>
      </c>
      <c r="M44">
        <v>301</v>
      </c>
      <c r="N44">
        <v>2106</v>
      </c>
      <c r="O44">
        <v>1203</v>
      </c>
    </row>
    <row r="45" spans="1:30" x14ac:dyDescent="0.3">
      <c r="A45" t="s">
        <v>156</v>
      </c>
      <c r="B45" t="s">
        <v>15</v>
      </c>
      <c r="C45" t="s">
        <v>16</v>
      </c>
      <c r="D45">
        <v>553800</v>
      </c>
      <c r="E45">
        <v>33783</v>
      </c>
      <c r="F45">
        <v>139558</v>
      </c>
      <c r="G45">
        <v>96361</v>
      </c>
      <c r="H45">
        <v>0</v>
      </c>
      <c r="I45">
        <v>201029</v>
      </c>
      <c r="J45">
        <v>41535</v>
      </c>
      <c r="K45">
        <v>24921</v>
      </c>
      <c r="L45">
        <v>4984</v>
      </c>
      <c r="M45">
        <v>2215</v>
      </c>
      <c r="N45">
        <v>1661</v>
      </c>
      <c r="O45">
        <v>7753</v>
      </c>
    </row>
    <row r="46" spans="1:30" x14ac:dyDescent="0.3">
      <c r="A46" t="s">
        <v>163</v>
      </c>
      <c r="B46" t="s">
        <v>15</v>
      </c>
      <c r="C46" t="s">
        <v>17</v>
      </c>
      <c r="D46">
        <v>277000</v>
      </c>
      <c r="E46">
        <v>82269</v>
      </c>
      <c r="F46">
        <v>6094</v>
      </c>
      <c r="G46">
        <v>87532</v>
      </c>
      <c r="H46">
        <v>0</v>
      </c>
      <c r="I46">
        <v>80053</v>
      </c>
      <c r="J46">
        <v>1108</v>
      </c>
      <c r="K46">
        <v>18005</v>
      </c>
      <c r="L46">
        <v>831</v>
      </c>
      <c r="M46">
        <v>0</v>
      </c>
      <c r="N46">
        <v>831</v>
      </c>
      <c r="O46">
        <v>277</v>
      </c>
    </row>
    <row r="47" spans="1:30" x14ac:dyDescent="0.3">
      <c r="A47" t="s">
        <v>149</v>
      </c>
      <c r="B47" t="s">
        <v>15</v>
      </c>
      <c r="C47" t="s">
        <v>18</v>
      </c>
      <c r="D47">
        <v>511000</v>
      </c>
      <c r="E47">
        <v>10220</v>
      </c>
      <c r="F47">
        <v>14819</v>
      </c>
      <c r="G47">
        <v>7154</v>
      </c>
      <c r="H47">
        <v>511</v>
      </c>
      <c r="I47">
        <v>229950</v>
      </c>
      <c r="J47">
        <v>74606</v>
      </c>
      <c r="K47">
        <v>50589</v>
      </c>
      <c r="L47">
        <v>72051</v>
      </c>
      <c r="M47">
        <v>19418</v>
      </c>
      <c r="N47">
        <v>8176</v>
      </c>
      <c r="O47">
        <v>23506</v>
      </c>
    </row>
    <row r="48" spans="1:30" x14ac:dyDescent="0.3">
      <c r="A48" t="s">
        <v>137</v>
      </c>
      <c r="B48" t="s">
        <v>125</v>
      </c>
      <c r="C48" t="s">
        <v>23</v>
      </c>
      <c r="D48">
        <v>58900</v>
      </c>
      <c r="E48">
        <v>5242</v>
      </c>
      <c r="F48">
        <v>530</v>
      </c>
      <c r="G48">
        <v>0</v>
      </c>
      <c r="H48">
        <v>118</v>
      </c>
      <c r="I48">
        <v>39993</v>
      </c>
      <c r="J48">
        <v>12133</v>
      </c>
      <c r="K48">
        <v>412</v>
      </c>
      <c r="L48">
        <v>118</v>
      </c>
      <c r="M48">
        <v>59</v>
      </c>
      <c r="N48">
        <v>0</v>
      </c>
      <c r="O48">
        <v>295</v>
      </c>
    </row>
    <row r="49" spans="1:15" x14ac:dyDescent="0.3">
      <c r="A49" t="s">
        <v>140</v>
      </c>
      <c r="B49" t="s">
        <v>125</v>
      </c>
      <c r="C49" t="s">
        <v>24</v>
      </c>
      <c r="D49">
        <v>22100</v>
      </c>
      <c r="E49">
        <v>1966</v>
      </c>
      <c r="F49">
        <v>199</v>
      </c>
      <c r="G49">
        <v>0</v>
      </c>
      <c r="H49">
        <v>44</v>
      </c>
      <c r="I49">
        <v>15006</v>
      </c>
      <c r="J49">
        <v>4553</v>
      </c>
      <c r="K49">
        <v>155</v>
      </c>
      <c r="L49">
        <v>44</v>
      </c>
      <c r="M49">
        <v>22</v>
      </c>
      <c r="N49">
        <v>0</v>
      </c>
      <c r="O49">
        <v>111</v>
      </c>
    </row>
    <row r="50" spans="1:15" x14ac:dyDescent="0.3">
      <c r="A50" t="s">
        <v>134</v>
      </c>
      <c r="B50" t="s">
        <v>125</v>
      </c>
      <c r="C50" t="s">
        <v>25</v>
      </c>
      <c r="D50">
        <v>84600</v>
      </c>
      <c r="E50">
        <v>7530</v>
      </c>
      <c r="F50">
        <v>761</v>
      </c>
      <c r="G50">
        <v>0</v>
      </c>
      <c r="H50">
        <v>169</v>
      </c>
      <c r="I50">
        <v>57443</v>
      </c>
      <c r="J50">
        <v>17428</v>
      </c>
      <c r="K50">
        <v>592</v>
      </c>
      <c r="L50">
        <v>169</v>
      </c>
      <c r="M50">
        <v>85</v>
      </c>
      <c r="N50">
        <v>0</v>
      </c>
      <c r="O50">
        <v>423</v>
      </c>
    </row>
    <row r="51" spans="1:15" x14ac:dyDescent="0.3">
      <c r="A51" t="s">
        <v>124</v>
      </c>
      <c r="B51" t="s">
        <v>125</v>
      </c>
      <c r="C51" t="s">
        <v>26</v>
      </c>
      <c r="D51">
        <v>140800</v>
      </c>
      <c r="E51">
        <v>118951</v>
      </c>
      <c r="F51">
        <v>85</v>
      </c>
      <c r="G51">
        <v>0</v>
      </c>
      <c r="H51">
        <v>0</v>
      </c>
      <c r="I51">
        <v>9148</v>
      </c>
      <c r="J51">
        <v>10931</v>
      </c>
      <c r="K51">
        <v>0</v>
      </c>
      <c r="L51">
        <v>1685</v>
      </c>
      <c r="M51">
        <v>0</v>
      </c>
      <c r="N51">
        <v>0</v>
      </c>
      <c r="O51">
        <v>0</v>
      </c>
    </row>
    <row r="52" spans="1:15" x14ac:dyDescent="0.3">
      <c r="A52" t="s">
        <v>127</v>
      </c>
      <c r="B52" t="s">
        <v>125</v>
      </c>
      <c r="C52" t="s">
        <v>27</v>
      </c>
      <c r="D52">
        <v>243800</v>
      </c>
      <c r="E52">
        <v>200405</v>
      </c>
      <c r="F52">
        <v>975</v>
      </c>
      <c r="G52">
        <v>0</v>
      </c>
      <c r="H52">
        <v>20723</v>
      </c>
      <c r="I52">
        <v>4388</v>
      </c>
      <c r="J52">
        <v>12921</v>
      </c>
      <c r="K52">
        <v>1219</v>
      </c>
      <c r="L52">
        <v>731</v>
      </c>
      <c r="M52">
        <v>488</v>
      </c>
      <c r="N52">
        <v>731</v>
      </c>
      <c r="O52">
        <v>1219</v>
      </c>
    </row>
    <row r="53" spans="1:15" x14ac:dyDescent="0.3">
      <c r="A53" t="s">
        <v>129</v>
      </c>
      <c r="B53" t="s">
        <v>125</v>
      </c>
      <c r="C53" t="s">
        <v>28</v>
      </c>
      <c r="D53">
        <v>87700</v>
      </c>
      <c r="E53">
        <v>7806</v>
      </c>
      <c r="F53">
        <v>789</v>
      </c>
      <c r="G53">
        <v>0</v>
      </c>
      <c r="H53">
        <v>175</v>
      </c>
      <c r="I53">
        <v>59548</v>
      </c>
      <c r="J53">
        <v>18066</v>
      </c>
      <c r="K53">
        <v>614</v>
      </c>
      <c r="L53">
        <v>175</v>
      </c>
      <c r="M53">
        <v>88</v>
      </c>
      <c r="N53">
        <v>0</v>
      </c>
      <c r="O53">
        <v>439</v>
      </c>
    </row>
    <row r="54" spans="1:15" x14ac:dyDescent="0.3">
      <c r="A54" t="s">
        <v>168</v>
      </c>
      <c r="B54" t="s">
        <v>169</v>
      </c>
      <c r="C54" t="s">
        <v>31</v>
      </c>
      <c r="D54">
        <v>32100</v>
      </c>
      <c r="E54">
        <v>578</v>
      </c>
      <c r="F54">
        <v>6837</v>
      </c>
      <c r="G54">
        <v>289</v>
      </c>
      <c r="H54">
        <v>0</v>
      </c>
      <c r="I54">
        <v>19228</v>
      </c>
      <c r="J54">
        <v>64</v>
      </c>
      <c r="K54">
        <v>4719</v>
      </c>
      <c r="L54">
        <v>353</v>
      </c>
      <c r="M54">
        <v>0</v>
      </c>
      <c r="N54">
        <v>0</v>
      </c>
      <c r="O54">
        <v>32</v>
      </c>
    </row>
    <row r="55" spans="1:15" x14ac:dyDescent="0.3">
      <c r="A55" t="s">
        <v>172</v>
      </c>
      <c r="B55" t="s">
        <v>169</v>
      </c>
      <c r="C55" t="s">
        <v>30</v>
      </c>
      <c r="D55">
        <v>296600</v>
      </c>
      <c r="E55">
        <v>67529</v>
      </c>
      <c r="F55">
        <v>172623</v>
      </c>
      <c r="G55">
        <v>224</v>
      </c>
      <c r="H55">
        <v>0</v>
      </c>
      <c r="I55">
        <v>23210</v>
      </c>
      <c r="J55">
        <v>666</v>
      </c>
      <c r="K55">
        <v>28501</v>
      </c>
      <c r="L55">
        <v>2140</v>
      </c>
      <c r="M55">
        <v>0</v>
      </c>
      <c r="N55">
        <v>1266</v>
      </c>
      <c r="O55">
        <v>441</v>
      </c>
    </row>
    <row r="56" spans="1:15" x14ac:dyDescent="0.3">
      <c r="A56" t="s">
        <v>183</v>
      </c>
      <c r="B56" t="s">
        <v>169</v>
      </c>
      <c r="C56" t="s">
        <v>32</v>
      </c>
      <c r="D56">
        <v>255700</v>
      </c>
      <c r="E56">
        <v>20456</v>
      </c>
      <c r="F56">
        <v>219646</v>
      </c>
      <c r="G56">
        <v>0</v>
      </c>
      <c r="H56">
        <v>0</v>
      </c>
      <c r="I56">
        <v>3068</v>
      </c>
      <c r="J56">
        <v>767</v>
      </c>
      <c r="K56">
        <v>9461</v>
      </c>
      <c r="L56">
        <v>1023</v>
      </c>
      <c r="M56">
        <v>256</v>
      </c>
      <c r="N56">
        <v>767</v>
      </c>
      <c r="O56">
        <v>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B01BD-9D12-42D3-9F6A-EE9A5DBBC6AF}">
  <dimension ref="A1:T30"/>
  <sheetViews>
    <sheetView topLeftCell="D1" workbookViewId="0">
      <selection activeCell="T1" sqref="I1:T30"/>
    </sheetView>
  </sheetViews>
  <sheetFormatPr defaultRowHeight="14.4" x14ac:dyDescent="0.3"/>
  <sheetData>
    <row r="1" spans="1:20" x14ac:dyDescent="0.3">
      <c r="A1" s="1" t="s">
        <v>188</v>
      </c>
      <c r="B1" s="1" t="s">
        <v>270</v>
      </c>
      <c r="C1" s="1" t="s">
        <v>272</v>
      </c>
      <c r="D1" s="1" t="s">
        <v>0</v>
      </c>
      <c r="E1" s="1" t="s">
        <v>197</v>
      </c>
      <c r="F1" s="1" t="s">
        <v>271</v>
      </c>
      <c r="G1" s="1" t="s">
        <v>275</v>
      </c>
      <c r="H1" s="1" t="s">
        <v>276</v>
      </c>
      <c r="I1" s="1" t="s">
        <v>35</v>
      </c>
      <c r="J1" s="1" t="s">
        <v>37</v>
      </c>
      <c r="K1" s="1" t="s">
        <v>36</v>
      </c>
      <c r="L1" s="1" t="s">
        <v>38</v>
      </c>
      <c r="M1" s="1" t="s">
        <v>39</v>
      </c>
      <c r="N1" s="1" t="s">
        <v>41</v>
      </c>
      <c r="O1" s="1" t="s">
        <v>48</v>
      </c>
      <c r="P1" s="1" t="s">
        <v>47</v>
      </c>
      <c r="Q1" s="1" t="s">
        <v>79</v>
      </c>
      <c r="R1" s="1" t="s">
        <v>52</v>
      </c>
      <c r="S1" s="1" t="s">
        <v>50</v>
      </c>
      <c r="T1" s="1" t="s">
        <v>42</v>
      </c>
    </row>
    <row r="2" spans="1:20" x14ac:dyDescent="0.3">
      <c r="A2" t="s">
        <v>117</v>
      </c>
      <c r="B2" t="s">
        <v>2</v>
      </c>
      <c r="C2" s="18" t="s">
        <v>256</v>
      </c>
      <c r="D2" t="s">
        <v>2</v>
      </c>
      <c r="E2" t="str">
        <f>INDEX($J$1:$T$1,MATCH(MAX(J2:T2),J2:T2,0))</f>
        <v>Sunnis</v>
      </c>
      <c r="F2">
        <f>MAX(J2:T2)/I2</f>
        <v>0.6775030864197531</v>
      </c>
      <c r="G2">
        <f>(J2+K2+M2)/I2</f>
        <v>0.73830246913580244</v>
      </c>
      <c r="H2">
        <f>SUM(N2:S2)/I2</f>
        <v>0.26169753086419756</v>
      </c>
      <c r="I2">
        <v>324000</v>
      </c>
      <c r="J2">
        <v>219511</v>
      </c>
      <c r="K2">
        <v>3434</v>
      </c>
      <c r="L2">
        <v>0</v>
      </c>
      <c r="M2">
        <v>16265</v>
      </c>
      <c r="N2">
        <v>34927</v>
      </c>
      <c r="O2">
        <v>46948</v>
      </c>
      <c r="P2">
        <v>2009</v>
      </c>
      <c r="Q2">
        <v>32</v>
      </c>
      <c r="R2">
        <v>32</v>
      </c>
      <c r="S2">
        <v>842</v>
      </c>
      <c r="T2">
        <v>0</v>
      </c>
    </row>
    <row r="3" spans="1:20" x14ac:dyDescent="0.3">
      <c r="A3" t="s">
        <v>131</v>
      </c>
      <c r="B3" t="s">
        <v>121</v>
      </c>
      <c r="C3" s="18" t="s">
        <v>259</v>
      </c>
      <c r="D3" t="s">
        <v>3</v>
      </c>
      <c r="E3" t="str">
        <f t="shared" ref="E3:E9" si="0">INDEX($J$1:$T$1,MATCH(MAX(J3:T3),J3:T3,0))</f>
        <v>Shittes</v>
      </c>
      <c r="F3">
        <f t="shared" ref="F3:F9" si="1">MAX(J3:T3)/I3</f>
        <v>0.7011649580615098</v>
      </c>
      <c r="G3">
        <f t="shared" ref="G3:G9" si="2">(J3+K3+M3)/I3</f>
        <v>0.8501304753028891</v>
      </c>
      <c r="H3">
        <f t="shared" ref="H3:H9" si="3">SUM(N3:S3)/I3</f>
        <v>0.1498695246971109</v>
      </c>
      <c r="I3">
        <v>214600</v>
      </c>
      <c r="J3">
        <v>31902</v>
      </c>
      <c r="K3">
        <v>150470</v>
      </c>
      <c r="L3">
        <v>0</v>
      </c>
      <c r="M3">
        <v>66</v>
      </c>
      <c r="N3">
        <v>17710</v>
      </c>
      <c r="O3">
        <v>1764</v>
      </c>
      <c r="P3">
        <v>12557</v>
      </c>
      <c r="Q3">
        <v>87</v>
      </c>
      <c r="R3">
        <v>0</v>
      </c>
      <c r="S3">
        <v>44</v>
      </c>
      <c r="T3">
        <v>0</v>
      </c>
    </row>
    <row r="4" spans="1:20" x14ac:dyDescent="0.3">
      <c r="A4" t="s">
        <v>120</v>
      </c>
      <c r="B4" t="s">
        <v>121</v>
      </c>
      <c r="C4" s="18" t="s">
        <v>259</v>
      </c>
      <c r="D4" t="s">
        <v>4</v>
      </c>
      <c r="E4" t="str">
        <f t="shared" si="0"/>
        <v>Shittes</v>
      </c>
      <c r="F4">
        <f t="shared" si="1"/>
        <v>0.95698360655737702</v>
      </c>
      <c r="G4">
        <f t="shared" si="2"/>
        <v>0.98406557377049175</v>
      </c>
      <c r="H4">
        <f t="shared" si="3"/>
        <v>1.5934426229508195E-2</v>
      </c>
      <c r="I4">
        <v>30500</v>
      </c>
      <c r="J4">
        <v>818</v>
      </c>
      <c r="K4">
        <v>29188</v>
      </c>
      <c r="L4">
        <v>0</v>
      </c>
      <c r="M4">
        <v>8</v>
      </c>
      <c r="N4">
        <v>158</v>
      </c>
      <c r="O4">
        <v>1</v>
      </c>
      <c r="P4">
        <v>311</v>
      </c>
      <c r="Q4">
        <v>11</v>
      </c>
      <c r="R4">
        <v>0</v>
      </c>
      <c r="S4">
        <v>5</v>
      </c>
      <c r="T4">
        <v>0</v>
      </c>
    </row>
    <row r="5" spans="1:20" x14ac:dyDescent="0.3">
      <c r="A5" t="s">
        <v>249</v>
      </c>
      <c r="B5" t="s">
        <v>6</v>
      </c>
      <c r="C5" s="18" t="s">
        <v>66</v>
      </c>
      <c r="D5" t="s">
        <v>250</v>
      </c>
      <c r="E5" t="str">
        <f t="shared" si="0"/>
        <v>Arm. Orthodox</v>
      </c>
      <c r="F5">
        <f t="shared" si="1"/>
        <v>0.28129783693843596</v>
      </c>
      <c r="G5">
        <f t="shared" si="2"/>
        <v>0.12039933444259568</v>
      </c>
      <c r="H5">
        <f t="shared" si="3"/>
        <v>0.78739600665557408</v>
      </c>
      <c r="I5">
        <v>120200</v>
      </c>
      <c r="J5">
        <v>11924</v>
      </c>
      <c r="K5">
        <v>2428</v>
      </c>
      <c r="L5">
        <v>337</v>
      </c>
      <c r="M5">
        <v>120</v>
      </c>
      <c r="N5">
        <v>15830</v>
      </c>
      <c r="O5">
        <v>23090</v>
      </c>
      <c r="P5">
        <v>11804</v>
      </c>
      <c r="Q5">
        <v>33812</v>
      </c>
      <c r="R5">
        <v>6671</v>
      </c>
      <c r="S5">
        <v>3438</v>
      </c>
      <c r="T5">
        <v>10746</v>
      </c>
    </row>
    <row r="6" spans="1:20" x14ac:dyDescent="0.3">
      <c r="A6" t="s">
        <v>154</v>
      </c>
      <c r="B6" t="s">
        <v>6</v>
      </c>
      <c r="C6" s="18" t="s">
        <v>67</v>
      </c>
      <c r="D6" t="s">
        <v>251</v>
      </c>
      <c r="E6" t="str">
        <f t="shared" si="0"/>
        <v>Sunnis</v>
      </c>
      <c r="F6">
        <f t="shared" si="1"/>
        <v>0.6231060948081264</v>
      </c>
      <c r="G6">
        <f t="shared" si="2"/>
        <v>0.83020316027088037</v>
      </c>
      <c r="H6">
        <f t="shared" si="3"/>
        <v>0.11239729119638826</v>
      </c>
      <c r="I6">
        <v>221500</v>
      </c>
      <c r="J6">
        <v>138018</v>
      </c>
      <c r="K6">
        <v>45806</v>
      </c>
      <c r="L6">
        <v>3433</v>
      </c>
      <c r="M6">
        <v>66</v>
      </c>
      <c r="N6">
        <v>4053</v>
      </c>
      <c r="O6">
        <v>10964</v>
      </c>
      <c r="P6">
        <v>3544</v>
      </c>
      <c r="Q6">
        <v>3588</v>
      </c>
      <c r="R6">
        <v>997</v>
      </c>
      <c r="S6">
        <v>1750</v>
      </c>
      <c r="T6">
        <v>9281</v>
      </c>
    </row>
    <row r="7" spans="1:20" x14ac:dyDescent="0.3">
      <c r="A7" t="s">
        <v>166</v>
      </c>
      <c r="B7" t="s">
        <v>152</v>
      </c>
      <c r="C7" s="20" t="s">
        <v>258</v>
      </c>
      <c r="D7" t="s">
        <v>7</v>
      </c>
      <c r="E7" t="str">
        <f t="shared" si="0"/>
        <v>Druze</v>
      </c>
      <c r="F7">
        <f t="shared" si="1"/>
        <v>0.46343195266272191</v>
      </c>
      <c r="G7">
        <f t="shared" si="2"/>
        <v>0.41926035502958581</v>
      </c>
      <c r="H7">
        <f t="shared" si="3"/>
        <v>0.11627218934911243</v>
      </c>
      <c r="I7">
        <v>33800</v>
      </c>
      <c r="J7">
        <v>12731</v>
      </c>
      <c r="K7">
        <v>1440</v>
      </c>
      <c r="L7">
        <v>15664</v>
      </c>
      <c r="M7">
        <v>0</v>
      </c>
      <c r="N7">
        <v>568</v>
      </c>
      <c r="O7">
        <v>2843</v>
      </c>
      <c r="P7">
        <v>397</v>
      </c>
      <c r="Q7">
        <v>6</v>
      </c>
      <c r="R7">
        <v>9</v>
      </c>
      <c r="S7">
        <v>107</v>
      </c>
      <c r="T7">
        <v>35</v>
      </c>
    </row>
    <row r="8" spans="1:20" x14ac:dyDescent="0.3">
      <c r="A8" t="s">
        <v>161</v>
      </c>
      <c r="B8" t="s">
        <v>152</v>
      </c>
      <c r="C8" s="20" t="s">
        <v>258</v>
      </c>
      <c r="D8" t="s">
        <v>8</v>
      </c>
      <c r="E8" t="str">
        <f t="shared" si="0"/>
        <v>Sunnis</v>
      </c>
      <c r="F8">
        <f t="shared" si="1"/>
        <v>0.5307291666666667</v>
      </c>
      <c r="G8">
        <f t="shared" si="2"/>
        <v>0.7181481481481482</v>
      </c>
      <c r="H8">
        <f t="shared" si="3"/>
        <v>0.25807870370370373</v>
      </c>
      <c r="I8">
        <v>86400</v>
      </c>
      <c r="J8">
        <v>45855</v>
      </c>
      <c r="K8">
        <v>16193</v>
      </c>
      <c r="L8">
        <v>1957</v>
      </c>
      <c r="M8">
        <v>0</v>
      </c>
      <c r="N8">
        <v>7990</v>
      </c>
      <c r="O8">
        <v>5595</v>
      </c>
      <c r="P8">
        <v>8366</v>
      </c>
      <c r="Q8">
        <v>18</v>
      </c>
      <c r="R8">
        <v>27</v>
      </c>
      <c r="S8">
        <v>302</v>
      </c>
      <c r="T8">
        <v>97</v>
      </c>
    </row>
    <row r="9" spans="1:20" x14ac:dyDescent="0.3">
      <c r="A9" t="s">
        <v>151</v>
      </c>
      <c r="B9" t="s">
        <v>152</v>
      </c>
      <c r="C9" s="18" t="s">
        <v>253</v>
      </c>
      <c r="D9" t="s">
        <v>9</v>
      </c>
      <c r="E9" t="str">
        <f t="shared" si="0"/>
        <v>Sunnis</v>
      </c>
      <c r="F9">
        <f t="shared" si="1"/>
        <v>0.28660090191657273</v>
      </c>
      <c r="G9">
        <f t="shared" si="2"/>
        <v>0.44689966178128521</v>
      </c>
      <c r="H9">
        <f t="shared" si="3"/>
        <v>0.50379932356257051</v>
      </c>
      <c r="I9">
        <v>177400</v>
      </c>
      <c r="J9">
        <v>50843</v>
      </c>
      <c r="K9">
        <v>28437</v>
      </c>
      <c r="L9">
        <v>940</v>
      </c>
      <c r="M9">
        <v>0</v>
      </c>
      <c r="N9">
        <v>27657</v>
      </c>
      <c r="O9">
        <v>16800</v>
      </c>
      <c r="P9">
        <v>32943</v>
      </c>
      <c r="Q9">
        <v>8728</v>
      </c>
      <c r="R9">
        <v>1880</v>
      </c>
      <c r="S9">
        <v>1366</v>
      </c>
      <c r="T9">
        <v>7806</v>
      </c>
    </row>
    <row r="10" spans="1:20" x14ac:dyDescent="0.3">
      <c r="A10" t="s">
        <v>186</v>
      </c>
      <c r="B10" t="s">
        <v>173</v>
      </c>
      <c r="C10" s="18" t="s">
        <v>263</v>
      </c>
      <c r="D10" t="s">
        <v>19</v>
      </c>
      <c r="E10" t="str">
        <f t="shared" ref="E10:E30" si="4">INDEX($J$1:$T$1,MATCH(MAX(J10:T10),J10:T10,0))</f>
        <v>Shittes</v>
      </c>
      <c r="F10">
        <f t="shared" ref="F10:F30" si="5">MAX(J10:T10)/I10</f>
        <v>0.88530145530145532</v>
      </c>
      <c r="G10">
        <f t="shared" ref="G10:G30" si="6">(J10+K10+M10)/I10</f>
        <v>0.88620582120582125</v>
      </c>
      <c r="H10">
        <f t="shared" ref="H10:H30" si="7">SUM(N10:S10)/I10</f>
        <v>0.11379417879417879</v>
      </c>
      <c r="I10">
        <v>96200</v>
      </c>
      <c r="J10">
        <v>87</v>
      </c>
      <c r="K10">
        <v>85166</v>
      </c>
      <c r="L10">
        <v>0</v>
      </c>
      <c r="M10">
        <v>0</v>
      </c>
      <c r="N10">
        <v>8398</v>
      </c>
      <c r="O10">
        <v>0</v>
      </c>
      <c r="P10">
        <v>2078</v>
      </c>
      <c r="Q10">
        <v>423</v>
      </c>
      <c r="R10">
        <v>19</v>
      </c>
      <c r="S10">
        <v>29</v>
      </c>
      <c r="T10">
        <v>0</v>
      </c>
    </row>
    <row r="11" spans="1:20" x14ac:dyDescent="0.3">
      <c r="A11" t="s">
        <v>177</v>
      </c>
      <c r="B11" t="s">
        <v>173</v>
      </c>
      <c r="C11" s="18" t="s">
        <v>263</v>
      </c>
      <c r="D11" t="s">
        <v>20</v>
      </c>
      <c r="E11" t="str">
        <f t="shared" si="4"/>
        <v>Sunnis</v>
      </c>
      <c r="F11">
        <f t="shared" si="5"/>
        <v>0.47038327526132406</v>
      </c>
      <c r="G11">
        <f t="shared" si="6"/>
        <v>0.57937282229965159</v>
      </c>
      <c r="H11">
        <f t="shared" si="7"/>
        <v>0.10181184668989547</v>
      </c>
      <c r="I11">
        <v>28700</v>
      </c>
      <c r="J11">
        <v>13500</v>
      </c>
      <c r="K11">
        <v>3128</v>
      </c>
      <c r="L11">
        <v>9107</v>
      </c>
      <c r="M11">
        <v>0</v>
      </c>
      <c r="N11">
        <v>284</v>
      </c>
      <c r="O11">
        <v>2071</v>
      </c>
      <c r="P11">
        <v>189</v>
      </c>
      <c r="Q11">
        <v>126</v>
      </c>
      <c r="R11">
        <v>6</v>
      </c>
      <c r="S11">
        <v>246</v>
      </c>
      <c r="T11">
        <v>43</v>
      </c>
    </row>
    <row r="12" spans="1:20" x14ac:dyDescent="0.3">
      <c r="A12" t="s">
        <v>180</v>
      </c>
      <c r="B12" t="s">
        <v>173</v>
      </c>
      <c r="C12" s="18" t="s">
        <v>263</v>
      </c>
      <c r="D12" t="s">
        <v>21</v>
      </c>
      <c r="E12" t="str">
        <f t="shared" si="4"/>
        <v>Shittes</v>
      </c>
      <c r="F12">
        <f t="shared" si="5"/>
        <v>0.76239189189189194</v>
      </c>
      <c r="G12">
        <f t="shared" si="6"/>
        <v>0.81837837837837835</v>
      </c>
      <c r="H12">
        <f t="shared" si="7"/>
        <v>0.16106756756756757</v>
      </c>
      <c r="I12">
        <v>74000</v>
      </c>
      <c r="J12">
        <v>4143</v>
      </c>
      <c r="K12">
        <v>56417</v>
      </c>
      <c r="L12">
        <v>1420</v>
      </c>
      <c r="M12">
        <v>0</v>
      </c>
      <c r="N12">
        <v>3978</v>
      </c>
      <c r="O12">
        <v>4841</v>
      </c>
      <c r="P12">
        <v>2214</v>
      </c>
      <c r="Q12">
        <v>295</v>
      </c>
      <c r="R12">
        <v>15</v>
      </c>
      <c r="S12">
        <v>576</v>
      </c>
      <c r="T12">
        <v>101</v>
      </c>
    </row>
    <row r="13" spans="1:20" x14ac:dyDescent="0.3">
      <c r="A13" t="s">
        <v>175</v>
      </c>
      <c r="B13" t="s">
        <v>173</v>
      </c>
      <c r="C13" s="18" t="s">
        <v>263</v>
      </c>
      <c r="D13" t="s">
        <v>22</v>
      </c>
      <c r="E13" t="str">
        <f t="shared" si="4"/>
        <v>Shittes</v>
      </c>
      <c r="F13">
        <f t="shared" si="5"/>
        <v>0.9526026637069922</v>
      </c>
      <c r="G13">
        <f t="shared" si="6"/>
        <v>0.9593951165371809</v>
      </c>
      <c r="H13">
        <f t="shared" si="7"/>
        <v>4.0554938956714762E-2</v>
      </c>
      <c r="I13">
        <v>180200</v>
      </c>
      <c r="J13">
        <v>1224</v>
      </c>
      <c r="K13">
        <v>171659</v>
      </c>
      <c r="L13">
        <v>9</v>
      </c>
      <c r="M13">
        <v>0</v>
      </c>
      <c r="N13">
        <v>5046</v>
      </c>
      <c r="O13">
        <v>90</v>
      </c>
      <c r="P13">
        <v>1352</v>
      </c>
      <c r="Q13">
        <v>811</v>
      </c>
      <c r="R13">
        <v>9</v>
      </c>
      <c r="S13">
        <v>0</v>
      </c>
      <c r="T13">
        <v>0</v>
      </c>
    </row>
    <row r="14" spans="1:20" x14ac:dyDescent="0.3">
      <c r="A14" t="s">
        <v>143</v>
      </c>
      <c r="B14" t="s">
        <v>13</v>
      </c>
      <c r="C14" s="18" t="s">
        <v>254</v>
      </c>
      <c r="D14" t="s">
        <v>11</v>
      </c>
      <c r="E14" t="str">
        <f t="shared" si="4"/>
        <v>Maronite</v>
      </c>
      <c r="F14">
        <f t="shared" si="5"/>
        <v>0.71500386100386104</v>
      </c>
      <c r="G14">
        <f t="shared" si="6"/>
        <v>0.2382934362934363</v>
      </c>
      <c r="H14">
        <f t="shared" si="7"/>
        <v>0.76010810810810814</v>
      </c>
      <c r="I14">
        <v>129500</v>
      </c>
      <c r="J14">
        <v>3392</v>
      </c>
      <c r="K14">
        <v>27428</v>
      </c>
      <c r="L14">
        <v>0</v>
      </c>
      <c r="M14">
        <v>39</v>
      </c>
      <c r="N14">
        <v>92593</v>
      </c>
      <c r="O14">
        <v>3989</v>
      </c>
      <c r="P14">
        <v>518</v>
      </c>
      <c r="Q14">
        <v>1049</v>
      </c>
      <c r="R14">
        <v>130</v>
      </c>
      <c r="S14">
        <v>155</v>
      </c>
      <c r="T14">
        <v>207</v>
      </c>
    </row>
    <row r="15" spans="1:20" x14ac:dyDescent="0.3">
      <c r="A15" t="s">
        <v>146</v>
      </c>
      <c r="B15" t="s">
        <v>13</v>
      </c>
      <c r="C15" s="18" t="s">
        <v>254</v>
      </c>
      <c r="D15" t="s">
        <v>12</v>
      </c>
      <c r="E15" t="str">
        <f t="shared" si="4"/>
        <v>Maronite</v>
      </c>
      <c r="F15">
        <f t="shared" si="5"/>
        <v>0.92160076775431865</v>
      </c>
      <c r="G15">
        <f t="shared" si="6"/>
        <v>2.0598848368522073E-2</v>
      </c>
      <c r="H15">
        <f t="shared" si="7"/>
        <v>0.96680230326295591</v>
      </c>
      <c r="I15">
        <v>260500</v>
      </c>
      <c r="J15">
        <v>651</v>
      </c>
      <c r="K15">
        <v>4689</v>
      </c>
      <c r="L15">
        <v>26</v>
      </c>
      <c r="M15">
        <v>26</v>
      </c>
      <c r="N15">
        <v>240077</v>
      </c>
      <c r="O15">
        <v>2318</v>
      </c>
      <c r="P15">
        <v>5575</v>
      </c>
      <c r="Q15">
        <v>1876</v>
      </c>
      <c r="R15">
        <v>1719</v>
      </c>
      <c r="S15">
        <v>287</v>
      </c>
      <c r="T15">
        <v>3256</v>
      </c>
    </row>
    <row r="16" spans="1:20" x14ac:dyDescent="0.3">
      <c r="A16" t="s">
        <v>158</v>
      </c>
      <c r="B16" t="s">
        <v>15</v>
      </c>
      <c r="C16" s="18" t="s">
        <v>265</v>
      </c>
      <c r="D16" t="s">
        <v>14</v>
      </c>
      <c r="E16" t="str">
        <f t="shared" si="4"/>
        <v>Druze</v>
      </c>
      <c r="F16">
        <f t="shared" si="5"/>
        <v>0.54649933510638293</v>
      </c>
      <c r="G16">
        <f t="shared" si="6"/>
        <v>4.6097074468085107E-2</v>
      </c>
      <c r="H16">
        <f t="shared" si="7"/>
        <v>0.40350398936170212</v>
      </c>
      <c r="I16">
        <v>300800</v>
      </c>
      <c r="J16">
        <v>4000</v>
      </c>
      <c r="K16">
        <v>9866</v>
      </c>
      <c r="L16">
        <v>164387</v>
      </c>
      <c r="M16">
        <v>0</v>
      </c>
      <c r="N16">
        <v>70598</v>
      </c>
      <c r="O16">
        <v>37901</v>
      </c>
      <c r="P16">
        <v>8994</v>
      </c>
      <c r="Q16">
        <v>1594</v>
      </c>
      <c r="R16">
        <v>211</v>
      </c>
      <c r="S16">
        <v>2076</v>
      </c>
      <c r="T16">
        <v>1173</v>
      </c>
    </row>
    <row r="17" spans="1:20" x14ac:dyDescent="0.3">
      <c r="A17" t="s">
        <v>156</v>
      </c>
      <c r="B17" t="s">
        <v>15</v>
      </c>
      <c r="C17" s="2" t="s">
        <v>264</v>
      </c>
      <c r="D17" t="s">
        <v>16</v>
      </c>
      <c r="E17" t="str">
        <f t="shared" si="4"/>
        <v>Maronite</v>
      </c>
      <c r="F17">
        <f t="shared" si="5"/>
        <v>0.36260021668472375</v>
      </c>
      <c r="G17">
        <f t="shared" si="6"/>
        <v>0.31279884434814015</v>
      </c>
      <c r="H17">
        <f t="shared" si="7"/>
        <v>0.49900144456482487</v>
      </c>
      <c r="I17">
        <v>553800</v>
      </c>
      <c r="J17">
        <v>33837</v>
      </c>
      <c r="K17">
        <v>139336</v>
      </c>
      <c r="L17">
        <v>96638</v>
      </c>
      <c r="M17">
        <v>55</v>
      </c>
      <c r="N17">
        <v>200808</v>
      </c>
      <c r="O17">
        <v>41646</v>
      </c>
      <c r="P17">
        <v>25087</v>
      </c>
      <c r="Q17">
        <v>4763</v>
      </c>
      <c r="R17">
        <v>2326</v>
      </c>
      <c r="S17">
        <v>1717</v>
      </c>
      <c r="T17">
        <v>7587</v>
      </c>
    </row>
    <row r="18" spans="1:20" x14ac:dyDescent="0.3">
      <c r="A18" t="s">
        <v>163</v>
      </c>
      <c r="B18" t="s">
        <v>15</v>
      </c>
      <c r="C18" s="2" t="s">
        <v>265</v>
      </c>
      <c r="D18" t="s">
        <v>17</v>
      </c>
      <c r="E18" t="str">
        <f t="shared" si="4"/>
        <v>Druze</v>
      </c>
      <c r="F18">
        <f t="shared" si="5"/>
        <v>0.31610108303249096</v>
      </c>
      <c r="G18">
        <f t="shared" si="6"/>
        <v>0.31919855595667868</v>
      </c>
      <c r="H18">
        <f t="shared" si="7"/>
        <v>0.36419855595667872</v>
      </c>
      <c r="I18">
        <v>277000</v>
      </c>
      <c r="J18">
        <v>82324</v>
      </c>
      <c r="K18">
        <v>6094</v>
      </c>
      <c r="L18">
        <v>87560</v>
      </c>
      <c r="M18">
        <v>0</v>
      </c>
      <c r="N18">
        <v>79915</v>
      </c>
      <c r="O18">
        <v>1080</v>
      </c>
      <c r="P18">
        <v>17977</v>
      </c>
      <c r="Q18">
        <v>914</v>
      </c>
      <c r="R18">
        <v>83</v>
      </c>
      <c r="S18">
        <v>914</v>
      </c>
      <c r="T18">
        <v>139</v>
      </c>
    </row>
    <row r="19" spans="1:20" x14ac:dyDescent="0.3">
      <c r="A19" t="s">
        <v>149</v>
      </c>
      <c r="B19" t="s">
        <v>15</v>
      </c>
      <c r="C19" s="2" t="s">
        <v>255</v>
      </c>
      <c r="D19" t="s">
        <v>18</v>
      </c>
      <c r="E19" t="str">
        <f t="shared" si="4"/>
        <v>Maronite</v>
      </c>
      <c r="F19">
        <f t="shared" si="5"/>
        <v>0.44960078277886495</v>
      </c>
      <c r="G19">
        <f t="shared" si="6"/>
        <v>5.0197651663405091E-2</v>
      </c>
      <c r="H19">
        <f t="shared" si="7"/>
        <v>0.88900195694716244</v>
      </c>
      <c r="I19">
        <v>511000</v>
      </c>
      <c r="J19">
        <v>10066</v>
      </c>
      <c r="K19">
        <v>14972</v>
      </c>
      <c r="L19">
        <v>7103</v>
      </c>
      <c r="M19">
        <v>613</v>
      </c>
      <c r="N19">
        <v>229746</v>
      </c>
      <c r="O19">
        <v>74555</v>
      </c>
      <c r="P19">
        <v>50436</v>
      </c>
      <c r="Q19">
        <v>72051</v>
      </c>
      <c r="R19">
        <v>19469</v>
      </c>
      <c r="S19">
        <v>8023</v>
      </c>
      <c r="T19">
        <v>23966</v>
      </c>
    </row>
    <row r="20" spans="1:20" x14ac:dyDescent="0.3">
      <c r="A20" t="s">
        <v>137</v>
      </c>
      <c r="B20" t="s">
        <v>125</v>
      </c>
      <c r="C20" s="18" t="s">
        <v>261</v>
      </c>
      <c r="D20" t="s">
        <v>23</v>
      </c>
      <c r="E20" t="str">
        <f t="shared" si="4"/>
        <v>Maronite</v>
      </c>
      <c r="F20">
        <f t="shared" si="5"/>
        <v>0.88682512733446517</v>
      </c>
      <c r="G20">
        <f t="shared" si="6"/>
        <v>3.2410865874363329E-2</v>
      </c>
      <c r="H20">
        <f t="shared" si="7"/>
        <v>0.96412563667232598</v>
      </c>
      <c r="I20">
        <v>58900</v>
      </c>
      <c r="J20">
        <v>1401</v>
      </c>
      <c r="K20">
        <v>404</v>
      </c>
      <c r="L20">
        <v>0</v>
      </c>
      <c r="M20">
        <v>104</v>
      </c>
      <c r="N20">
        <v>52234</v>
      </c>
      <c r="O20">
        <v>3465</v>
      </c>
      <c r="P20">
        <v>971</v>
      </c>
      <c r="Q20">
        <v>65</v>
      </c>
      <c r="R20">
        <v>39</v>
      </c>
      <c r="S20">
        <v>13</v>
      </c>
      <c r="T20">
        <v>204</v>
      </c>
    </row>
    <row r="21" spans="1:20" x14ac:dyDescent="0.3">
      <c r="A21" t="s">
        <v>140</v>
      </c>
      <c r="B21" t="s">
        <v>125</v>
      </c>
      <c r="C21" s="18" t="s">
        <v>261</v>
      </c>
      <c r="D21" t="s">
        <v>24</v>
      </c>
      <c r="E21" t="str">
        <f t="shared" si="4"/>
        <v>Maronite</v>
      </c>
      <c r="F21">
        <f t="shared" si="5"/>
        <v>0.9591855203619909</v>
      </c>
      <c r="G21">
        <f t="shared" si="6"/>
        <v>1.2986425339366515E-2</v>
      </c>
      <c r="H21">
        <f t="shared" si="7"/>
        <v>0.98393665158371035</v>
      </c>
      <c r="I21">
        <v>22100</v>
      </c>
      <c r="J21">
        <v>117</v>
      </c>
      <c r="K21">
        <v>135</v>
      </c>
      <c r="L21">
        <v>0</v>
      </c>
      <c r="M21">
        <v>35</v>
      </c>
      <c r="N21">
        <v>21198</v>
      </c>
      <c r="O21">
        <v>346</v>
      </c>
      <c r="P21">
        <v>162</v>
      </c>
      <c r="Q21">
        <v>22</v>
      </c>
      <c r="R21">
        <v>13</v>
      </c>
      <c r="S21">
        <v>4</v>
      </c>
      <c r="T21">
        <v>68</v>
      </c>
    </row>
    <row r="22" spans="1:20" x14ac:dyDescent="0.3">
      <c r="A22" t="s">
        <v>124</v>
      </c>
      <c r="B22" t="s">
        <v>125</v>
      </c>
      <c r="C22" s="18" t="s">
        <v>260</v>
      </c>
      <c r="D22" t="s">
        <v>59</v>
      </c>
      <c r="E22" t="str">
        <f t="shared" si="4"/>
        <v>Sunnis</v>
      </c>
      <c r="F22">
        <f t="shared" si="5"/>
        <v>0.80759671746776085</v>
      </c>
      <c r="G22">
        <f t="shared" si="6"/>
        <v>0.80819460726846426</v>
      </c>
      <c r="H22">
        <f t="shared" si="7"/>
        <v>0.19180539273153577</v>
      </c>
      <c r="I22">
        <v>85300</v>
      </c>
      <c r="J22">
        <v>68888</v>
      </c>
      <c r="K22">
        <v>51</v>
      </c>
      <c r="L22">
        <v>0</v>
      </c>
      <c r="M22">
        <v>0</v>
      </c>
      <c r="N22">
        <v>8684</v>
      </c>
      <c r="O22">
        <v>6850</v>
      </c>
      <c r="P22">
        <v>0</v>
      </c>
      <c r="Q22">
        <v>827</v>
      </c>
      <c r="R22">
        <v>0</v>
      </c>
      <c r="S22">
        <v>0</v>
      </c>
      <c r="T22">
        <v>0</v>
      </c>
    </row>
    <row r="23" spans="1:20" x14ac:dyDescent="0.3">
      <c r="A23" t="s">
        <v>134</v>
      </c>
      <c r="B23" t="s">
        <v>125</v>
      </c>
      <c r="C23" s="18" t="s">
        <v>261</v>
      </c>
      <c r="D23" t="s">
        <v>25</v>
      </c>
      <c r="E23" t="str">
        <f t="shared" si="4"/>
        <v>Orthodox</v>
      </c>
      <c r="F23">
        <f t="shared" si="5"/>
        <v>0.5253782505910165</v>
      </c>
      <c r="G23">
        <f t="shared" si="6"/>
        <v>0.20573286052009457</v>
      </c>
      <c r="H23">
        <f t="shared" si="7"/>
        <v>0.78697399527186762</v>
      </c>
      <c r="I23">
        <v>84600</v>
      </c>
      <c r="J23">
        <v>15870</v>
      </c>
      <c r="K23">
        <v>1220</v>
      </c>
      <c r="L23">
        <v>0</v>
      </c>
      <c r="M23">
        <v>315</v>
      </c>
      <c r="N23">
        <v>21044</v>
      </c>
      <c r="O23">
        <v>44447</v>
      </c>
      <c r="P23">
        <v>733</v>
      </c>
      <c r="Q23">
        <v>197</v>
      </c>
      <c r="R23">
        <v>118</v>
      </c>
      <c r="S23">
        <v>39</v>
      </c>
      <c r="T23">
        <v>617</v>
      </c>
    </row>
    <row r="24" spans="1:20" x14ac:dyDescent="0.3">
      <c r="A24" t="s">
        <v>273</v>
      </c>
      <c r="B24" t="s">
        <v>125</v>
      </c>
      <c r="C24" s="18" t="s">
        <v>260</v>
      </c>
      <c r="D24" t="s">
        <v>60</v>
      </c>
      <c r="E24" t="str">
        <f t="shared" si="4"/>
        <v>Sunnis</v>
      </c>
      <c r="F24">
        <f t="shared" si="5"/>
        <v>0.90290090090090092</v>
      </c>
      <c r="G24">
        <f t="shared" si="6"/>
        <v>0.90300900900900904</v>
      </c>
      <c r="H24">
        <f t="shared" si="7"/>
        <v>9.6990990990990997E-2</v>
      </c>
      <c r="I24">
        <v>55500</v>
      </c>
      <c r="J24">
        <v>50111</v>
      </c>
      <c r="K24">
        <v>6</v>
      </c>
      <c r="L24">
        <v>0</v>
      </c>
      <c r="M24">
        <v>0</v>
      </c>
      <c r="N24">
        <v>416</v>
      </c>
      <c r="O24">
        <v>4146</v>
      </c>
      <c r="P24">
        <v>0</v>
      </c>
      <c r="Q24">
        <v>821</v>
      </c>
      <c r="R24">
        <v>0</v>
      </c>
      <c r="S24">
        <v>0</v>
      </c>
      <c r="T24">
        <v>0</v>
      </c>
    </row>
    <row r="25" spans="1:20" x14ac:dyDescent="0.3">
      <c r="A25" t="s">
        <v>127</v>
      </c>
      <c r="B25" t="s">
        <v>125</v>
      </c>
      <c r="C25" s="18" t="s">
        <v>260</v>
      </c>
      <c r="D25" t="s">
        <v>27</v>
      </c>
      <c r="E25" t="str">
        <f t="shared" si="4"/>
        <v>Sunnis</v>
      </c>
      <c r="F25">
        <f t="shared" si="5"/>
        <v>0.82230106644790812</v>
      </c>
      <c r="G25">
        <f t="shared" si="6"/>
        <v>0.91190319934372432</v>
      </c>
      <c r="H25">
        <f t="shared" si="7"/>
        <v>8.3597210828547985E-2</v>
      </c>
      <c r="I25">
        <v>243800</v>
      </c>
      <c r="J25">
        <v>200477</v>
      </c>
      <c r="K25">
        <v>951</v>
      </c>
      <c r="L25">
        <v>0</v>
      </c>
      <c r="M25">
        <v>20894</v>
      </c>
      <c r="N25">
        <v>4510</v>
      </c>
      <c r="O25">
        <v>13043</v>
      </c>
      <c r="P25">
        <v>1170</v>
      </c>
      <c r="Q25">
        <v>683</v>
      </c>
      <c r="R25">
        <v>390</v>
      </c>
      <c r="S25">
        <v>585</v>
      </c>
      <c r="T25">
        <v>1097</v>
      </c>
    </row>
    <row r="26" spans="1:20" x14ac:dyDescent="0.3">
      <c r="A26" t="s">
        <v>129</v>
      </c>
      <c r="B26" t="s">
        <v>125</v>
      </c>
      <c r="C26" s="18" t="s">
        <v>261</v>
      </c>
      <c r="D26" t="s">
        <v>28</v>
      </c>
      <c r="E26" t="str">
        <f t="shared" si="4"/>
        <v>Maronite</v>
      </c>
      <c r="F26">
        <f t="shared" si="5"/>
        <v>0.88241733181299886</v>
      </c>
      <c r="G26">
        <f t="shared" si="6"/>
        <v>6.7651083238312426E-2</v>
      </c>
      <c r="H26">
        <f t="shared" si="7"/>
        <v>0.9289053591790194</v>
      </c>
      <c r="I26">
        <v>87700</v>
      </c>
      <c r="J26">
        <v>5182</v>
      </c>
      <c r="K26">
        <v>597</v>
      </c>
      <c r="L26">
        <v>0</v>
      </c>
      <c r="M26">
        <v>154</v>
      </c>
      <c r="N26">
        <v>77388</v>
      </c>
      <c r="O26">
        <v>3897</v>
      </c>
      <c r="P26">
        <v>7</v>
      </c>
      <c r="Q26">
        <v>96</v>
      </c>
      <c r="R26">
        <v>58</v>
      </c>
      <c r="S26">
        <v>19</v>
      </c>
      <c r="T26">
        <v>302</v>
      </c>
    </row>
    <row r="27" spans="1:20" x14ac:dyDescent="0.3">
      <c r="A27" t="s">
        <v>168</v>
      </c>
      <c r="B27" t="s">
        <v>169</v>
      </c>
      <c r="C27" s="18" t="s">
        <v>257</v>
      </c>
      <c r="D27" t="s">
        <v>31</v>
      </c>
      <c r="E27" t="str">
        <f t="shared" si="4"/>
        <v>Maronite</v>
      </c>
      <c r="F27">
        <f t="shared" si="5"/>
        <v>0.59950155763239876</v>
      </c>
      <c r="G27">
        <f t="shared" si="6"/>
        <v>0.23102803738317756</v>
      </c>
      <c r="H27">
        <f t="shared" si="7"/>
        <v>0.75937694704049841</v>
      </c>
      <c r="I27">
        <v>32100</v>
      </c>
      <c r="J27">
        <v>579</v>
      </c>
      <c r="K27">
        <v>6837</v>
      </c>
      <c r="L27">
        <v>302</v>
      </c>
      <c r="M27">
        <v>0</v>
      </c>
      <c r="N27">
        <v>19244</v>
      </c>
      <c r="O27">
        <v>51</v>
      </c>
      <c r="P27">
        <v>4709</v>
      </c>
      <c r="Q27">
        <v>356</v>
      </c>
      <c r="R27">
        <v>10</v>
      </c>
      <c r="S27">
        <v>6</v>
      </c>
      <c r="T27">
        <v>6</v>
      </c>
    </row>
    <row r="28" spans="1:20" x14ac:dyDescent="0.3">
      <c r="A28" t="s">
        <v>247</v>
      </c>
      <c r="B28" t="s">
        <v>169</v>
      </c>
      <c r="C28" s="18" t="s">
        <v>257</v>
      </c>
      <c r="D28" t="s">
        <v>170</v>
      </c>
      <c r="E28" t="str">
        <f t="shared" si="4"/>
        <v>Sunnis</v>
      </c>
      <c r="F28">
        <f t="shared" si="5"/>
        <v>0.841191135734072</v>
      </c>
      <c r="G28">
        <f t="shared" si="6"/>
        <v>0.93268698060941824</v>
      </c>
      <c r="H28">
        <f t="shared" si="7"/>
        <v>6.3808864265927981E-2</v>
      </c>
      <c r="I28">
        <v>72200</v>
      </c>
      <c r="J28">
        <v>60734</v>
      </c>
      <c r="K28">
        <v>6606</v>
      </c>
      <c r="L28">
        <v>36</v>
      </c>
      <c r="M28">
        <v>0</v>
      </c>
      <c r="N28">
        <v>1444</v>
      </c>
      <c r="O28">
        <v>217</v>
      </c>
      <c r="P28">
        <v>1993</v>
      </c>
      <c r="Q28">
        <v>780</v>
      </c>
      <c r="R28">
        <v>29</v>
      </c>
      <c r="S28">
        <v>144</v>
      </c>
      <c r="T28">
        <v>217</v>
      </c>
    </row>
    <row r="29" spans="1:20" x14ac:dyDescent="0.3">
      <c r="A29" t="s">
        <v>183</v>
      </c>
      <c r="B29" t="s">
        <v>169</v>
      </c>
      <c r="C29" s="2" t="s">
        <v>262</v>
      </c>
      <c r="D29" t="s">
        <v>32</v>
      </c>
      <c r="E29" t="str">
        <f t="shared" si="4"/>
        <v>Shittes</v>
      </c>
      <c r="F29">
        <f t="shared" si="5"/>
        <v>0.85890105592491206</v>
      </c>
      <c r="G29">
        <f t="shared" si="6"/>
        <v>0.93869769260852565</v>
      </c>
      <c r="H29">
        <f t="shared" si="7"/>
        <v>6.0101681658193198E-2</v>
      </c>
      <c r="I29">
        <v>255700</v>
      </c>
      <c r="J29">
        <v>20404</v>
      </c>
      <c r="K29">
        <v>219621</v>
      </c>
      <c r="L29">
        <v>0</v>
      </c>
      <c r="M29">
        <v>0</v>
      </c>
      <c r="N29">
        <v>3222</v>
      </c>
      <c r="O29">
        <v>793</v>
      </c>
      <c r="P29">
        <v>9512</v>
      </c>
      <c r="Q29">
        <v>895</v>
      </c>
      <c r="R29">
        <v>153</v>
      </c>
      <c r="S29">
        <v>793</v>
      </c>
      <c r="T29">
        <v>307</v>
      </c>
    </row>
    <row r="30" spans="1:20" x14ac:dyDescent="0.3">
      <c r="A30" t="s">
        <v>172</v>
      </c>
      <c r="B30" t="s">
        <v>169</v>
      </c>
      <c r="C30" s="35" t="s">
        <v>262</v>
      </c>
      <c r="D30" t="s">
        <v>274</v>
      </c>
      <c r="E30" t="str">
        <f t="shared" si="4"/>
        <v>Shittes</v>
      </c>
      <c r="F30">
        <f t="shared" si="5"/>
        <v>0.74020053475935832</v>
      </c>
      <c r="G30">
        <f t="shared" si="6"/>
        <v>0.77040106951871656</v>
      </c>
      <c r="H30">
        <f t="shared" si="7"/>
        <v>0.2290017825311943</v>
      </c>
      <c r="I30">
        <v>224400</v>
      </c>
      <c r="J30">
        <v>6777</v>
      </c>
      <c r="K30">
        <v>166101</v>
      </c>
      <c r="L30">
        <v>112</v>
      </c>
      <c r="M30">
        <v>0</v>
      </c>
      <c r="N30">
        <v>21812</v>
      </c>
      <c r="O30">
        <v>539</v>
      </c>
      <c r="P30">
        <v>26524</v>
      </c>
      <c r="Q30">
        <v>1324</v>
      </c>
      <c r="R30">
        <v>67</v>
      </c>
      <c r="S30">
        <v>1122</v>
      </c>
      <c r="T30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4C7DC-86F3-4FF0-93F7-4E853A6EA47D}">
  <dimension ref="A1:R30"/>
  <sheetViews>
    <sheetView tabSelected="1" workbookViewId="0">
      <selection activeCell="G27" sqref="G27"/>
    </sheetView>
  </sheetViews>
  <sheetFormatPr defaultRowHeight="14.4" x14ac:dyDescent="0.3"/>
  <cols>
    <col min="7" max="19" width="8.77734375" customWidth="1"/>
  </cols>
  <sheetData>
    <row r="1" spans="1:18" s="1" customFormat="1" x14ac:dyDescent="0.3">
      <c r="A1" s="1" t="s">
        <v>287</v>
      </c>
      <c r="B1" s="1" t="s">
        <v>286</v>
      </c>
      <c r="C1" s="1" t="s">
        <v>270</v>
      </c>
      <c r="D1" s="1" t="s">
        <v>0</v>
      </c>
      <c r="E1" s="1" t="s">
        <v>199</v>
      </c>
      <c r="F1" s="1" t="s">
        <v>197</v>
      </c>
      <c r="G1" s="1" t="s">
        <v>271</v>
      </c>
      <c r="H1" s="1" t="s">
        <v>190</v>
      </c>
      <c r="I1" s="1" t="s">
        <v>191</v>
      </c>
      <c r="J1" s="1" t="s">
        <v>38</v>
      </c>
      <c r="K1" s="1" t="s">
        <v>192</v>
      </c>
      <c r="L1" s="1" t="s">
        <v>41</v>
      </c>
      <c r="M1" s="1" t="s">
        <v>48</v>
      </c>
      <c r="N1" s="1" t="s">
        <v>193</v>
      </c>
      <c r="O1" s="1" t="s">
        <v>49</v>
      </c>
      <c r="P1" s="1" t="s">
        <v>194</v>
      </c>
      <c r="Q1" s="1" t="s">
        <v>285</v>
      </c>
      <c r="R1" s="1" t="s">
        <v>196</v>
      </c>
    </row>
    <row r="2" spans="1:18" x14ac:dyDescent="0.3">
      <c r="A2" t="s">
        <v>117</v>
      </c>
      <c r="B2" s="18" t="s">
        <v>256</v>
      </c>
      <c r="C2" t="s">
        <v>2</v>
      </c>
      <c r="D2" t="s">
        <v>2</v>
      </c>
      <c r="E2">
        <v>324000</v>
      </c>
      <c r="F2" t="str">
        <f>INDEX($H$1:$R$1, MATCH(MAX(H2:R2),H2:R2,0))</f>
        <v>Sunni</v>
      </c>
      <c r="G2">
        <f>MAX(H2:R2)/E2</f>
        <v>0.67475617283950617</v>
      </c>
      <c r="H2">
        <v>218621</v>
      </c>
      <c r="I2">
        <v>3406</v>
      </c>
      <c r="J2">
        <v>0</v>
      </c>
      <c r="K2">
        <v>16104</v>
      </c>
      <c r="L2">
        <v>35341</v>
      </c>
      <c r="M2">
        <v>47506</v>
      </c>
      <c r="N2">
        <v>2001</v>
      </c>
      <c r="O2">
        <v>32</v>
      </c>
      <c r="P2">
        <v>32</v>
      </c>
      <c r="Q2">
        <v>957</v>
      </c>
      <c r="R2">
        <v>0</v>
      </c>
    </row>
    <row r="3" spans="1:18" x14ac:dyDescent="0.3">
      <c r="A3" t="s">
        <v>131</v>
      </c>
      <c r="B3" s="18" t="s">
        <v>259</v>
      </c>
      <c r="C3" t="s">
        <v>5</v>
      </c>
      <c r="D3" t="s">
        <v>3</v>
      </c>
      <c r="E3">
        <v>214600</v>
      </c>
      <c r="F3" t="str">
        <f>INDEX($H$1:$R$1, MATCH(MAX(H3:R3),H3:R3,0))</f>
        <v>Shia</v>
      </c>
      <c r="G3">
        <f>MAX(H3:R3)/E3</f>
        <v>0.70004193849021434</v>
      </c>
      <c r="H3">
        <v>31769</v>
      </c>
      <c r="I3">
        <v>150229</v>
      </c>
      <c r="J3">
        <v>0</v>
      </c>
      <c r="K3">
        <v>66</v>
      </c>
      <c r="L3">
        <v>17851</v>
      </c>
      <c r="M3">
        <v>1773</v>
      </c>
      <c r="N3">
        <v>12825</v>
      </c>
      <c r="O3">
        <v>87</v>
      </c>
      <c r="P3">
        <v>0</v>
      </c>
      <c r="Q3">
        <v>0</v>
      </c>
      <c r="R3">
        <v>0</v>
      </c>
    </row>
    <row r="4" spans="1:18" x14ac:dyDescent="0.3">
      <c r="A4" t="s">
        <v>120</v>
      </c>
      <c r="B4" s="18" t="s">
        <v>259</v>
      </c>
      <c r="C4" t="s">
        <v>5</v>
      </c>
      <c r="D4" t="s">
        <v>4</v>
      </c>
      <c r="E4">
        <v>30500</v>
      </c>
      <c r="F4" t="str">
        <f>INDEX($H$1:$R$1, MATCH(MAX(H4:R4),H4:R4,0))</f>
        <v>Shia</v>
      </c>
      <c r="G4">
        <f>MAX(H4:R4)/E4</f>
        <v>0.95695081967213114</v>
      </c>
      <c r="H4">
        <v>815</v>
      </c>
      <c r="I4">
        <v>29187</v>
      </c>
      <c r="J4">
        <v>0</v>
      </c>
      <c r="K4">
        <v>8</v>
      </c>
      <c r="L4">
        <v>160</v>
      </c>
      <c r="M4">
        <v>1</v>
      </c>
      <c r="N4">
        <v>318</v>
      </c>
      <c r="O4">
        <v>11</v>
      </c>
      <c r="P4">
        <v>0</v>
      </c>
      <c r="Q4">
        <v>0</v>
      </c>
      <c r="R4">
        <v>0</v>
      </c>
    </row>
    <row r="5" spans="1:18" x14ac:dyDescent="0.3">
      <c r="A5" t="s">
        <v>249</v>
      </c>
      <c r="B5" s="18" t="s">
        <v>66</v>
      </c>
      <c r="C5" t="s">
        <v>6</v>
      </c>
      <c r="D5" t="s">
        <v>66</v>
      </c>
      <c r="E5">
        <v>120200</v>
      </c>
      <c r="F5" t="str">
        <f>INDEX($H$1:$R$1, MATCH(MAX(H5:R5),H5:R5,0))</f>
        <v>Armenian Orthodox</v>
      </c>
      <c r="G5">
        <f>MAX(H5:R5)/E5</f>
        <v>0.28433444259567386</v>
      </c>
      <c r="H5">
        <v>11775</v>
      </c>
      <c r="I5">
        <v>2401</v>
      </c>
      <c r="J5">
        <v>337</v>
      </c>
      <c r="K5">
        <v>120</v>
      </c>
      <c r="L5">
        <v>15792</v>
      </c>
      <c r="M5">
        <v>22832</v>
      </c>
      <c r="N5">
        <v>11819</v>
      </c>
      <c r="O5">
        <v>34177</v>
      </c>
      <c r="P5">
        <v>6725</v>
      </c>
      <c r="Q5">
        <v>3447</v>
      </c>
      <c r="R5">
        <v>10775</v>
      </c>
    </row>
    <row r="6" spans="1:18" x14ac:dyDescent="0.3">
      <c r="A6" t="s">
        <v>154</v>
      </c>
      <c r="B6" s="18" t="s">
        <v>67</v>
      </c>
      <c r="C6" t="s">
        <v>6</v>
      </c>
      <c r="D6" t="s">
        <v>67</v>
      </c>
      <c r="E6">
        <v>221500</v>
      </c>
      <c r="F6" t="str">
        <f>INDEX($H$1:$R$1, MATCH(MAX(H6:R6),H6:R6,0))</f>
        <v>Sunni</v>
      </c>
      <c r="G6">
        <f>MAX(H6:R6)/E6</f>
        <v>0.62944018058690743</v>
      </c>
      <c r="H6">
        <v>139421</v>
      </c>
      <c r="I6">
        <v>44631</v>
      </c>
      <c r="J6">
        <v>3442</v>
      </c>
      <c r="K6">
        <v>72</v>
      </c>
      <c r="L6">
        <v>4115</v>
      </c>
      <c r="M6">
        <v>11085</v>
      </c>
      <c r="N6">
        <v>3612</v>
      </c>
      <c r="O6">
        <v>3664</v>
      </c>
      <c r="P6">
        <v>997</v>
      </c>
      <c r="Q6">
        <v>1660</v>
      </c>
      <c r="R6">
        <v>8801</v>
      </c>
    </row>
    <row r="7" spans="1:18" x14ac:dyDescent="0.3">
      <c r="A7" t="s">
        <v>151</v>
      </c>
      <c r="B7" s="18" t="s">
        <v>253</v>
      </c>
      <c r="C7" t="s">
        <v>152</v>
      </c>
      <c r="D7" t="s">
        <v>9</v>
      </c>
      <c r="E7">
        <v>177400</v>
      </c>
      <c r="F7" t="str">
        <f>INDEX($H$1:$R$1, MATCH(MAX(H7:R7),H7:R7,0))</f>
        <v>Sunni</v>
      </c>
      <c r="G7">
        <f>MAX(H7:R7)/E7</f>
        <v>0.28320180383314542</v>
      </c>
      <c r="H7">
        <v>50240</v>
      </c>
      <c r="I7">
        <v>28311</v>
      </c>
      <c r="J7">
        <v>931</v>
      </c>
      <c r="K7">
        <v>0</v>
      </c>
      <c r="L7">
        <v>27808</v>
      </c>
      <c r="M7">
        <v>16932</v>
      </c>
      <c r="N7">
        <v>33202</v>
      </c>
      <c r="O7">
        <v>8846</v>
      </c>
      <c r="P7">
        <v>1898</v>
      </c>
      <c r="Q7">
        <v>1375</v>
      </c>
      <c r="R7">
        <v>7857</v>
      </c>
    </row>
    <row r="8" spans="1:18" x14ac:dyDescent="0.3">
      <c r="A8" t="s">
        <v>166</v>
      </c>
      <c r="B8" s="20" t="s">
        <v>258</v>
      </c>
      <c r="C8" t="s">
        <v>10</v>
      </c>
      <c r="D8" t="s">
        <v>7</v>
      </c>
      <c r="E8">
        <v>33800</v>
      </c>
      <c r="F8" t="str">
        <f>INDEX($H$1:$R$1, MATCH(MAX(H8:R8),H8:R8,0))</f>
        <v>Druze</v>
      </c>
      <c r="G8">
        <f>MAX(H8:R8)/E8</f>
        <v>0.46621301775147928</v>
      </c>
      <c r="H8">
        <v>12580</v>
      </c>
      <c r="I8">
        <v>1436</v>
      </c>
      <c r="J8">
        <v>15758</v>
      </c>
      <c r="K8">
        <v>0</v>
      </c>
      <c r="L8">
        <v>574</v>
      </c>
      <c r="M8">
        <v>2895</v>
      </c>
      <c r="N8">
        <v>403</v>
      </c>
      <c r="O8">
        <v>6</v>
      </c>
      <c r="P8">
        <v>9</v>
      </c>
      <c r="Q8">
        <v>105</v>
      </c>
      <c r="R8">
        <v>34</v>
      </c>
    </row>
    <row r="9" spans="1:18" x14ac:dyDescent="0.3">
      <c r="A9" t="s">
        <v>161</v>
      </c>
      <c r="B9" s="20" t="s">
        <v>258</v>
      </c>
      <c r="C9" t="s">
        <v>10</v>
      </c>
      <c r="D9" t="s">
        <v>8</v>
      </c>
      <c r="E9">
        <v>86400</v>
      </c>
      <c r="F9" t="str">
        <f>INDEX($H$1:$R$1, MATCH(MAX(H9:R9),H9:R9,0))</f>
        <v>Sunni</v>
      </c>
      <c r="G9">
        <f>MAX(H9:R9)/E9</f>
        <v>0.52612268518518523</v>
      </c>
      <c r="H9">
        <v>45457</v>
      </c>
      <c r="I9">
        <v>16201</v>
      </c>
      <c r="J9">
        <v>1975</v>
      </c>
      <c r="K9">
        <v>0</v>
      </c>
      <c r="L9">
        <v>8102</v>
      </c>
      <c r="M9">
        <v>5717</v>
      </c>
      <c r="N9">
        <v>8514</v>
      </c>
      <c r="O9">
        <v>17</v>
      </c>
      <c r="P9">
        <v>26</v>
      </c>
      <c r="Q9">
        <v>296</v>
      </c>
      <c r="R9">
        <v>95</v>
      </c>
    </row>
    <row r="10" spans="1:18" x14ac:dyDescent="0.3">
      <c r="A10" t="s">
        <v>143</v>
      </c>
      <c r="B10" s="2" t="s">
        <v>254</v>
      </c>
      <c r="C10" t="s">
        <v>13</v>
      </c>
      <c r="D10" t="s">
        <v>11</v>
      </c>
      <c r="E10" s="41">
        <v>129500</v>
      </c>
      <c r="F10" t="str">
        <f>INDEX($H$1:$R$1, MATCH(MAX(H10:R10),H10:R10,0))</f>
        <v>Maronite</v>
      </c>
      <c r="G10">
        <f>MAX(H10:R10)/E10</f>
        <v>0.6382007722007722</v>
      </c>
      <c r="H10">
        <v>4306</v>
      </c>
      <c r="I10">
        <v>35181</v>
      </c>
      <c r="J10">
        <v>0</v>
      </c>
      <c r="K10">
        <v>36</v>
      </c>
      <c r="L10">
        <v>82647</v>
      </c>
      <c r="M10">
        <v>4548</v>
      </c>
      <c r="N10">
        <v>401</v>
      </c>
      <c r="O10">
        <v>1842</v>
      </c>
      <c r="P10">
        <v>118</v>
      </c>
      <c r="Q10">
        <v>183</v>
      </c>
      <c r="R10">
        <v>238</v>
      </c>
    </row>
    <row r="11" spans="1:18" x14ac:dyDescent="0.3">
      <c r="A11" t="s">
        <v>146</v>
      </c>
      <c r="B11" s="2" t="s">
        <v>254</v>
      </c>
      <c r="C11" t="s">
        <v>13</v>
      </c>
      <c r="D11" t="s">
        <v>12</v>
      </c>
      <c r="E11" s="41">
        <v>260500</v>
      </c>
      <c r="F11" t="str">
        <f>INDEX($H$1:$R$1, MATCH(MAX(H11:R11),H11:R11,0))</f>
        <v>Maronite</v>
      </c>
      <c r="G11">
        <f>MAX(H11:R11)/E11</f>
        <v>0.90399232245681382</v>
      </c>
      <c r="H11">
        <v>908</v>
      </c>
      <c r="I11">
        <v>6610</v>
      </c>
      <c r="J11">
        <v>0</v>
      </c>
      <c r="K11">
        <v>26</v>
      </c>
      <c r="L11">
        <v>235490</v>
      </c>
      <c r="M11">
        <v>2905</v>
      </c>
      <c r="N11">
        <v>4742</v>
      </c>
      <c r="O11">
        <v>3621</v>
      </c>
      <c r="P11">
        <v>1715</v>
      </c>
      <c r="Q11">
        <v>372</v>
      </c>
      <c r="R11">
        <v>4111</v>
      </c>
    </row>
    <row r="12" spans="1:18" x14ac:dyDescent="0.3">
      <c r="A12" t="s">
        <v>158</v>
      </c>
      <c r="B12" s="18" t="s">
        <v>265</v>
      </c>
      <c r="C12" t="s">
        <v>15</v>
      </c>
      <c r="D12" t="s">
        <v>14</v>
      </c>
      <c r="E12">
        <v>300800</v>
      </c>
      <c r="F12" t="str">
        <f>INDEX($H$1:$R$1, MATCH(MAX(H12:R12),H12:R12,0))</f>
        <v>Druze</v>
      </c>
      <c r="G12">
        <f>MAX(H12:R12)/E12</f>
        <v>0.53342752659574466</v>
      </c>
      <c r="H12">
        <v>5848</v>
      </c>
      <c r="I12">
        <v>9964</v>
      </c>
      <c r="J12">
        <v>160455</v>
      </c>
      <c r="K12">
        <v>0</v>
      </c>
      <c r="L12">
        <v>79817</v>
      </c>
      <c r="M12">
        <v>28085</v>
      </c>
      <c r="N12">
        <v>10676</v>
      </c>
      <c r="O12">
        <v>1555</v>
      </c>
      <c r="P12">
        <v>217</v>
      </c>
      <c r="Q12">
        <v>2703</v>
      </c>
      <c r="R12">
        <v>1480</v>
      </c>
    </row>
    <row r="13" spans="1:18" x14ac:dyDescent="0.3">
      <c r="A13" t="s">
        <v>156</v>
      </c>
      <c r="B13" s="18" t="s">
        <v>264</v>
      </c>
      <c r="C13" t="s">
        <v>15</v>
      </c>
      <c r="D13" t="s">
        <v>16</v>
      </c>
      <c r="E13">
        <v>553800</v>
      </c>
      <c r="F13" t="str">
        <f>INDEX($H$1:$R$1, MATCH(MAX(H13:R13),H13:R13,0))</f>
        <v>Maronite</v>
      </c>
      <c r="G13">
        <f>MAX(H13:R13)/E13</f>
        <v>0.35544600938967136</v>
      </c>
      <c r="H13">
        <v>33833</v>
      </c>
      <c r="I13">
        <v>139581</v>
      </c>
      <c r="J13">
        <v>97393</v>
      </c>
      <c r="K13">
        <v>55</v>
      </c>
      <c r="L13">
        <v>196846</v>
      </c>
      <c r="M13">
        <v>42130</v>
      </c>
      <c r="N13">
        <v>25472</v>
      </c>
      <c r="O13">
        <v>4430</v>
      </c>
      <c r="P13">
        <v>2215</v>
      </c>
      <c r="Q13">
        <v>2186</v>
      </c>
      <c r="R13">
        <v>9659</v>
      </c>
    </row>
    <row r="14" spans="1:18" x14ac:dyDescent="0.3">
      <c r="A14" t="s">
        <v>163</v>
      </c>
      <c r="B14" s="18" t="s">
        <v>265</v>
      </c>
      <c r="C14" t="s">
        <v>15</v>
      </c>
      <c r="D14" t="s">
        <v>17</v>
      </c>
      <c r="E14">
        <v>277000</v>
      </c>
      <c r="F14" t="str">
        <f>INDEX($H$1:$R$1, MATCH(MAX(H14:R14),H14:R14,0))</f>
        <v>Sunni</v>
      </c>
      <c r="G14">
        <f>MAX(H14:R14)/E14</f>
        <v>0.36827436823104692</v>
      </c>
      <c r="H14">
        <v>102012</v>
      </c>
      <c r="I14">
        <v>5216</v>
      </c>
      <c r="J14">
        <v>72440</v>
      </c>
      <c r="K14">
        <v>0</v>
      </c>
      <c r="L14">
        <v>76581</v>
      </c>
      <c r="M14">
        <v>678</v>
      </c>
      <c r="N14">
        <v>18087</v>
      </c>
      <c r="O14">
        <v>756</v>
      </c>
      <c r="P14">
        <v>72</v>
      </c>
      <c r="Q14">
        <v>1009</v>
      </c>
      <c r="R14">
        <v>149</v>
      </c>
    </row>
    <row r="15" spans="1:18" x14ac:dyDescent="0.3">
      <c r="A15" t="s">
        <v>149</v>
      </c>
      <c r="B15" s="18" t="s">
        <v>255</v>
      </c>
      <c r="C15" t="s">
        <v>15</v>
      </c>
      <c r="D15" t="s">
        <v>18</v>
      </c>
      <c r="E15">
        <v>511000</v>
      </c>
      <c r="F15" t="str">
        <f>INDEX($H$1:$R$1, MATCH(MAX(H15:R15),H15:R15,0))</f>
        <v>Maronite</v>
      </c>
      <c r="G15">
        <f>MAX(H15:R15)/E15</f>
        <v>0.44730919765166338</v>
      </c>
      <c r="H15">
        <v>9620</v>
      </c>
      <c r="I15">
        <v>15482</v>
      </c>
      <c r="J15">
        <v>7050</v>
      </c>
      <c r="K15">
        <v>608</v>
      </c>
      <c r="L15">
        <v>228575</v>
      </c>
      <c r="M15">
        <v>74488</v>
      </c>
      <c r="N15">
        <v>50221</v>
      </c>
      <c r="O15">
        <v>73134</v>
      </c>
      <c r="P15">
        <v>19750</v>
      </c>
      <c r="Q15">
        <v>8044</v>
      </c>
      <c r="R15">
        <v>24028</v>
      </c>
    </row>
    <row r="16" spans="1:18" x14ac:dyDescent="0.3">
      <c r="A16" t="s">
        <v>186</v>
      </c>
      <c r="B16" s="18" t="s">
        <v>263</v>
      </c>
      <c r="C16" t="s">
        <v>22</v>
      </c>
      <c r="D16" t="s">
        <v>19</v>
      </c>
      <c r="E16">
        <v>96200</v>
      </c>
      <c r="F16" t="str">
        <f>INDEX($H$1:$R$1, MATCH(MAX(H16:R16),H16:R16,0))</f>
        <v>Shia</v>
      </c>
      <c r="G16">
        <f>MAX(H16:R16)/E16</f>
        <v>0.86399168399168402</v>
      </c>
      <c r="H16">
        <v>179</v>
      </c>
      <c r="I16">
        <v>83116</v>
      </c>
      <c r="J16">
        <v>0</v>
      </c>
      <c r="K16">
        <v>0</v>
      </c>
      <c r="L16">
        <v>9794</v>
      </c>
      <c r="M16">
        <v>0</v>
      </c>
      <c r="N16">
        <v>2587</v>
      </c>
      <c r="O16">
        <v>448</v>
      </c>
      <c r="P16">
        <v>21</v>
      </c>
      <c r="Q16">
        <v>55</v>
      </c>
      <c r="R16">
        <v>0</v>
      </c>
    </row>
    <row r="17" spans="1:18" x14ac:dyDescent="0.3">
      <c r="A17" t="s">
        <v>177</v>
      </c>
      <c r="B17" s="18" t="s">
        <v>263</v>
      </c>
      <c r="C17" t="s">
        <v>22</v>
      </c>
      <c r="D17" t="s">
        <v>20</v>
      </c>
      <c r="E17">
        <v>28700</v>
      </c>
      <c r="F17" t="str">
        <f>INDEX($H$1:$R$1, MATCH(MAX(H17:R17),H17:R17,0))</f>
        <v>Sunni</v>
      </c>
      <c r="G17">
        <f>MAX(H17:R17)/E17</f>
        <v>0.48393728222996518</v>
      </c>
      <c r="H17">
        <v>13889</v>
      </c>
      <c r="I17">
        <v>1531</v>
      </c>
      <c r="J17">
        <v>10858</v>
      </c>
      <c r="K17">
        <v>0</v>
      </c>
      <c r="L17">
        <v>166</v>
      </c>
      <c r="M17">
        <v>1792</v>
      </c>
      <c r="N17">
        <v>118</v>
      </c>
      <c r="O17">
        <v>67</v>
      </c>
      <c r="P17">
        <v>3</v>
      </c>
      <c r="Q17">
        <v>235</v>
      </c>
      <c r="R17">
        <v>41</v>
      </c>
    </row>
    <row r="18" spans="1:18" x14ac:dyDescent="0.3">
      <c r="A18" t="s">
        <v>180</v>
      </c>
      <c r="B18" s="18" t="s">
        <v>263</v>
      </c>
      <c r="C18" t="s">
        <v>22</v>
      </c>
      <c r="D18" t="s">
        <v>21</v>
      </c>
      <c r="E18">
        <v>74000</v>
      </c>
      <c r="F18" t="str">
        <f>INDEX($H$1:$R$1, MATCH(MAX(H18:R18),H18:R18,0))</f>
        <v>Shia</v>
      </c>
      <c r="G18">
        <f>MAX(H18:R18)/E18</f>
        <v>0.65306756756756756</v>
      </c>
      <c r="H18">
        <v>7460</v>
      </c>
      <c r="I18">
        <v>48327</v>
      </c>
      <c r="J18">
        <v>2964</v>
      </c>
      <c r="K18">
        <v>0</v>
      </c>
      <c r="L18">
        <v>4072</v>
      </c>
      <c r="M18">
        <v>7333</v>
      </c>
      <c r="N18">
        <v>2420</v>
      </c>
      <c r="O18">
        <v>274</v>
      </c>
      <c r="P18">
        <v>15</v>
      </c>
      <c r="Q18">
        <v>964</v>
      </c>
      <c r="R18">
        <v>171</v>
      </c>
    </row>
    <row r="19" spans="1:18" x14ac:dyDescent="0.3">
      <c r="A19" t="s">
        <v>175</v>
      </c>
      <c r="B19" s="2" t="s">
        <v>263</v>
      </c>
      <c r="C19" t="s">
        <v>22</v>
      </c>
      <c r="D19" t="s">
        <v>22</v>
      </c>
      <c r="E19">
        <v>180200</v>
      </c>
      <c r="F19" t="str">
        <f>INDEX($H$1:$R$1, MATCH(MAX(H19:R19),H19:R19,0))</f>
        <v>Shia</v>
      </c>
      <c r="G19">
        <f>MAX(H19:R19)/E19</f>
        <v>0.93773029966703658</v>
      </c>
      <c r="H19">
        <v>2532</v>
      </c>
      <c r="I19">
        <v>168979</v>
      </c>
      <c r="J19">
        <v>22</v>
      </c>
      <c r="K19">
        <v>0</v>
      </c>
      <c r="L19">
        <v>5936</v>
      </c>
      <c r="M19">
        <v>157</v>
      </c>
      <c r="N19">
        <v>1698</v>
      </c>
      <c r="O19">
        <v>866</v>
      </c>
      <c r="P19">
        <v>10</v>
      </c>
      <c r="Q19">
        <v>0</v>
      </c>
      <c r="R19">
        <v>0</v>
      </c>
    </row>
    <row r="20" spans="1:18" x14ac:dyDescent="0.3">
      <c r="A20" t="s">
        <v>137</v>
      </c>
      <c r="B20" s="18" t="s">
        <v>261</v>
      </c>
      <c r="C20" t="s">
        <v>29</v>
      </c>
      <c r="D20" t="s">
        <v>23</v>
      </c>
      <c r="E20">
        <v>58900</v>
      </c>
      <c r="F20" t="str">
        <f>INDEX($H$1:$R$1, MATCH(MAX(H20:R20),H20:R20,0))</f>
        <v>Maronite</v>
      </c>
      <c r="G20">
        <f>MAX(H20:R20)/E20</f>
        <v>0.88723259762309004</v>
      </c>
      <c r="H20">
        <v>1409</v>
      </c>
      <c r="I20">
        <v>406</v>
      </c>
      <c r="J20">
        <v>0</v>
      </c>
      <c r="K20">
        <v>105</v>
      </c>
      <c r="L20">
        <v>52258</v>
      </c>
      <c r="M20">
        <v>3483</v>
      </c>
      <c r="N20">
        <v>968</v>
      </c>
      <c r="O20">
        <v>65</v>
      </c>
      <c r="P20">
        <v>39</v>
      </c>
      <c r="Q20">
        <v>10</v>
      </c>
      <c r="R20">
        <v>157</v>
      </c>
    </row>
    <row r="21" spans="1:18" x14ac:dyDescent="0.3">
      <c r="A21" t="s">
        <v>140</v>
      </c>
      <c r="B21" s="18" t="s">
        <v>261</v>
      </c>
      <c r="C21" t="s">
        <v>29</v>
      </c>
      <c r="D21" t="s">
        <v>24</v>
      </c>
      <c r="E21">
        <v>22100</v>
      </c>
      <c r="F21" t="str">
        <f>INDEX($H$1:$R$1, MATCH(MAX(H21:R21),H21:R21,0))</f>
        <v>Maronite</v>
      </c>
      <c r="G21">
        <f>MAX(H21:R21)/E21</f>
        <v>0.95977375565610856</v>
      </c>
      <c r="H21">
        <v>117</v>
      </c>
      <c r="I21">
        <v>136</v>
      </c>
      <c r="J21">
        <v>0</v>
      </c>
      <c r="K21">
        <v>36</v>
      </c>
      <c r="L21">
        <v>21211</v>
      </c>
      <c r="M21">
        <v>348</v>
      </c>
      <c r="N21">
        <v>162</v>
      </c>
      <c r="O21">
        <v>22</v>
      </c>
      <c r="P21">
        <v>13</v>
      </c>
      <c r="Q21">
        <v>3</v>
      </c>
      <c r="R21">
        <v>52</v>
      </c>
    </row>
    <row r="22" spans="1:18" x14ac:dyDescent="0.3">
      <c r="A22" t="s">
        <v>124</v>
      </c>
      <c r="B22" s="18" t="s">
        <v>260</v>
      </c>
      <c r="C22" t="s">
        <v>29</v>
      </c>
      <c r="D22" t="s">
        <v>59</v>
      </c>
      <c r="E22">
        <v>85300</v>
      </c>
      <c r="F22" t="str">
        <f>INDEX($H$1:$R$1, MATCH(MAX(H22:R22),H22:R22,0))</f>
        <v>Sunni</v>
      </c>
      <c r="G22">
        <f>MAX(H22:R22)/E22</f>
        <v>0.81130128956623682</v>
      </c>
      <c r="H22">
        <v>69204</v>
      </c>
      <c r="I22">
        <v>52</v>
      </c>
      <c r="J22">
        <v>0</v>
      </c>
      <c r="K22">
        <v>0</v>
      </c>
      <c r="L22">
        <v>8393</v>
      </c>
      <c r="M22">
        <v>6940</v>
      </c>
      <c r="N22">
        <v>0</v>
      </c>
      <c r="O22">
        <v>711</v>
      </c>
      <c r="P22">
        <v>0</v>
      </c>
      <c r="Q22">
        <v>0</v>
      </c>
      <c r="R22">
        <v>0</v>
      </c>
    </row>
    <row r="23" spans="1:18" x14ac:dyDescent="0.3">
      <c r="A23" t="s">
        <v>134</v>
      </c>
      <c r="B23" s="18" t="s">
        <v>261</v>
      </c>
      <c r="C23" t="s">
        <v>29</v>
      </c>
      <c r="D23" t="s">
        <v>25</v>
      </c>
      <c r="E23">
        <v>84600</v>
      </c>
      <c r="F23" t="str">
        <f>INDEX($H$1:$R$1, MATCH(MAX(H23:R23),H23:R23,0))</f>
        <v>Orthodox</v>
      </c>
      <c r="G23">
        <f>MAX(H23:R23)/E23</f>
        <v>0.52693853427895976</v>
      </c>
      <c r="H23">
        <v>15921</v>
      </c>
      <c r="I23">
        <v>1224</v>
      </c>
      <c r="J23">
        <v>0</v>
      </c>
      <c r="K23">
        <v>319</v>
      </c>
      <c r="L23">
        <v>21010</v>
      </c>
      <c r="M23">
        <v>44579</v>
      </c>
      <c r="N23">
        <v>729</v>
      </c>
      <c r="O23">
        <v>197</v>
      </c>
      <c r="P23">
        <v>118</v>
      </c>
      <c r="Q23">
        <v>30</v>
      </c>
      <c r="R23">
        <v>473</v>
      </c>
    </row>
    <row r="24" spans="1:18" x14ac:dyDescent="0.3">
      <c r="A24" t="s">
        <v>273</v>
      </c>
      <c r="B24" s="18" t="s">
        <v>260</v>
      </c>
      <c r="C24" t="s">
        <v>29</v>
      </c>
      <c r="D24" t="s">
        <v>60</v>
      </c>
      <c r="E24">
        <v>55500</v>
      </c>
      <c r="F24" t="str">
        <f>INDEX($H$1:$R$1, MATCH(MAX(H24:R24),H24:R24,0))</f>
        <v>Sunni</v>
      </c>
      <c r="G24">
        <f>MAX(H24:R24)/E24</f>
        <v>0.90450450450450448</v>
      </c>
      <c r="H24">
        <v>50200</v>
      </c>
      <c r="I24">
        <v>6</v>
      </c>
      <c r="J24">
        <v>0</v>
      </c>
      <c r="K24">
        <v>0</v>
      </c>
      <c r="L24">
        <v>401</v>
      </c>
      <c r="M24">
        <v>4189</v>
      </c>
      <c r="N24">
        <v>0</v>
      </c>
      <c r="O24">
        <v>704</v>
      </c>
      <c r="P24">
        <v>0</v>
      </c>
      <c r="Q24">
        <v>0</v>
      </c>
      <c r="R24">
        <v>0</v>
      </c>
    </row>
    <row r="25" spans="1:18" x14ac:dyDescent="0.3">
      <c r="A25" t="s">
        <v>127</v>
      </c>
      <c r="B25" s="18" t="s">
        <v>260</v>
      </c>
      <c r="C25" t="s">
        <v>29</v>
      </c>
      <c r="D25" t="s">
        <v>27</v>
      </c>
      <c r="E25">
        <v>243800</v>
      </c>
      <c r="F25" t="str">
        <f>INDEX($H$1:$R$1, MATCH(MAX(H25:R25),H25:R25,0))</f>
        <v>Sunni</v>
      </c>
      <c r="G25">
        <f>MAX(H25:R25)/E25</f>
        <v>0.80853978671041837</v>
      </c>
      <c r="H25">
        <v>197122</v>
      </c>
      <c r="I25">
        <v>941</v>
      </c>
      <c r="J25">
        <v>0</v>
      </c>
      <c r="K25">
        <v>23290</v>
      </c>
      <c r="L25">
        <v>4266</v>
      </c>
      <c r="M25">
        <v>12934</v>
      </c>
      <c r="N25">
        <v>1157</v>
      </c>
      <c r="O25">
        <v>575</v>
      </c>
      <c r="P25">
        <v>1237</v>
      </c>
      <c r="Q25">
        <v>792</v>
      </c>
      <c r="R25">
        <v>1486</v>
      </c>
    </row>
    <row r="26" spans="1:18" x14ac:dyDescent="0.3">
      <c r="A26" t="s">
        <v>129</v>
      </c>
      <c r="B26" s="18" t="s">
        <v>261</v>
      </c>
      <c r="C26" t="s">
        <v>29</v>
      </c>
      <c r="D26" t="s">
        <v>28</v>
      </c>
      <c r="E26">
        <v>87700</v>
      </c>
      <c r="F26" t="str">
        <f>INDEX($H$1:$R$1, MATCH(MAX(H26:R26),H26:R26,0))</f>
        <v>Maronite</v>
      </c>
      <c r="G26">
        <f>MAX(H26:R26)/E26</f>
        <v>0.88267958950969216</v>
      </c>
      <c r="H26">
        <v>5210</v>
      </c>
      <c r="I26">
        <v>600</v>
      </c>
      <c r="J26">
        <v>0</v>
      </c>
      <c r="K26">
        <v>156</v>
      </c>
      <c r="L26">
        <v>77411</v>
      </c>
      <c r="M26">
        <v>3916</v>
      </c>
      <c r="N26">
        <v>7</v>
      </c>
      <c r="O26">
        <v>96</v>
      </c>
      <c r="P26">
        <v>58</v>
      </c>
      <c r="Q26">
        <v>14</v>
      </c>
      <c r="R26">
        <v>232</v>
      </c>
    </row>
    <row r="27" spans="1:18" x14ac:dyDescent="0.3">
      <c r="A27" t="s">
        <v>168</v>
      </c>
      <c r="B27" s="18" t="s">
        <v>257</v>
      </c>
      <c r="C27" t="s">
        <v>33</v>
      </c>
      <c r="D27" t="s">
        <v>31</v>
      </c>
      <c r="E27">
        <v>32100</v>
      </c>
      <c r="F27" t="str">
        <f>INDEX($H$1:$R$1, MATCH(MAX(H27:R27),H27:R27,0))</f>
        <v>Maronite</v>
      </c>
      <c r="G27">
        <f>MAX(H27:R27)/E27</f>
        <v>0.77024922118380057</v>
      </c>
      <c r="H27">
        <v>111</v>
      </c>
      <c r="I27">
        <v>3333</v>
      </c>
      <c r="J27">
        <v>346</v>
      </c>
      <c r="K27">
        <v>0</v>
      </c>
      <c r="L27">
        <v>24725</v>
      </c>
      <c r="M27">
        <v>15</v>
      </c>
      <c r="N27">
        <v>3441</v>
      </c>
      <c r="O27">
        <v>120</v>
      </c>
      <c r="P27">
        <v>3</v>
      </c>
      <c r="Q27">
        <v>3</v>
      </c>
      <c r="R27">
        <v>3</v>
      </c>
    </row>
    <row r="28" spans="1:18" x14ac:dyDescent="0.3">
      <c r="A28" t="s">
        <v>247</v>
      </c>
      <c r="B28" s="35" t="s">
        <v>257</v>
      </c>
      <c r="C28" t="s">
        <v>33</v>
      </c>
      <c r="D28" t="s">
        <v>30</v>
      </c>
      <c r="E28">
        <v>72200</v>
      </c>
      <c r="F28" t="str">
        <f>INDEX($H$1:$R$1, MATCH(MAX(H28:R28),H28:R28,0))</f>
        <v>Sunni</v>
      </c>
      <c r="G28">
        <f>MAX(H28:R28)/E28</f>
        <v>0.62130193905817177</v>
      </c>
      <c r="H28">
        <v>44858</v>
      </c>
      <c r="I28">
        <v>12419</v>
      </c>
      <c r="J28">
        <v>159</v>
      </c>
      <c r="K28">
        <v>0</v>
      </c>
      <c r="L28">
        <v>7155</v>
      </c>
      <c r="M28">
        <v>246</v>
      </c>
      <c r="N28">
        <v>5618</v>
      </c>
      <c r="O28">
        <v>1016</v>
      </c>
      <c r="P28">
        <v>36</v>
      </c>
      <c r="Q28">
        <v>278</v>
      </c>
      <c r="R28">
        <v>415</v>
      </c>
    </row>
    <row r="29" spans="1:18" x14ac:dyDescent="0.3">
      <c r="A29" t="s">
        <v>183</v>
      </c>
      <c r="B29" s="18" t="s">
        <v>262</v>
      </c>
      <c r="C29" t="s">
        <v>33</v>
      </c>
      <c r="D29" t="s">
        <v>32</v>
      </c>
      <c r="E29">
        <v>255700</v>
      </c>
      <c r="F29" t="str">
        <f>INDEX($H$1:$R$1, MATCH(MAX(H29:R29),H29:R29,0))</f>
        <v>Shia</v>
      </c>
      <c r="G29">
        <f>MAX(H29:R29)/E29</f>
        <v>0.85299960891669924</v>
      </c>
      <c r="H29">
        <v>21869</v>
      </c>
      <c r="I29">
        <v>218112</v>
      </c>
      <c r="J29">
        <v>0</v>
      </c>
      <c r="K29">
        <v>0</v>
      </c>
      <c r="L29">
        <v>2757</v>
      </c>
      <c r="M29">
        <v>765</v>
      </c>
      <c r="N29">
        <v>8494</v>
      </c>
      <c r="O29">
        <v>883</v>
      </c>
      <c r="P29">
        <v>152</v>
      </c>
      <c r="Q29">
        <v>1917</v>
      </c>
      <c r="R29">
        <v>751</v>
      </c>
    </row>
    <row r="30" spans="1:18" x14ac:dyDescent="0.3">
      <c r="A30" t="s">
        <v>172</v>
      </c>
      <c r="B30" s="2" t="s">
        <v>262</v>
      </c>
      <c r="C30" t="s">
        <v>33</v>
      </c>
      <c r="D30" t="s">
        <v>76</v>
      </c>
      <c r="E30">
        <v>224400</v>
      </c>
      <c r="F30" t="str">
        <f>INDEX($H$1:$R$1, MATCH(MAX(H30:R30),H30:R30,0))</f>
        <v>Shia</v>
      </c>
      <c r="G30">
        <f>MAX(H30:R30)/E30</f>
        <v>0.75173351158645274</v>
      </c>
      <c r="H30">
        <v>7428</v>
      </c>
      <c r="I30">
        <v>168689</v>
      </c>
      <c r="J30">
        <v>211</v>
      </c>
      <c r="K30">
        <v>0</v>
      </c>
      <c r="L30">
        <v>19089</v>
      </c>
      <c r="M30">
        <v>531</v>
      </c>
      <c r="N30">
        <v>24220</v>
      </c>
      <c r="O30">
        <v>1336</v>
      </c>
      <c r="P30">
        <v>68</v>
      </c>
      <c r="Q30">
        <v>2773</v>
      </c>
      <c r="R3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lb dist. pop and demo</vt:lpstr>
      <vt:lpstr>lb working</vt:lpstr>
      <vt:lpstr>lb detailed</vt:lpstr>
      <vt:lpstr>lb merged</vt:lpstr>
      <vt:lpstr>LB final 1</vt:lpstr>
      <vt:lpstr>LB final 2</vt:lpstr>
      <vt:lpstr>LB final 3</vt:lpstr>
      <vt:lpstr>district pops</vt:lpstr>
      <vt:lpstr>Links</vt:lpstr>
      <vt:lpstr>electoral</vt:lpstr>
      <vt:lpstr>elect2</vt:lpstr>
      <vt:lpstr>elect3</vt:lpstr>
      <vt:lpstr>elect4</vt:lpstr>
      <vt:lpstr>elect5</vt:lpstr>
      <vt:lpstr>new LB work</vt:lpstr>
      <vt:lpstr>updated %</vt:lpstr>
      <vt:lpstr>smaller dist1</vt:lpstr>
      <vt:lpstr>smaller dist2</vt:lpstr>
      <vt:lpstr>LB final1</vt:lpstr>
      <vt:lpstr>LB2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Turan Tashkin</dc:creator>
  <cp:lastModifiedBy>turantashkin@gmail.com</cp:lastModifiedBy>
  <dcterms:created xsi:type="dcterms:W3CDTF">2023-11-14T17:03:15Z</dcterms:created>
  <dcterms:modified xsi:type="dcterms:W3CDTF">2024-03-12T03:47:39Z</dcterms:modified>
</cp:coreProperties>
</file>