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mc:AlternateContent xmlns:mc="http://schemas.openxmlformats.org/markup-compatibility/2006">
    <mc:Choice Requires="x15">
      <x15ac:absPath xmlns:x15ac="http://schemas.microsoft.com/office/spreadsheetml/2010/11/ac" url="C:\Users\turan\Documents\ArcGIS\Projects\demographic data\"/>
    </mc:Choice>
  </mc:AlternateContent>
  <xr:revisionPtr revIDLastSave="0" documentId="13_ncr:1_{1F72755F-FA7E-48FB-9D8D-4C34C39BA11D}" xr6:coauthVersionLast="47" xr6:coauthVersionMax="47" xr10:uidLastSave="{00000000-0000-0000-0000-000000000000}"/>
  <bookViews>
    <workbookView xWindow="11988" yWindow="0" windowWidth="11052" windowHeight="14400" firstSheet="14" activeTab="16" xr2:uid="{00000000-000D-0000-FFFF-FFFF00000000}"/>
  </bookViews>
  <sheets>
    <sheet name="ST02-19x" sheetId="3" r:id="rId1"/>
    <sheet name="ST02-19y" sheetId="2" r:id="rId2"/>
    <sheet name="ST02-19z" sheetId="1" r:id="rId3"/>
    <sheet name="combined" sheetId="5" r:id="rId4"/>
    <sheet name="combined2" sheetId="6" r:id="rId5"/>
    <sheet name="combined2 (2)" sheetId="7" r:id="rId6"/>
    <sheet name="combined2 (3)" sheetId="26" r:id="rId7"/>
    <sheet name="combined2 (4)" sheetId="27" r:id="rId8"/>
    <sheet name="Israel final" sheetId="8" r:id="rId9"/>
    <sheet name="IS final" sheetId="9" r:id="rId10"/>
    <sheet name="Sheet1" sheetId="25" r:id="rId11"/>
    <sheet name="new israel" sheetId="29" r:id="rId12"/>
    <sheet name="new jer" sheetId="33" r:id="rId13"/>
    <sheet name="new pale" sheetId="31" r:id="rId14"/>
    <sheet name="combine" sheetId="34" r:id="rId15"/>
    <sheet name="Sheet3" sheetId="35" r:id="rId16"/>
    <sheet name="pl2" sheetId="32" r:id="rId17"/>
    <sheet name="Palestine pop" sheetId="12" r:id="rId18"/>
    <sheet name="pl links" sheetId="14" r:id="rId19"/>
    <sheet name="PL 21, 23" sheetId="22" r:id="rId20"/>
    <sheet name="pl working" sheetId="13" r:id="rId21"/>
    <sheet name="PL demo" sheetId="15" r:id="rId22"/>
    <sheet name="PL (2023,2021)" sheetId="18" r:id="rId23"/>
    <sheet name="PL christ" sheetId="17" r:id="rId24"/>
    <sheet name="PL jew adjst 21,23" sheetId="28" r:id="rId25"/>
    <sheet name="Sheet2" sheetId="30" r:id="rId26"/>
    <sheet name="JS draft" sheetId="23" r:id="rId27"/>
    <sheet name="JS final" sheetId="24" r:id="rId28"/>
  </sheets>
  <definedNames>
    <definedName name="_Regression_Int" localSheetId="0" hidden="1">1</definedName>
    <definedName name="_Regression_Int" localSheetId="1" hidden="1">1</definedName>
    <definedName name="_Regression_Int" localSheetId="2" hidden="1">1</definedName>
    <definedName name="ExternalData_1" localSheetId="17" hidden="1">'Palestine pop'!$A$1:$D$20</definedName>
    <definedName name="_xlnm.Print_Area" localSheetId="0">'ST02-19x'!$C$1:$C$53,'ST02-19x'!$A$1:$B$54</definedName>
    <definedName name="_xlnm.Print_Area" localSheetId="1">'ST02-19y'!$D$1:$F$48,'ST02-19y'!$A$1:$C$49</definedName>
    <definedName name="_xlnm.Print_Area" localSheetId="2">'ST02-19z'!$D$1:$F$63,'ST02-19z'!$A$1:$C$64</definedName>
    <definedName name="Print_Area_MI" localSheetId="0">'ST02-19x'!$A$1:$B$53</definedName>
    <definedName name="Print_Area_MI" localSheetId="1">'ST02-19y'!$A$1:$D$45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32" l="1"/>
  <c r="D35" i="32" s="1"/>
  <c r="D32" i="32"/>
  <c r="D33" i="32"/>
  <c r="D34" i="32"/>
  <c r="D28" i="32"/>
  <c r="C46" i="32"/>
  <c r="D39" i="32" l="1"/>
  <c r="D31" i="32"/>
  <c r="D38" i="32"/>
  <c r="D30" i="32"/>
  <c r="D37" i="32"/>
  <c r="D29" i="32"/>
  <c r="D36" i="32"/>
  <c r="L36" i="34" l="1"/>
  <c r="G36" i="34"/>
  <c r="M16" i="34" l="1" a="1"/>
  <c r="M16" i="34" s="1"/>
  <c r="M18" i="34" a="1"/>
  <c r="M18" i="34" s="1"/>
  <c r="M3" i="34" a="1"/>
  <c r="M3" i="34" s="1"/>
  <c r="M4" i="34" a="1"/>
  <c r="M4" i="34" s="1"/>
  <c r="M5" i="34" a="1"/>
  <c r="M5" i="34" s="1"/>
  <c r="M6" i="34" a="1"/>
  <c r="M6" i="34" s="1"/>
  <c r="M7" i="34" a="1"/>
  <c r="M7" i="34" s="1"/>
  <c r="M8" i="34" a="1"/>
  <c r="M8" i="34" s="1"/>
  <c r="M9" i="34" a="1"/>
  <c r="M9" i="34" s="1"/>
  <c r="M10" i="34" a="1"/>
  <c r="M10" i="34" s="1"/>
  <c r="M11" i="34" a="1"/>
  <c r="M11" i="34" s="1"/>
  <c r="M12" i="34" a="1"/>
  <c r="M12" i="34" s="1"/>
  <c r="M13" i="34" a="1"/>
  <c r="M13" i="34" s="1"/>
  <c r="M14" i="34" a="1"/>
  <c r="M14" i="34" s="1"/>
  <c r="M15" i="34" a="1"/>
  <c r="M15" i="34" s="1"/>
  <c r="M34" i="34" a="1"/>
  <c r="M34" i="34" s="1"/>
  <c r="M33" i="34" a="1"/>
  <c r="M33" i="34" s="1"/>
  <c r="M32" i="34" a="1"/>
  <c r="M32" i="34" s="1"/>
  <c r="M31" i="34" a="1"/>
  <c r="M31" i="34" s="1"/>
  <c r="M30" i="34" a="1"/>
  <c r="M30" i="34" s="1"/>
  <c r="M29" i="34" a="1"/>
  <c r="M29" i="34" s="1"/>
  <c r="M28" i="34" a="1"/>
  <c r="M28" i="34" s="1"/>
  <c r="M27" i="34" a="1"/>
  <c r="M27" i="34" s="1"/>
  <c r="M26" i="34" a="1"/>
  <c r="M26" i="34" s="1"/>
  <c r="M25" i="34" a="1"/>
  <c r="M25" i="34" s="1"/>
  <c r="M23" i="34" a="1"/>
  <c r="M23" i="34" s="1"/>
  <c r="M22" i="34" a="1"/>
  <c r="M22" i="34" s="1"/>
  <c r="M21" i="34" a="1"/>
  <c r="M21" i="34" s="1"/>
  <c r="M20" i="34" a="1"/>
  <c r="M20" i="34" s="1"/>
  <c r="M19" i="34" a="1"/>
  <c r="M19" i="34" s="1"/>
  <c r="M17" i="34" a="1"/>
  <c r="M17" i="34" s="1"/>
  <c r="M2" i="34" a="1"/>
  <c r="M2" i="34" s="1"/>
  <c r="H36" i="34"/>
  <c r="I36" i="34"/>
  <c r="J36" i="34"/>
  <c r="R19" i="34"/>
  <c r="R20" i="34"/>
  <c r="R21" i="34"/>
  <c r="R22" i="34"/>
  <c r="R23" i="34"/>
  <c r="G120" i="34"/>
  <c r="H120" i="34"/>
  <c r="I120" i="34"/>
  <c r="J120" i="34"/>
  <c r="K120" i="34"/>
  <c r="G121" i="34"/>
  <c r="H121" i="34"/>
  <c r="I121" i="34"/>
  <c r="J121" i="34"/>
  <c r="K121" i="34"/>
  <c r="G122" i="34"/>
  <c r="H122" i="34"/>
  <c r="I122" i="34"/>
  <c r="J122" i="34"/>
  <c r="K122" i="34"/>
  <c r="G123" i="34"/>
  <c r="H123" i="34"/>
  <c r="I123" i="34"/>
  <c r="J123" i="34"/>
  <c r="K123" i="34"/>
  <c r="G124" i="34"/>
  <c r="H124" i="34"/>
  <c r="I124" i="34"/>
  <c r="J124" i="34"/>
  <c r="K124" i="34"/>
  <c r="G125" i="34"/>
  <c r="H125" i="34"/>
  <c r="I125" i="34"/>
  <c r="J125" i="34"/>
  <c r="K125" i="34"/>
  <c r="G126" i="34"/>
  <c r="H126" i="34"/>
  <c r="I126" i="34"/>
  <c r="J126" i="34"/>
  <c r="K126" i="34"/>
  <c r="G127" i="34"/>
  <c r="H127" i="34"/>
  <c r="I127" i="34"/>
  <c r="J127" i="34"/>
  <c r="K127" i="34"/>
  <c r="G128" i="34"/>
  <c r="H128" i="34"/>
  <c r="I128" i="34"/>
  <c r="J128" i="34"/>
  <c r="K128" i="34"/>
  <c r="G129" i="34"/>
  <c r="H129" i="34"/>
  <c r="I129" i="34"/>
  <c r="J129" i="34"/>
  <c r="K129" i="34"/>
  <c r="G130" i="34"/>
  <c r="H130" i="34"/>
  <c r="I130" i="34"/>
  <c r="J130" i="34"/>
  <c r="K130" i="34"/>
  <c r="G131" i="34"/>
  <c r="H131" i="34"/>
  <c r="I131" i="34"/>
  <c r="J131" i="34"/>
  <c r="K131" i="34"/>
  <c r="G132" i="34"/>
  <c r="H132" i="34"/>
  <c r="I132" i="34"/>
  <c r="J132" i="34"/>
  <c r="K132" i="34"/>
  <c r="G133" i="34"/>
  <c r="H133" i="34"/>
  <c r="I133" i="34"/>
  <c r="J133" i="34"/>
  <c r="K133" i="34"/>
  <c r="G134" i="34"/>
  <c r="H134" i="34"/>
  <c r="I134" i="34"/>
  <c r="J134" i="34"/>
  <c r="K134" i="34"/>
  <c r="G135" i="34"/>
  <c r="H135" i="34"/>
  <c r="I135" i="34"/>
  <c r="J135" i="34"/>
  <c r="K135" i="34"/>
  <c r="H119" i="34"/>
  <c r="I119" i="34"/>
  <c r="J119" i="34"/>
  <c r="K119" i="34"/>
  <c r="G119" i="34"/>
  <c r="H45" i="34"/>
  <c r="H66" i="34" s="1"/>
  <c r="G61" i="34"/>
  <c r="H61" i="34"/>
  <c r="I61" i="34"/>
  <c r="J61" i="34"/>
  <c r="K61" i="34"/>
  <c r="G62" i="34"/>
  <c r="H62" i="34"/>
  <c r="I62" i="34"/>
  <c r="J62" i="34"/>
  <c r="K62" i="34"/>
  <c r="G63" i="34"/>
  <c r="H63" i="34"/>
  <c r="I63" i="34"/>
  <c r="J63" i="34"/>
  <c r="K63" i="34"/>
  <c r="G64" i="34"/>
  <c r="H64" i="34"/>
  <c r="I64" i="34"/>
  <c r="J64" i="34"/>
  <c r="K64" i="34"/>
  <c r="G65" i="34"/>
  <c r="I65" i="34"/>
  <c r="J65" i="34"/>
  <c r="K65" i="34"/>
  <c r="G66" i="34"/>
  <c r="I66" i="34"/>
  <c r="J66" i="34"/>
  <c r="K66" i="34"/>
  <c r="G67" i="34"/>
  <c r="H67" i="34"/>
  <c r="I67" i="34"/>
  <c r="J67" i="34"/>
  <c r="K67" i="34"/>
  <c r="G68" i="34"/>
  <c r="H68" i="34"/>
  <c r="I68" i="34"/>
  <c r="J68" i="34"/>
  <c r="K68" i="34"/>
  <c r="G69" i="34"/>
  <c r="I69" i="34"/>
  <c r="J69" i="34"/>
  <c r="K69" i="34"/>
  <c r="G70" i="34"/>
  <c r="I70" i="34"/>
  <c r="J70" i="34"/>
  <c r="K70" i="34"/>
  <c r="G71" i="34"/>
  <c r="H71" i="34"/>
  <c r="I71" i="34"/>
  <c r="J71" i="34"/>
  <c r="K71" i="34"/>
  <c r="G72" i="34"/>
  <c r="H72" i="34"/>
  <c r="I72" i="34"/>
  <c r="J72" i="34"/>
  <c r="K72" i="34"/>
  <c r="G73" i="34"/>
  <c r="H73" i="34"/>
  <c r="I73" i="34"/>
  <c r="J73" i="34"/>
  <c r="K73" i="34"/>
  <c r="G74" i="34"/>
  <c r="H74" i="34"/>
  <c r="I74" i="34"/>
  <c r="J74" i="34"/>
  <c r="K74" i="34"/>
  <c r="G75" i="34"/>
  <c r="H75" i="34"/>
  <c r="I75" i="34"/>
  <c r="J75" i="34"/>
  <c r="K75" i="34"/>
  <c r="H60" i="34"/>
  <c r="I60" i="34"/>
  <c r="J60" i="34"/>
  <c r="K60" i="34"/>
  <c r="G60" i="34"/>
  <c r="H44" i="34"/>
  <c r="H65" i="34" s="1"/>
  <c r="H49" i="34"/>
  <c r="H70" i="34" s="1"/>
  <c r="H69" i="34"/>
  <c r="C8" i="33"/>
  <c r="C9" i="33"/>
  <c r="C15" i="33" s="1"/>
  <c r="D15" i="33"/>
  <c r="D12" i="33"/>
  <c r="F12" i="33"/>
  <c r="E12" i="33"/>
  <c r="G12" i="33"/>
  <c r="H12" i="33"/>
  <c r="G15" i="33"/>
  <c r="E15" i="33"/>
  <c r="F15" i="33"/>
  <c r="G30" i="33"/>
  <c r="G31" i="33" s="1"/>
  <c r="G32" i="33" s="1"/>
  <c r="E30" i="33"/>
  <c r="E31" i="33" s="1"/>
  <c r="E32" i="33" s="1"/>
  <c r="F30" i="33"/>
  <c r="F31" i="33" s="1"/>
  <c r="F32" i="33" s="1"/>
  <c r="H30" i="33"/>
  <c r="H31" i="33" s="1"/>
  <c r="H32" i="33" s="1"/>
  <c r="D30" i="33"/>
  <c r="D31" i="33" s="1"/>
  <c r="D32" i="33" s="1"/>
  <c r="I3" i="33"/>
  <c r="G2" i="13"/>
  <c r="G8" i="13"/>
  <c r="L5" i="13"/>
  <c r="F13" i="13"/>
  <c r="G16" i="13"/>
  <c r="G6" i="13"/>
  <c r="G3" i="13"/>
  <c r="G4" i="13"/>
  <c r="G5" i="13"/>
  <c r="G7" i="13"/>
  <c r="G9" i="13"/>
  <c r="G10" i="13"/>
  <c r="G11" i="13"/>
  <c r="G12" i="13"/>
  <c r="G13" i="13"/>
  <c r="G14" i="13"/>
  <c r="G15" i="13"/>
  <c r="G17" i="13"/>
  <c r="B19" i="13"/>
  <c r="C12" i="13"/>
  <c r="D19" i="13"/>
  <c r="F2" i="13"/>
  <c r="C40" i="13"/>
  <c r="J16" i="32"/>
  <c r="L10" i="32" s="1"/>
  <c r="M10" i="32" s="1"/>
  <c r="H16" i="32"/>
  <c r="G16" i="32" s="1"/>
  <c r="M15" i="32"/>
  <c r="J15" i="32"/>
  <c r="H15" i="32" s="1"/>
  <c r="G15" i="32" s="1"/>
  <c r="M14" i="32"/>
  <c r="J13" i="32"/>
  <c r="L13" i="32" s="1"/>
  <c r="M13" i="32" s="1"/>
  <c r="J12" i="32"/>
  <c r="L12" i="32" s="1"/>
  <c r="M12" i="32" s="1"/>
  <c r="J11" i="32"/>
  <c r="J10" i="32"/>
  <c r="J9" i="32"/>
  <c r="L9" i="32" s="1"/>
  <c r="M9" i="32" s="1"/>
  <c r="J8" i="32"/>
  <c r="L8" i="32" s="1"/>
  <c r="M8" i="32" s="1"/>
  <c r="J7" i="32"/>
  <c r="L7" i="32" s="1"/>
  <c r="M7" i="32" s="1"/>
  <c r="J6" i="32"/>
  <c r="L6" i="32" s="1"/>
  <c r="M6" i="32" s="1"/>
  <c r="J5" i="32"/>
  <c r="L5" i="32" s="1"/>
  <c r="M5" i="32" s="1"/>
  <c r="J4" i="32"/>
  <c r="L4" i="32" s="1"/>
  <c r="M4" i="32" s="1"/>
  <c r="J3" i="32"/>
  <c r="L3" i="32" s="1"/>
  <c r="M3" i="32" s="1"/>
  <c r="J2" i="32"/>
  <c r="L2" i="32" s="1"/>
  <c r="M2" i="32" s="1"/>
  <c r="G138" i="34" l="1" a="1"/>
  <c r="G138" i="34" s="1"/>
  <c r="G156" i="34" s="1"/>
  <c r="G80" i="34" a="1"/>
  <c r="G80" i="34" s="1"/>
  <c r="G143" i="34" a="1"/>
  <c r="G143" i="34" s="1"/>
  <c r="G161" i="34" s="1"/>
  <c r="G85" i="34" a="1"/>
  <c r="G85" i="34" s="1"/>
  <c r="G149" i="34" a="1"/>
  <c r="I167" i="34" s="1"/>
  <c r="G141" i="34" a="1"/>
  <c r="G141" i="34" s="1"/>
  <c r="G159" i="34" s="1"/>
  <c r="G81" i="34" a="1"/>
  <c r="G81" i="34" s="1"/>
  <c r="G139" i="34" a="1"/>
  <c r="G139" i="34" s="1"/>
  <c r="G157" i="34" s="1"/>
  <c r="G88" i="34" a="1"/>
  <c r="G88" i="34" s="1"/>
  <c r="G84" i="34" a="1"/>
  <c r="G84" i="34" s="1"/>
  <c r="G79" i="34" a="1"/>
  <c r="G79" i="34" s="1"/>
  <c r="G153" i="34" a="1"/>
  <c r="G153" i="34" s="1"/>
  <c r="G171" i="34" s="1"/>
  <c r="G145" i="34" a="1"/>
  <c r="H163" i="34" s="1"/>
  <c r="G151" i="34" a="1"/>
  <c r="G151" i="34" s="1"/>
  <c r="G169" i="34" s="1"/>
  <c r="G87" i="34" a="1"/>
  <c r="G87" i="34" s="1"/>
  <c r="G89" i="34" a="1"/>
  <c r="G89" i="34" s="1"/>
  <c r="G137" i="34" a="1"/>
  <c r="K155" i="34" s="1"/>
  <c r="G147" i="34" a="1"/>
  <c r="K165" i="34" s="1"/>
  <c r="G146" i="34" a="1"/>
  <c r="G146" i="34" s="1"/>
  <c r="G164" i="34" s="1"/>
  <c r="G150" i="34" a="1"/>
  <c r="H168" i="34" s="1"/>
  <c r="G142" i="34" a="1"/>
  <c r="H160" i="34" s="1"/>
  <c r="G148" i="34" a="1"/>
  <c r="I166" i="34" s="1"/>
  <c r="G140" i="34" a="1"/>
  <c r="G140" i="34" s="1"/>
  <c r="G158" i="34" s="1"/>
  <c r="G152" i="34" a="1"/>
  <c r="J170" i="34" s="1"/>
  <c r="G144" i="34" a="1"/>
  <c r="I162" i="34" s="1"/>
  <c r="G77" i="34" a="1"/>
  <c r="G77" i="34" s="1"/>
  <c r="G78" i="34" a="1"/>
  <c r="G78" i="34" s="1"/>
  <c r="G90" i="34" a="1"/>
  <c r="G90" i="34" s="1"/>
  <c r="G82" i="34" a="1"/>
  <c r="G82" i="34" s="1"/>
  <c r="G86" i="34" a="1"/>
  <c r="G86" i="34" s="1"/>
  <c r="G91" i="34" a="1"/>
  <c r="G91" i="34" s="1"/>
  <c r="G92" i="34" a="1"/>
  <c r="G92" i="34" s="1"/>
  <c r="G83" i="34" a="1"/>
  <c r="G83" i="34" s="1"/>
  <c r="C12" i="33"/>
  <c r="L11" i="32"/>
  <c r="M11" i="32" s="1"/>
  <c r="K171" i="34" l="1"/>
  <c r="J171" i="34"/>
  <c r="H171" i="34"/>
  <c r="I171" i="34"/>
  <c r="G149" i="34"/>
  <c r="G167" i="34" s="1"/>
  <c r="J167" i="34"/>
  <c r="H167" i="34"/>
  <c r="K167" i="34"/>
  <c r="H169" i="34"/>
  <c r="I169" i="34"/>
  <c r="H161" i="34"/>
  <c r="K169" i="34"/>
  <c r="K157" i="34"/>
  <c r="G145" i="34"/>
  <c r="G163" i="34" s="1"/>
  <c r="K163" i="34"/>
  <c r="J163" i="34"/>
  <c r="I163" i="34"/>
  <c r="J159" i="34"/>
  <c r="K159" i="34"/>
  <c r="I159" i="34"/>
  <c r="H157" i="34"/>
  <c r="K170" i="34"/>
  <c r="I170" i="34"/>
  <c r="H159" i="34"/>
  <c r="H170" i="34"/>
  <c r="G152" i="34"/>
  <c r="G170" i="34" s="1"/>
  <c r="J169" i="34"/>
  <c r="J161" i="34"/>
  <c r="J156" i="34"/>
  <c r="I157" i="34"/>
  <c r="K161" i="34"/>
  <c r="I161" i="34"/>
  <c r="G142" i="34"/>
  <c r="G160" i="34" s="1"/>
  <c r="K156" i="34"/>
  <c r="H156" i="34"/>
  <c r="J157" i="34"/>
  <c r="I156" i="34"/>
  <c r="K158" i="34"/>
  <c r="H158" i="34"/>
  <c r="K168" i="34"/>
  <c r="J158" i="34"/>
  <c r="I158" i="34"/>
  <c r="J168" i="34"/>
  <c r="I168" i="34"/>
  <c r="G150" i="34"/>
  <c r="G168" i="34" s="1"/>
  <c r="I155" i="34"/>
  <c r="H155" i="34"/>
  <c r="J155" i="34"/>
  <c r="G137" i="34"/>
  <c r="G155" i="34" s="1"/>
  <c r="H165" i="34"/>
  <c r="G147" i="34"/>
  <c r="G165" i="34" s="1"/>
  <c r="J165" i="34"/>
  <c r="I165" i="34"/>
  <c r="K164" i="34"/>
  <c r="I164" i="34"/>
  <c r="J164" i="34"/>
  <c r="H164" i="34"/>
  <c r="J162" i="34"/>
  <c r="H162" i="34"/>
  <c r="G144" i="34"/>
  <c r="G162" i="34" s="1"/>
  <c r="K162" i="34"/>
  <c r="J166" i="34"/>
  <c r="K160" i="34"/>
  <c r="H166" i="34"/>
  <c r="J160" i="34"/>
  <c r="K166" i="34"/>
  <c r="I160" i="34"/>
  <c r="G148" i="34"/>
  <c r="G166" i="34" s="1"/>
  <c r="H95" i="34"/>
  <c r="K95" i="34"/>
  <c r="J95" i="34"/>
  <c r="I95" i="34"/>
  <c r="G95" i="34"/>
  <c r="E26" i="6"/>
  <c r="N36" i="23"/>
  <c r="O36" i="23"/>
  <c r="F53" i="23"/>
  <c r="L36" i="23"/>
  <c r="M36" i="23"/>
  <c r="K36" i="23"/>
  <c r="R21" i="30"/>
  <c r="P21" i="30"/>
  <c r="S4" i="30"/>
  <c r="K21" i="30"/>
  <c r="Q21" i="30"/>
  <c r="S2" i="30"/>
  <c r="E20" i="30" s="1"/>
  <c r="D20" i="30"/>
  <c r="G21" i="30"/>
  <c r="H21" i="30"/>
  <c r="I21" i="30"/>
  <c r="J21" i="30"/>
  <c r="D22" i="30"/>
  <c r="E22" i="30"/>
  <c r="F22" i="30"/>
  <c r="G22" i="30"/>
  <c r="H22" i="30"/>
  <c r="I22" i="30"/>
  <c r="J22" i="30"/>
  <c r="K22" i="30"/>
  <c r="G23" i="30"/>
  <c r="H23" i="30"/>
  <c r="G24" i="30"/>
  <c r="H24" i="30"/>
  <c r="G25" i="30"/>
  <c r="H25" i="30"/>
  <c r="H26" i="30"/>
  <c r="G28" i="30"/>
  <c r="H28" i="30"/>
  <c r="G29" i="30"/>
  <c r="H29" i="30"/>
  <c r="G30" i="30"/>
  <c r="H30" i="30"/>
  <c r="G31" i="30"/>
  <c r="H31" i="30"/>
  <c r="G32" i="30"/>
  <c r="H32" i="30"/>
  <c r="G33" i="30"/>
  <c r="H33" i="30"/>
  <c r="H34" i="30"/>
  <c r="G36" i="30"/>
  <c r="H36" i="30"/>
  <c r="C33" i="30"/>
  <c r="C32" i="30"/>
  <c r="C25" i="30"/>
  <c r="C24" i="30"/>
  <c r="C22" i="30"/>
  <c r="C21" i="30"/>
  <c r="S5" i="30"/>
  <c r="I23" i="30" s="1"/>
  <c r="S6" i="30"/>
  <c r="I24" i="30" s="1"/>
  <c r="S7" i="30"/>
  <c r="I25" i="30" s="1"/>
  <c r="S8" i="30"/>
  <c r="I26" i="30" s="1"/>
  <c r="S9" i="30"/>
  <c r="I27" i="30" s="1"/>
  <c r="S10" i="30"/>
  <c r="I28" i="30" s="1"/>
  <c r="S11" i="30"/>
  <c r="I29" i="30" s="1"/>
  <c r="S12" i="30"/>
  <c r="I30" i="30" s="1"/>
  <c r="S13" i="30"/>
  <c r="I31" i="30" s="1"/>
  <c r="S14" i="30"/>
  <c r="I32" i="30" s="1"/>
  <c r="S15" i="30"/>
  <c r="I33" i="30" s="1"/>
  <c r="S16" i="30"/>
  <c r="I34" i="30" s="1"/>
  <c r="S17" i="30"/>
  <c r="I35" i="30" s="1"/>
  <c r="S18" i="30"/>
  <c r="I36" i="30" s="1"/>
  <c r="C20" i="28"/>
  <c r="D20" i="28"/>
  <c r="E20" i="28"/>
  <c r="F20" i="28"/>
  <c r="G20" i="28"/>
  <c r="H20" i="28"/>
  <c r="I20" i="28"/>
  <c r="J20" i="28"/>
  <c r="B3" i="28"/>
  <c r="B4" i="28"/>
  <c r="B5" i="28"/>
  <c r="B6" i="28"/>
  <c r="B7" i="28"/>
  <c r="B8" i="28"/>
  <c r="B9" i="28"/>
  <c r="B10" i="28"/>
  <c r="B11" i="28"/>
  <c r="B12" i="28"/>
  <c r="B13" i="28"/>
  <c r="B14" i="28"/>
  <c r="B15" i="28"/>
  <c r="B16" i="28"/>
  <c r="B17" i="28"/>
  <c r="B18" i="28"/>
  <c r="B2" i="28"/>
  <c r="G40" i="23"/>
  <c r="G41" i="23"/>
  <c r="G39" i="23"/>
  <c r="F39" i="23"/>
  <c r="F41" i="23"/>
  <c r="C14" i="23"/>
  <c r="C9" i="23"/>
  <c r="D9" i="23"/>
  <c r="B47" i="23"/>
  <c r="B48" i="23"/>
  <c r="B49" i="23"/>
  <c r="B45" i="23"/>
  <c r="F36" i="23"/>
  <c r="C22" i="28"/>
  <c r="T3" i="28"/>
  <c r="U3" i="28" s="1"/>
  <c r="T4" i="28"/>
  <c r="U4" i="28" s="1"/>
  <c r="T5" i="28"/>
  <c r="U5" i="28" s="1"/>
  <c r="T6" i="28"/>
  <c r="U6" i="28" s="1"/>
  <c r="T7" i="28"/>
  <c r="U7" i="28" s="1"/>
  <c r="T8" i="28"/>
  <c r="U8" i="28" s="1"/>
  <c r="T9" i="28"/>
  <c r="U9" i="28" s="1"/>
  <c r="T10" i="28"/>
  <c r="U10" i="28" s="1"/>
  <c r="T11" i="28"/>
  <c r="U11" i="28" s="1"/>
  <c r="T12" i="28"/>
  <c r="U12" i="28" s="1"/>
  <c r="T13" i="28"/>
  <c r="U13" i="28" s="1"/>
  <c r="T14" i="28"/>
  <c r="U14" i="28" s="1"/>
  <c r="T15" i="28"/>
  <c r="U15" i="28" s="1"/>
  <c r="T16" i="28"/>
  <c r="U16" i="28" s="1"/>
  <c r="T17" i="28"/>
  <c r="U17" i="28" s="1"/>
  <c r="T18" i="28"/>
  <c r="U18" i="28" s="1"/>
  <c r="T2" i="28"/>
  <c r="U2" i="28" s="1"/>
  <c r="C40" i="23"/>
  <c r="C41" i="23"/>
  <c r="C39" i="23"/>
  <c r="F40" i="23"/>
  <c r="T3" i="17"/>
  <c r="T4" i="17"/>
  <c r="T5" i="17"/>
  <c r="T6" i="17"/>
  <c r="T7" i="17"/>
  <c r="T8" i="17"/>
  <c r="T9" i="17"/>
  <c r="T10" i="17"/>
  <c r="T11" i="17"/>
  <c r="T12" i="17"/>
  <c r="T13" i="17"/>
  <c r="T14" i="17"/>
  <c r="T15" i="17"/>
  <c r="T16" i="17"/>
  <c r="T17" i="17"/>
  <c r="T18" i="17"/>
  <c r="Q21" i="17"/>
  <c r="T21" i="17" s="1"/>
  <c r="U19" i="17"/>
  <c r="S19" i="17"/>
  <c r="C3" i="13"/>
  <c r="C4" i="13"/>
  <c r="C5" i="13"/>
  <c r="C6" i="13"/>
  <c r="C7" i="13"/>
  <c r="C8" i="13"/>
  <c r="C9" i="13"/>
  <c r="C10" i="13"/>
  <c r="C11" i="13"/>
  <c r="C13" i="13"/>
  <c r="C14" i="13"/>
  <c r="C15" i="13"/>
  <c r="C16" i="13"/>
  <c r="C17" i="13"/>
  <c r="C20" i="13"/>
  <c r="F3" i="13"/>
  <c r="F23" i="23"/>
  <c r="F4" i="13"/>
  <c r="F5" i="13"/>
  <c r="F6" i="13"/>
  <c r="F7" i="13"/>
  <c r="F8" i="13"/>
  <c r="F9" i="13"/>
  <c r="F10" i="13"/>
  <c r="F11" i="13"/>
  <c r="F12" i="13"/>
  <c r="F14" i="13"/>
  <c r="F15" i="13"/>
  <c r="F16" i="13"/>
  <c r="F17" i="13"/>
  <c r="I55" i="13"/>
  <c r="I54" i="13"/>
  <c r="I53" i="13"/>
  <c r="I52" i="13"/>
  <c r="I51" i="13"/>
  <c r="I50" i="13"/>
  <c r="I49" i="13"/>
  <c r="I48" i="13"/>
  <c r="I47" i="13"/>
  <c r="I46" i="13"/>
  <c r="I45" i="13"/>
  <c r="T31" i="13"/>
  <c r="T32" i="13"/>
  <c r="T33" i="13"/>
  <c r="T34" i="13"/>
  <c r="T30" i="13"/>
  <c r="I69" i="27"/>
  <c r="O67" i="27"/>
  <c r="M67" i="27"/>
  <c r="K67" i="27"/>
  <c r="I67" i="27"/>
  <c r="G67" i="27"/>
  <c r="E67" i="27"/>
  <c r="C67" i="27"/>
  <c r="O66" i="27"/>
  <c r="M66" i="27"/>
  <c r="K66" i="27"/>
  <c r="I66" i="27"/>
  <c r="G66" i="27"/>
  <c r="E66" i="27"/>
  <c r="C66" i="27"/>
  <c r="M11" i="27"/>
  <c r="M12" i="27"/>
  <c r="M13" i="27"/>
  <c r="M10" i="27"/>
  <c r="I22" i="27"/>
  <c r="I23" i="27" s="1"/>
  <c r="H22" i="27"/>
  <c r="H23" i="27" s="1"/>
  <c r="G22" i="27"/>
  <c r="G23" i="27" s="1"/>
  <c r="F22" i="27"/>
  <c r="F23" i="27" s="1"/>
  <c r="E22" i="27"/>
  <c r="E23" i="27" s="1"/>
  <c r="D22" i="27"/>
  <c r="D23" i="27" s="1"/>
  <c r="C22" i="27"/>
  <c r="C23" i="27" s="1"/>
  <c r="J16" i="27"/>
  <c r="K16" i="27" s="1"/>
  <c r="J15" i="27"/>
  <c r="K15" i="27" s="1"/>
  <c r="J14" i="27"/>
  <c r="K14" i="27" s="1"/>
  <c r="J13" i="27"/>
  <c r="K13" i="27" s="1"/>
  <c r="J12" i="27"/>
  <c r="K12" i="27" s="1"/>
  <c r="J11" i="27"/>
  <c r="K11" i="27" s="1"/>
  <c r="J10" i="27"/>
  <c r="K10" i="27" s="1"/>
  <c r="J9" i="27"/>
  <c r="K9" i="27" s="1"/>
  <c r="J8" i="27"/>
  <c r="K8" i="27" s="1"/>
  <c r="J7" i="27"/>
  <c r="K7" i="27" s="1"/>
  <c r="J6" i="27"/>
  <c r="K6" i="27" s="1"/>
  <c r="J5" i="27"/>
  <c r="K5" i="27" s="1"/>
  <c r="J4" i="27"/>
  <c r="K4" i="27" s="1"/>
  <c r="J3" i="27"/>
  <c r="K3" i="27" s="1"/>
  <c r="L2" i="27"/>
  <c r="J2" i="27"/>
  <c r="K2" i="27" s="1"/>
  <c r="N3" i="26"/>
  <c r="N4" i="26"/>
  <c r="N2" i="26"/>
  <c r="F22" i="26"/>
  <c r="F23" i="26" s="1"/>
  <c r="M3" i="26"/>
  <c r="M4" i="26"/>
  <c r="M2" i="26"/>
  <c r="D23" i="26"/>
  <c r="I22" i="26"/>
  <c r="I23" i="26" s="1"/>
  <c r="K23" i="26" s="1"/>
  <c r="H22" i="26"/>
  <c r="H23" i="26" s="1"/>
  <c r="G22" i="26"/>
  <c r="G23" i="26" s="1"/>
  <c r="E22" i="26"/>
  <c r="E23" i="26" s="1"/>
  <c r="D22" i="26"/>
  <c r="C22" i="26"/>
  <c r="C23" i="26" s="1"/>
  <c r="J16" i="26"/>
  <c r="K16" i="26" s="1"/>
  <c r="K15" i="26"/>
  <c r="J15" i="26"/>
  <c r="J14" i="26"/>
  <c r="K14" i="26" s="1"/>
  <c r="J13" i="26"/>
  <c r="K13" i="26" s="1"/>
  <c r="J12" i="26"/>
  <c r="K12" i="26" s="1"/>
  <c r="J11" i="26"/>
  <c r="K11" i="26" s="1"/>
  <c r="J10" i="26"/>
  <c r="K10" i="26" s="1"/>
  <c r="J9" i="26"/>
  <c r="K9" i="26" s="1"/>
  <c r="J8" i="26"/>
  <c r="K8" i="26" s="1"/>
  <c r="K7" i="26"/>
  <c r="J7" i="26"/>
  <c r="J6" i="26"/>
  <c r="K6" i="26" s="1"/>
  <c r="J5" i="26"/>
  <c r="K5" i="26" s="1"/>
  <c r="J4" i="26"/>
  <c r="K4" i="26" s="1"/>
  <c r="J3" i="26"/>
  <c r="K3" i="26" s="1"/>
  <c r="L2" i="26"/>
  <c r="J2" i="26"/>
  <c r="K2" i="26" s="1"/>
  <c r="L2" i="7"/>
  <c r="F23" i="7"/>
  <c r="D22" i="7"/>
  <c r="D23" i="7" s="1"/>
  <c r="E22" i="7"/>
  <c r="E23" i="7" s="1"/>
  <c r="F22" i="7"/>
  <c r="G22" i="7"/>
  <c r="G23" i="7" s="1"/>
  <c r="H22" i="7"/>
  <c r="H23" i="7" s="1"/>
  <c r="I22" i="7"/>
  <c r="I23" i="7" s="1"/>
  <c r="C22" i="7"/>
  <c r="C23" i="7" s="1"/>
  <c r="J2" i="7"/>
  <c r="K2" i="7" s="1"/>
  <c r="J3" i="7"/>
  <c r="K3" i="7" s="1"/>
  <c r="J4" i="7"/>
  <c r="K4" i="7" s="1"/>
  <c r="J5" i="7"/>
  <c r="K5" i="7" s="1"/>
  <c r="J6" i="7"/>
  <c r="K6" i="7" s="1"/>
  <c r="J7" i="7"/>
  <c r="K7" i="7" s="1"/>
  <c r="J8" i="7"/>
  <c r="K8" i="7" s="1"/>
  <c r="J9" i="7"/>
  <c r="K9" i="7" s="1"/>
  <c r="J10" i="7"/>
  <c r="K10" i="7" s="1"/>
  <c r="J11" i="7"/>
  <c r="K11" i="7" s="1"/>
  <c r="J12" i="7"/>
  <c r="K12" i="7" s="1"/>
  <c r="J13" i="7"/>
  <c r="K13" i="7" s="1"/>
  <c r="J14" i="7"/>
  <c r="K14" i="7" s="1"/>
  <c r="J15" i="7"/>
  <c r="K15" i="7" s="1"/>
  <c r="J16" i="7"/>
  <c r="K16" i="7" s="1"/>
  <c r="D75" i="3"/>
  <c r="E9" i="23"/>
  <c r="F9" i="23"/>
  <c r="G9" i="23"/>
  <c r="D14" i="23"/>
  <c r="E14" i="23"/>
  <c r="F14" i="23"/>
  <c r="G14" i="23"/>
  <c r="E19" i="13"/>
  <c r="E18" i="13" s="1"/>
  <c r="B20" i="13"/>
  <c r="R16" i="13"/>
  <c r="L6" i="13"/>
  <c r="L7" i="13"/>
  <c r="C2" i="13"/>
  <c r="S19" i="13"/>
  <c r="N31" i="13"/>
  <c r="O30" i="13" s="1"/>
  <c r="P30" i="13" s="1"/>
  <c r="S25" i="13"/>
  <c r="S20" i="13"/>
  <c r="S23" i="13"/>
  <c r="S26" i="13"/>
  <c r="O19" i="13"/>
  <c r="M25" i="13"/>
  <c r="B21" i="13"/>
  <c r="K20" i="13"/>
  <c r="K19" i="13"/>
  <c r="K21" i="13"/>
  <c r="K22" i="13"/>
  <c r="K23" i="13"/>
  <c r="K25" i="13"/>
  <c r="K26" i="13"/>
  <c r="J9" i="13"/>
  <c r="K173" i="34" l="1"/>
  <c r="I173" i="34"/>
  <c r="G173" i="34"/>
  <c r="J173" i="34"/>
  <c r="H173" i="34"/>
  <c r="H96" i="34"/>
  <c r="G96" i="34"/>
  <c r="I96" i="34"/>
  <c r="J96" i="34"/>
  <c r="K96" i="34"/>
  <c r="C19" i="13"/>
  <c r="C18" i="13" s="1"/>
  <c r="C26" i="30"/>
  <c r="C34" i="30"/>
  <c r="F36" i="30"/>
  <c r="F35" i="30"/>
  <c r="F34" i="30"/>
  <c r="F33" i="30"/>
  <c r="F32" i="30"/>
  <c r="F31" i="30"/>
  <c r="F30" i="30"/>
  <c r="F29" i="30"/>
  <c r="F28" i="30"/>
  <c r="F27" i="30"/>
  <c r="F26" i="30"/>
  <c r="F25" i="30"/>
  <c r="F24" i="30"/>
  <c r="F23" i="30"/>
  <c r="J20" i="30"/>
  <c r="C20" i="30"/>
  <c r="G35" i="30"/>
  <c r="K20" i="30"/>
  <c r="C27" i="30"/>
  <c r="C35" i="30"/>
  <c r="E36" i="30"/>
  <c r="E35" i="30"/>
  <c r="E34" i="30"/>
  <c r="E33" i="30"/>
  <c r="E32" i="30"/>
  <c r="E31" i="30"/>
  <c r="E30" i="30"/>
  <c r="E29" i="30"/>
  <c r="E28" i="30"/>
  <c r="E27" i="30"/>
  <c r="E26" i="30"/>
  <c r="E25" i="30"/>
  <c r="E24" i="30"/>
  <c r="E23" i="30"/>
  <c r="I20" i="30"/>
  <c r="H35" i="30"/>
  <c r="C28" i="30"/>
  <c r="C36" i="30"/>
  <c r="D36" i="30"/>
  <c r="D35" i="30"/>
  <c r="D34" i="30"/>
  <c r="D33" i="30"/>
  <c r="D32" i="30"/>
  <c r="D31" i="30"/>
  <c r="D30" i="30"/>
  <c r="D29" i="30"/>
  <c r="D28" i="30"/>
  <c r="D27" i="30"/>
  <c r="D26" i="30"/>
  <c r="D25" i="30"/>
  <c r="D24" i="30"/>
  <c r="D23" i="30"/>
  <c r="H20" i="30"/>
  <c r="C29" i="30"/>
  <c r="K36" i="30"/>
  <c r="K35" i="30"/>
  <c r="K34" i="30"/>
  <c r="K33" i="30"/>
  <c r="K32" i="30"/>
  <c r="K31" i="30"/>
  <c r="K30" i="30"/>
  <c r="K29" i="30"/>
  <c r="K28" i="30"/>
  <c r="K27" i="30"/>
  <c r="K26" i="30"/>
  <c r="K25" i="30"/>
  <c r="K24" i="30"/>
  <c r="K23" i="30"/>
  <c r="G20" i="30"/>
  <c r="H27" i="30"/>
  <c r="G26" i="30"/>
  <c r="C30" i="30"/>
  <c r="J36" i="30"/>
  <c r="J35" i="30"/>
  <c r="J34" i="30"/>
  <c r="J33" i="30"/>
  <c r="J32" i="30"/>
  <c r="J31" i="30"/>
  <c r="J30" i="30"/>
  <c r="J29" i="30"/>
  <c r="J28" i="30"/>
  <c r="J27" i="30"/>
  <c r="J26" i="30"/>
  <c r="J25" i="30"/>
  <c r="J24" i="30"/>
  <c r="J23" i="30"/>
  <c r="F20" i="30"/>
  <c r="G34" i="30"/>
  <c r="G27" i="30"/>
  <c r="C23" i="30"/>
  <c r="C31" i="30"/>
  <c r="F21" i="30"/>
  <c r="E21" i="30"/>
  <c r="D21" i="30"/>
  <c r="B22" i="28"/>
  <c r="B20" i="28"/>
  <c r="F25" i="23"/>
  <c r="T19" i="17"/>
  <c r="T23" i="17" s="1"/>
  <c r="S21" i="17"/>
  <c r="S23" i="17" s="1"/>
  <c r="W21" i="17"/>
  <c r="V21" i="17"/>
  <c r="U21" i="17"/>
  <c r="U23" i="17" s="1"/>
  <c r="W19" i="17"/>
  <c r="V19" i="17"/>
  <c r="V23" i="17" s="1"/>
  <c r="D18" i="13"/>
  <c r="O33" i="13"/>
  <c r="P33" i="13" s="1"/>
  <c r="K31" i="13"/>
  <c r="Q26" i="13" s="1"/>
  <c r="O32" i="13"/>
  <c r="P32" i="13" s="1"/>
  <c r="O31" i="13"/>
  <c r="P31" i="13" s="1"/>
  <c r="O34" i="13"/>
  <c r="P34" i="13" s="1"/>
  <c r="F26" i="23"/>
  <c r="F24" i="23"/>
  <c r="L9" i="13"/>
  <c r="L20" i="13"/>
  <c r="L23" i="13"/>
  <c r="I174" i="34" l="1"/>
  <c r="K174" i="34"/>
  <c r="H174" i="34"/>
  <c r="G174" i="34"/>
  <c r="J174" i="34"/>
  <c r="W23" i="17"/>
  <c r="M19" i="13"/>
  <c r="Q23" i="13"/>
  <c r="Q25" i="13"/>
  <c r="Q20" i="13"/>
  <c r="Q19" i="13"/>
  <c r="M9" i="13"/>
  <c r="O20" i="13"/>
  <c r="M20" i="13"/>
  <c r="O23" i="13"/>
  <c r="M23" i="13"/>
  <c r="K36" i="34"/>
  <c r="G37" i="34" s="1"/>
  <c r="M24" i="34" a="1"/>
  <c r="M24" i="34" s="1"/>
  <c r="L37" i="34" l="1"/>
  <c r="J37" i="34"/>
  <c r="H37" i="34"/>
  <c r="I37" i="34"/>
  <c r="K37" i="3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D09D0D-3C26-4ABB-93F4-D65E69027184}" keepAlive="1" name="Query - Contents: Territories and Governorates" description="Connection to the 'Contents: Territories and Governorates' query in the workbook." type="5" refreshedVersion="8" background="1" saveData="1">
    <dbPr connection="Provider=Microsoft.Mashup.OleDb.1;Data Source=$Workbook$;Location=&quot;Contents: Territories and Governorates&quot;;Extended Properties=&quot;&quot;" command="SELECT * FROM [Contents: Territories and Governorat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<sst xmlns="http://schemas.openxmlformats.org/spreadsheetml/2006/main" count="2277" uniqueCount="402">
  <si>
    <t>אלפים, אלא אם כן צוין אחרת</t>
  </si>
  <si>
    <t>Thousands, unless otherwise stated</t>
  </si>
  <si>
    <t>גיל</t>
  </si>
  <si>
    <t/>
  </si>
  <si>
    <t>Age</t>
  </si>
  <si>
    <t>סך הכל</t>
  </si>
  <si>
    <t>Total</t>
  </si>
  <si>
    <t>Median</t>
  </si>
  <si>
    <t>מוסלמים</t>
  </si>
  <si>
    <t xml:space="preserve">MOSLEMS </t>
  </si>
  <si>
    <t>מזה: מוסלמיות</t>
  </si>
  <si>
    <t>TOTAL</t>
  </si>
  <si>
    <t>מחוז ירושלים</t>
  </si>
  <si>
    <t>Jerusalem District</t>
  </si>
  <si>
    <t>מחוז הצפון</t>
  </si>
  <si>
    <t>Northern District</t>
  </si>
  <si>
    <t xml:space="preserve">   מזה: נפת יזרעאל</t>
  </si>
  <si>
    <t xml:space="preserve">   Thereof: Yizre'el S.D.</t>
  </si>
  <si>
    <t xml:space="preserve">          נפת עכו     </t>
  </si>
  <si>
    <t xml:space="preserve">                  Akko S.D.</t>
  </si>
  <si>
    <t>מחוז חיפה</t>
  </si>
  <si>
    <t>Haifa District</t>
  </si>
  <si>
    <t>נפת חיפה</t>
  </si>
  <si>
    <t xml:space="preserve">    Haifa S.D.</t>
  </si>
  <si>
    <t>נפת חדרה</t>
  </si>
  <si>
    <t xml:space="preserve">    Hadera S.D.</t>
  </si>
  <si>
    <t>מחוז המרכז</t>
  </si>
  <si>
    <t>Central District</t>
  </si>
  <si>
    <t xml:space="preserve">   מזה: נפת השרון</t>
  </si>
  <si>
    <t xml:space="preserve">    Thereof: Sharon S.D.</t>
  </si>
  <si>
    <t>מחוז תל אביב</t>
  </si>
  <si>
    <t>Tel Aviv District</t>
  </si>
  <si>
    <t>מחוז הדרום</t>
  </si>
  <si>
    <t>Southern District</t>
  </si>
  <si>
    <t xml:space="preserve">   מזה: נפת באר שבע</t>
  </si>
  <si>
    <t xml:space="preserve">   Thereof: Be'er Sheva S.D.</t>
  </si>
  <si>
    <t>ARAB CHRISTIANS</t>
  </si>
  <si>
    <t>מזה: נוצריות ערביות</t>
  </si>
  <si>
    <t xml:space="preserve"> מזה: </t>
  </si>
  <si>
    <t xml:space="preserve">  Thereof:</t>
  </si>
  <si>
    <t xml:space="preserve">   מחוז ירושלים</t>
  </si>
  <si>
    <t xml:space="preserve">   Jerusalem District</t>
  </si>
  <si>
    <t xml:space="preserve">   מחוז הצפון</t>
  </si>
  <si>
    <t xml:space="preserve">   Northern District</t>
  </si>
  <si>
    <t xml:space="preserve">     מזה: נפת יזרעאל</t>
  </si>
  <si>
    <t xml:space="preserve">       Thereof: Yizre'el S.D.</t>
  </si>
  <si>
    <t xml:space="preserve">            נפת עכו     </t>
  </si>
  <si>
    <t xml:space="preserve">                      Akko S.D.</t>
  </si>
  <si>
    <t xml:space="preserve">   מחוז חיפה</t>
  </si>
  <si>
    <t xml:space="preserve">   Haifa District</t>
  </si>
  <si>
    <t xml:space="preserve">   מחוז המרכז</t>
  </si>
  <si>
    <t xml:space="preserve">   Central District</t>
  </si>
  <si>
    <t xml:space="preserve">   מחוז תל אביב</t>
  </si>
  <si>
    <t xml:space="preserve">   Tel Aviv District</t>
  </si>
  <si>
    <t>DRUZE</t>
  </si>
  <si>
    <t xml:space="preserve"> מזה:</t>
  </si>
  <si>
    <t xml:space="preserve">     מזה: נפת עכו</t>
  </si>
  <si>
    <t xml:space="preserve">       Thereof: Akko S.D.</t>
  </si>
  <si>
    <t xml:space="preserve">            נפת גולן</t>
  </si>
  <si>
    <t xml:space="preserve">                      Golan S.D.</t>
  </si>
  <si>
    <t xml:space="preserve">     מזה: נפת חיפה</t>
  </si>
  <si>
    <t xml:space="preserve">   מזה: נפת עכו</t>
  </si>
  <si>
    <t xml:space="preserve">   Thereof: Akko S.D.</t>
  </si>
  <si>
    <t xml:space="preserve">   מזה: נפת חיפה</t>
  </si>
  <si>
    <t xml:space="preserve">   Thereof: Sharon S.D.</t>
  </si>
  <si>
    <t xml:space="preserve">          נפת פתח תקווה</t>
  </si>
  <si>
    <t xml:space="preserve">                  Petah Tiqwa S.D.</t>
  </si>
  <si>
    <t xml:space="preserve">          נפת  רחובות</t>
  </si>
  <si>
    <t xml:space="preserve">                  Rehovot S.D.</t>
  </si>
  <si>
    <t>נפת אשקלון</t>
  </si>
  <si>
    <t xml:space="preserve">   Ashqelon S.D.</t>
  </si>
  <si>
    <t>נפת באר שבע</t>
  </si>
  <si>
    <t xml:space="preserve">   Be'er Sheva S.D.</t>
  </si>
  <si>
    <t>דת</t>
  </si>
  <si>
    <t xml:space="preserve">   נפת צפת</t>
  </si>
  <si>
    <t xml:space="preserve">   Zefat S.D.</t>
  </si>
  <si>
    <t xml:space="preserve">   נפת כנרת</t>
  </si>
  <si>
    <t xml:space="preserve">   Kinneret S.D.</t>
  </si>
  <si>
    <t xml:space="preserve">   נפת יזרעאל</t>
  </si>
  <si>
    <t xml:space="preserve">   Yizre'el S.D.</t>
  </si>
  <si>
    <t xml:space="preserve">   נפת עכו</t>
  </si>
  <si>
    <t xml:space="preserve">   Akko S.D.</t>
  </si>
  <si>
    <t xml:space="preserve">   נפת גולן</t>
  </si>
  <si>
    <t xml:space="preserve">   Golan S.D.</t>
  </si>
  <si>
    <t xml:space="preserve">   נפת חיפה</t>
  </si>
  <si>
    <t xml:space="preserve">   Haifa S.D.</t>
  </si>
  <si>
    <t xml:space="preserve">   נפת חדרה</t>
  </si>
  <si>
    <t xml:space="preserve">   Hadera S.D.</t>
  </si>
  <si>
    <t xml:space="preserve">   נפת השרון</t>
  </si>
  <si>
    <t xml:space="preserve">   Sharon S.D.</t>
  </si>
  <si>
    <t xml:space="preserve">   נפת פתח תקווה</t>
  </si>
  <si>
    <t xml:space="preserve">   Petah Tiqwa S.D.</t>
  </si>
  <si>
    <t xml:space="preserve">   נפת רמלה</t>
  </si>
  <si>
    <t xml:space="preserve">   Ramla S.D.</t>
  </si>
  <si>
    <t xml:space="preserve">   נפת רחובות</t>
  </si>
  <si>
    <t xml:space="preserve">   Rehovot S.D.</t>
  </si>
  <si>
    <t xml:space="preserve">   נפת אשקלון</t>
  </si>
  <si>
    <t xml:space="preserve">   נפת באר שבע</t>
  </si>
  <si>
    <t>קבוצת אוכלוסייה</t>
  </si>
  <si>
    <t xml:space="preserve">מחוז ונפה </t>
  </si>
  <si>
    <t>District and</t>
  </si>
  <si>
    <t>AGE AND SEX, DISTRICT AND SUB-DISTRICT</t>
  </si>
  <si>
    <t>אוכלוסייה, לפי קבוצת אוכלוסייה,</t>
  </si>
  <si>
    <t>נוצרים ערבים</t>
  </si>
  <si>
    <t>ללא סיווג דת</t>
  </si>
  <si>
    <t>NOT CLASSIFIED BY RELIGION</t>
  </si>
  <si>
    <t>sub-district (S.D.)</t>
  </si>
  <si>
    <t>מזה: ללא סיווג דת - נקבות</t>
  </si>
  <si>
    <t xml:space="preserve">       Thereof: Haifa S.D.</t>
  </si>
  <si>
    <t xml:space="preserve">   Thereof: Haifa S.D.</t>
  </si>
  <si>
    <t>GRAND TOTAL</t>
  </si>
  <si>
    <t xml:space="preserve"> TOTAL</t>
  </si>
  <si>
    <r>
      <t>AGE AND SEX, DISTRICT AND SUB-DISTRICT</t>
    </r>
    <r>
      <rPr>
        <sz val="9"/>
        <rFont val="Arial"/>
        <family val="2"/>
      </rPr>
      <t xml:space="preserve"> (Cont.)</t>
    </r>
  </si>
  <si>
    <r>
      <t>דת, גיל ומין, מחוז ונפה</t>
    </r>
    <r>
      <rPr>
        <sz val="13"/>
        <rFont val="Arial"/>
        <family val="2"/>
      </rPr>
      <t xml:space="preserve"> (המשך)</t>
    </r>
  </si>
  <si>
    <t>POPULATION, BY POPULATION GROUP, RELIGION,</t>
  </si>
  <si>
    <t>Data based on: CBS, Population Census; Population and Immigration Authority, Population Register.</t>
  </si>
  <si>
    <t>הנתונים מבוססים על: למ"ס, מפקד האוכלוסין; רשות האוכלוסין וההגירה, מרשם האוכלוסין.</t>
  </si>
  <si>
    <t>age</t>
  </si>
  <si>
    <t>חציוני</t>
  </si>
  <si>
    <t>Judea and Samaria Area(1)</t>
  </si>
  <si>
    <t>מזה: ערביות(2)</t>
  </si>
  <si>
    <t>ARABS(2)</t>
  </si>
  <si>
    <t>ערבים(2)</t>
  </si>
  <si>
    <t>מזה: נקבות - סך הכל(2)</t>
  </si>
  <si>
    <t>כל האוכלוסייה(2)</t>
  </si>
  <si>
    <t>מזה: יהודיות ואחרות(3)</t>
  </si>
  <si>
    <t>1.   יישובים ישראליים.</t>
  </si>
  <si>
    <t>1.   Israeli localities.</t>
  </si>
  <si>
    <t>אזור יהודה והשומרון(1)</t>
  </si>
  <si>
    <t xml:space="preserve">    Thereof: Be'er Sheva S.D.</t>
  </si>
  <si>
    <t>3.   Incl. Jews, non-Arab Christians and those not classified by religion in the Population Register.</t>
  </si>
  <si>
    <t>3.   כולל יהודים, נוצרים לא-ערבים ואוכלוסייה ללא סיווג דת במרשם האוכלוסין.</t>
  </si>
  <si>
    <t>יהודים ואחרים(3)</t>
  </si>
  <si>
    <t>THEREOF: ARAB FEMALES(2)</t>
  </si>
  <si>
    <t>THEREOF: JEWISH FEMALES</t>
  </si>
  <si>
    <t xml:space="preserve">מזה: יהודיות </t>
  </si>
  <si>
    <t xml:space="preserve">JEWS </t>
  </si>
  <si>
    <t xml:space="preserve">יהודים </t>
  </si>
  <si>
    <t>RELIGION</t>
  </si>
  <si>
    <t>THEREOF: MOSLEM FEMALES</t>
  </si>
  <si>
    <t>THEREOF: ARAB CHRISTIAN FEMALES</t>
  </si>
  <si>
    <t>דרוזים</t>
  </si>
  <si>
    <t>THEREOF: DRUZE FEMALES</t>
  </si>
  <si>
    <t>THEREOF: NOT CLASSIFIED BY RELIGION - FEMALES</t>
  </si>
  <si>
    <t>מזה: דרוזיות</t>
  </si>
  <si>
    <r>
      <t>Also see:</t>
    </r>
    <r>
      <rPr>
        <sz val="7"/>
        <color indexed="8"/>
        <rFont val="Arial"/>
        <family val="2"/>
      </rPr>
      <t xml:space="preserve"> CBS website &gt; Population.</t>
    </r>
  </si>
  <si>
    <r>
      <t>להרחבה ראו:</t>
    </r>
    <r>
      <rPr>
        <sz val="7"/>
        <color indexed="8"/>
        <rFont val="Arial"/>
        <family val="2"/>
      </rPr>
      <t xml:space="preserve"> אתר הלמ"ס &gt; אוכלוסייה.</t>
    </r>
  </si>
  <si>
    <t>Average 2022</t>
  </si>
  <si>
    <t>ממוצע 2022</t>
  </si>
  <si>
    <t>2.   As of 2000, also includes Lebanese who were not classified by religion in the Population Register (1.5 thousand at the end of 2022).</t>
  </si>
  <si>
    <t>2.   משנת 2000 כולל גם את הלבנונים שלא סווגו לפי דת במרשם האוכלוסין (1.5 אלף בסוף שנת 2022).</t>
  </si>
  <si>
    <t>Published: 12.09.2023.</t>
  </si>
  <si>
    <t>פורסם: 12.09.2023.</t>
  </si>
  <si>
    <t>POPULATION, BY POPULATION GROUP, RELIGION, AGE AND SEX, DISTRICT AND SUB-DISTRICT</t>
  </si>
  <si>
    <t>District and sub-district (S.D.)</t>
  </si>
  <si>
    <t>Jews and Others</t>
  </si>
  <si>
    <t>Arabs</t>
  </si>
  <si>
    <t>Jews</t>
  </si>
  <si>
    <t>Muslims</t>
  </si>
  <si>
    <t>Arab Christians</t>
  </si>
  <si>
    <t>Druze</t>
  </si>
  <si>
    <t>No religion classification</t>
  </si>
  <si>
    <t>Arab Muslims</t>
  </si>
  <si>
    <t>Others</t>
  </si>
  <si>
    <t>Column1</t>
  </si>
  <si>
    <t>Jerusalem S.D.</t>
  </si>
  <si>
    <t>Tel Aviv S.D.</t>
  </si>
  <si>
    <t>Judea and Samaria Area</t>
  </si>
  <si>
    <t>Sub-district</t>
  </si>
  <si>
    <t>District</t>
  </si>
  <si>
    <t>Petah Tiqwa</t>
  </si>
  <si>
    <t>Ramla</t>
  </si>
  <si>
    <t>Rehovot</t>
  </si>
  <si>
    <t>Sharon</t>
  </si>
  <si>
    <t>Hadera</t>
  </si>
  <si>
    <t>Haifa</t>
  </si>
  <si>
    <t>Jerusalem</t>
  </si>
  <si>
    <t>Akko</t>
  </si>
  <si>
    <t>Golan</t>
  </si>
  <si>
    <t>Kinneret</t>
  </si>
  <si>
    <t>Yizre'el</t>
  </si>
  <si>
    <t>Zefat</t>
  </si>
  <si>
    <t>Ashqelon</t>
  </si>
  <si>
    <t>Be'er Sheva</t>
  </si>
  <si>
    <t>Tel Aviv</t>
  </si>
  <si>
    <t>Jews2</t>
  </si>
  <si>
    <t>Arab Muslims3</t>
  </si>
  <si>
    <t>Arab Christians4</t>
  </si>
  <si>
    <t>Druze5</t>
  </si>
  <si>
    <t>No religion classification6</t>
  </si>
  <si>
    <t>Others7</t>
  </si>
  <si>
    <t>Name</t>
  </si>
  <si>
    <t>Native</t>
  </si>
  <si>
    <t>Population Projection 2023-07-01</t>
  </si>
  <si>
    <t>Al-Khalil [Hebron]</t>
  </si>
  <si>
    <t>الخليل</t>
  </si>
  <si>
    <t>Al-Quds [Jerusalem]</t>
  </si>
  <si>
    <t>القدس</t>
  </si>
  <si>
    <t>Ariha [Jericho]</t>
  </si>
  <si>
    <t>أريحا والأغوار</t>
  </si>
  <si>
    <t>Bayt Lahm [Bethlehem]</t>
  </si>
  <si>
    <t>بيت لحم</t>
  </si>
  <si>
    <t>Janin [Jenin]</t>
  </si>
  <si>
    <t>جنين</t>
  </si>
  <si>
    <t>Nabulus [Nablus]</t>
  </si>
  <si>
    <t>نابلس</t>
  </si>
  <si>
    <t>Qalqilyah</t>
  </si>
  <si>
    <t>قلقيلية</t>
  </si>
  <si>
    <t>Ram Allah &amp; Al-Birah [Ramallah]</t>
  </si>
  <si>
    <t>رام الله والبيرة</t>
  </si>
  <si>
    <t>Salfit</t>
  </si>
  <si>
    <t>سلفيت</t>
  </si>
  <si>
    <t>Tubas</t>
  </si>
  <si>
    <t>طوباس والأغوار الشمالية</t>
  </si>
  <si>
    <t>Tulkarm</t>
  </si>
  <si>
    <t>طولكرم</t>
  </si>
  <si>
    <t>Dayr al-Balah [Deir al-Balah]</t>
  </si>
  <si>
    <t>دير البلح</t>
  </si>
  <si>
    <t>Ghazzah [Gaza]</t>
  </si>
  <si>
    <t>غزة</t>
  </si>
  <si>
    <t>Ghazzah ash-Shamaliyah [North Gaza]</t>
  </si>
  <si>
    <t>شمال غزة</t>
  </si>
  <si>
    <t>Khan Yunis</t>
  </si>
  <si>
    <t>خان يونس</t>
  </si>
  <si>
    <t>Rafah</t>
  </si>
  <si>
    <t>رفح</t>
  </si>
  <si>
    <t>Al-Arāḍī al-Filasṭīniyya [Palestinian Territories]</t>
  </si>
  <si>
    <t>الضفة الغربية وقطاع غزة</t>
  </si>
  <si>
    <t>Data from: https://www.pcbs.gov.ps/site/lang__en/803/default.aspx</t>
  </si>
  <si>
    <t>Taken from: https://www.citypopulation.de/en/palestine/admin/</t>
  </si>
  <si>
    <t>Jerusalem (J1) under Israeli control</t>
  </si>
  <si>
    <t>Jerusalem (J2) under Palestinian control</t>
  </si>
  <si>
    <t>Hebron</t>
  </si>
  <si>
    <t>Jericho</t>
  </si>
  <si>
    <t>Bethlehem</t>
  </si>
  <si>
    <t>Jenin</t>
  </si>
  <si>
    <t>Nablus</t>
  </si>
  <si>
    <t>Ramallah</t>
  </si>
  <si>
    <t>Deir al-Balah</t>
  </si>
  <si>
    <t>Gaza</t>
  </si>
  <si>
    <t>North Gaza</t>
  </si>
  <si>
    <t>Yunis</t>
  </si>
  <si>
    <t>Population</t>
  </si>
  <si>
    <t>Province</t>
  </si>
  <si>
    <t>https://www.pcbs.gov.ps/portals/_pcbs/PressRelease/Press_En_Preliminary_Results_Report-en.pdf</t>
  </si>
  <si>
    <t>Religion Data:</t>
  </si>
  <si>
    <t xml:space="preserve">Muslims: </t>
  </si>
  <si>
    <t>Others:</t>
  </si>
  <si>
    <t>Christians:</t>
  </si>
  <si>
    <t xml:space="preserve"> Beit Jala</t>
  </si>
  <si>
    <t>Beit Sahour</t>
  </si>
  <si>
    <t>Bir Zayt</t>
  </si>
  <si>
    <t>Jifna</t>
  </si>
  <si>
    <t>Ein Arik</t>
  </si>
  <si>
    <t>Taybeh</t>
  </si>
  <si>
    <t>Jerusalem shapefile</t>
  </si>
  <si>
    <t>https://www.arcgis.com/home/item.html?id=b6f4ef093c0845dbb22b527fabe5ec78</t>
  </si>
  <si>
    <t>Jerusalem demographics</t>
  </si>
  <si>
    <t>Finalize Palestine demographics</t>
  </si>
  <si>
    <t>figure out IL setters in Palestine</t>
  </si>
  <si>
    <t>Golan heights</t>
  </si>
  <si>
    <t>According to the latest statistics issued by the Latin Monastery Church in Gaza, about 1,100 Christians now live in the Gaza Strip - down from over 1300 in 2014 - most of whom are Greek Orthodox, although some adhere to the Latin Church</t>
  </si>
  <si>
    <t>https://www.middleeasteye.net/news/israel-palestine-gaza-christians-christmas-celebration-permits-denied</t>
  </si>
  <si>
    <t>Gaza: 2022, 1100 Christians, mostly Greek Orthodox</t>
  </si>
  <si>
    <t>total</t>
  </si>
  <si>
    <t>gaza</t>
  </si>
  <si>
    <t>Christian pop</t>
  </si>
  <si>
    <t>% Christian</t>
  </si>
  <si>
    <t>District pop</t>
  </si>
  <si>
    <t>christian pop</t>
  </si>
  <si>
    <t>prov total</t>
  </si>
  <si>
    <t>% of total</t>
  </si>
  <si>
    <t>prov pop</t>
  </si>
  <si>
    <t>% of pop</t>
  </si>
  <si>
    <t>prov name</t>
  </si>
  <si>
    <t>% of pal christ</t>
  </si>
  <si>
    <t>pop in each prov</t>
  </si>
  <si>
    <t>Gaza pop</t>
  </si>
  <si>
    <t>west bank</t>
  </si>
  <si>
    <t>https://fanack.com/palestine/population-of-palestine/</t>
  </si>
  <si>
    <t>Cities with Christians:</t>
  </si>
  <si>
    <t>Governorate</t>
  </si>
  <si>
    <t>West Bank</t>
  </si>
  <si>
    <t>Qalqiliya</t>
  </si>
  <si>
    <t>Ramallah &amp; Al-Bireh</t>
  </si>
  <si>
    <t>https://www.pcbs.gov.ps/Portals/_Rainbow/Documents/SETT4E-2021.html</t>
  </si>
  <si>
    <t>Jewish</t>
  </si>
  <si>
    <t>Jericho &amp; Al -Aghwar</t>
  </si>
  <si>
    <t>Tubas &amp; the Northern Valleys</t>
  </si>
  <si>
    <t>Dier al Balah</t>
  </si>
  <si>
    <t>Population (total)</t>
  </si>
  <si>
    <t>Jewish (2021 pop)</t>
  </si>
  <si>
    <t>Population (2023 pop)</t>
  </si>
  <si>
    <t>Jerusalem (J1, East JS)</t>
  </si>
  <si>
    <t>Jerusalem (J2, Quds Gov.)</t>
  </si>
  <si>
    <t>Jerusalem data:</t>
  </si>
  <si>
    <t>https://www.pcbs.gov.ps/statisticsIndicatorsTables.aspx?lang=en&amp;table_id=2088</t>
  </si>
  <si>
    <t>All Palestine data:</t>
  </si>
  <si>
    <t>https://www.pcbs.gov.ps/statisticsIndicatorsTables.aspx?lang=en&amp;table_id=676</t>
  </si>
  <si>
    <t>Jewish settlers:</t>
  </si>
  <si>
    <t>Gaza Strip</t>
  </si>
  <si>
    <t>Palestine</t>
  </si>
  <si>
    <t>West JS</t>
  </si>
  <si>
    <t>East JS</t>
  </si>
  <si>
    <t>Media Release. Jerusalem is Israel's capital and largest city. Jerusalem had approximately 971,800 residents. During 2021, the population of Jerusalem increased by 13,900 residents.May 26, 2022</t>
  </si>
  <si>
    <t>https://www.cbs.gov.il/en/mediarelease/pages/2022/selected-data-on-the-occasion-of-jerusalem-day-2022.aspx#:~:text=Media%20Release,-26%20May%202022&amp;text=Jerusalem%20is%20Israel's%20capital%20and,Jerusalem%20increased%20by%2013%2C900%20residents.</t>
  </si>
  <si>
    <t>Jerusalem city total (2021)</t>
  </si>
  <si>
    <t>Jerusalem had a population of 951,100 in 2020, of which Jews comprised 570,100 (59.9%), Muslims 353.800 (37.2%), Christians 16.300 (1.7%), and 10,800 unclassified (1.1%).[</t>
  </si>
  <si>
    <t>Christians</t>
  </si>
  <si>
    <t>Jerusalem district</t>
  </si>
  <si>
    <t>lowered Christian bc it was higher than JS district Christian pop</t>
  </si>
  <si>
    <t>Original</t>
  </si>
  <si>
    <t>Editted</t>
  </si>
  <si>
    <t>Pop of JS city</t>
  </si>
  <si>
    <t>From Palestine stat web</t>
  </si>
  <si>
    <t>From Israel stat web</t>
  </si>
  <si>
    <t>https://jerusaleminstitute.org.il/wp-content/uploads/2022/05/shnaton_C0922.pdf</t>
  </si>
  <si>
    <t>math</t>
  </si>
  <si>
    <t>PL web</t>
  </si>
  <si>
    <t>Muslim</t>
  </si>
  <si>
    <t>Arab Christian</t>
  </si>
  <si>
    <t>No religious class</t>
  </si>
  <si>
    <t>Column2</t>
  </si>
  <si>
    <t>Column3</t>
  </si>
  <si>
    <t>Column4</t>
  </si>
  <si>
    <t>Column5</t>
  </si>
  <si>
    <t>Column6</t>
  </si>
  <si>
    <t>Column7</t>
  </si>
  <si>
    <t>Order</t>
  </si>
  <si>
    <t>Judea and Samaria</t>
  </si>
  <si>
    <t>With Judea and Samaria</t>
  </si>
  <si>
    <t>Without Judea and Samaria</t>
  </si>
  <si>
    <t>without judea and samaria</t>
  </si>
  <si>
    <t>Today, the Armenian community still numbers about 10,000, most of whom live in Jerusalem</t>
  </si>
  <si>
    <t>Armenians</t>
  </si>
  <si>
    <t>Orthodox</t>
  </si>
  <si>
    <t>Catholic</t>
  </si>
  <si>
    <t>There are fifteen recognized Christian Churches in Palestine. By far the largest in the Greek Orthodox Church (with 52 percent of the Christians), followed at a distance by the Roman Catholic Church (31 percent) and the much smaller Greek Catholic Church (Melkites; 6 percent) and the Protestant churches (Lutherans, Anglicans; 5 percent). There is also a small Armenian Church. The remaining church communities are small; their presence is related to the special position of Jerusalem and Bethlehem in Christianity.</t>
  </si>
  <si>
    <t>Greek Catholic</t>
  </si>
  <si>
    <t>5k-6k Armenians across Israel and Palestine</t>
  </si>
  <si>
    <t>~800 Armenians in Jerusalem</t>
  </si>
  <si>
    <t>Protestants</t>
  </si>
  <si>
    <t>Locality</t>
  </si>
  <si>
    <t>Jerusalem Gov.</t>
  </si>
  <si>
    <t>Jerusalem (J1)*</t>
  </si>
  <si>
    <t>Jerusalem (J2)</t>
  </si>
  <si>
    <t>Area J1</t>
  </si>
  <si>
    <t>Area J2</t>
  </si>
  <si>
    <t>Gov</t>
  </si>
  <si>
    <t>Palestinians</t>
  </si>
  <si>
    <t>2021 J1 and J2 Pop</t>
  </si>
  <si>
    <t>Population all</t>
  </si>
  <si>
    <t>2023 if grow at same rate</t>
  </si>
  <si>
    <t>2023 Estimated Populations</t>
  </si>
  <si>
    <t>Jerusalem 2023 estimate From Israeli web linked to the right</t>
  </si>
  <si>
    <t>East Jerusalem</t>
  </si>
  <si>
    <t>Quds Governorate</t>
  </si>
  <si>
    <t>West Jerusalem</t>
  </si>
  <si>
    <t>Jerusalem District, IS</t>
  </si>
  <si>
    <t>Quds Governorate, PL</t>
  </si>
  <si>
    <t>ID</t>
  </si>
  <si>
    <t>PL61</t>
  </si>
  <si>
    <t>PL62</t>
  </si>
  <si>
    <t>PL52</t>
  </si>
  <si>
    <t>PL53</t>
  </si>
  <si>
    <t>PL54</t>
  </si>
  <si>
    <t>PL57</t>
  </si>
  <si>
    <t>PL59</t>
  </si>
  <si>
    <t>PL58</t>
  </si>
  <si>
    <t>PL56</t>
  </si>
  <si>
    <t>PL55</t>
  </si>
  <si>
    <t>PL60</t>
  </si>
  <si>
    <t>PL51</t>
  </si>
  <si>
    <t>PL15</t>
  </si>
  <si>
    <t>PL13</t>
  </si>
  <si>
    <t>PL12</t>
  </si>
  <si>
    <t>PL14</t>
  </si>
  <si>
    <t>PL11</t>
  </si>
  <si>
    <t>Ratio of Settlers to</t>
  </si>
  <si>
    <t>Palestinian Population</t>
  </si>
  <si>
    <t>Number of Settlers</t>
  </si>
  <si>
    <t>Jericho &amp; Al-Aghwar</t>
  </si>
  <si>
    <t>2022 Palestinian</t>
  </si>
  <si>
    <t>2022 Jews</t>
  </si>
  <si>
    <t>IL</t>
  </si>
  <si>
    <t>PL</t>
  </si>
  <si>
    <t>Quds</t>
  </si>
  <si>
    <t>https://www.cbs.gov.il/en/mediarelease/Pages/2022/Selected-Data-on-the-Occasion-of-Jerusalem-Day-2022.aspx</t>
  </si>
  <si>
    <t>Determining WJ</t>
  </si>
  <si>
    <t>JS city total</t>
  </si>
  <si>
    <t>JS, IL</t>
  </si>
  <si>
    <t>JS demographics</t>
  </si>
  <si>
    <t>Jerusalem, IL</t>
  </si>
  <si>
    <t>had to adjust Christian bc JS city pop higher than JS, IL Christian pop. Redistributed that population to Jews and Muslims equally. Others adjusted to match the rest of IL as well</t>
  </si>
  <si>
    <t>5-6k in ispal combined</t>
  </si>
  <si>
    <t>Maronites</t>
  </si>
  <si>
    <t>ADJUST THESE TO CHANGE THE CHRISTIAN ISRAELI POP</t>
  </si>
  <si>
    <t>ADJUST THESE TO CHANGE THE CHRISTIAN PALESTINIAN POP</t>
  </si>
  <si>
    <t>Copts</t>
  </si>
  <si>
    <t>https://web.archive.org/web/20151017004653/http://mfa.gov.il/MFA/AboutIsrael/Spotlight/Pages/The-Christian-communities-in-Israel-May-2014.aspx</t>
  </si>
  <si>
    <t>Israel</t>
  </si>
  <si>
    <t>ADJUST JEWS TO HOW MANY JEWS THERE ARE IN WEST BANK ACCORDING TO 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</si>
</sst>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General_)"/>
    <numFmt numFmtId="165" formatCode="#.00"/>
    <numFmt numFmtId="166" formatCode="#."/>
    <numFmt numFmtId="167" formatCode="#,##0.0\ \ ;\-#,##0.0\ \ "/>
    <numFmt numFmtId="168" formatCode="0.0"/>
    <numFmt numFmtId="169" formatCode="\ \ \ \ @"/>
    <numFmt numFmtId="170" formatCode="#,##0.0\ "/>
    <numFmt numFmtId="171" formatCode="#,##0\ \ ;\-#,##0\ \ "/>
    <numFmt numFmtId="172" formatCode="\ \ \ @"/>
    <numFmt numFmtId="173" formatCode="_(* #,##0_);_(* \(#,##0\);_(* &quot;-&quot;??_);_(@_)"/>
    <numFmt numFmtId="174" formatCode="_-* #,##0.00_-;_-* #,##0.00\-;_-* &quot;-&quot;??_-;_-@_-"/>
    <numFmt numFmtId="175" formatCode="0.0%"/>
  </numFmts>
  <fonts count="61">
    <font>
      <sz val="12"/>
      <name val="Courier"/>
      <charset val="177"/>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name val="Switzerland"/>
      <family val="2"/>
      <charset val="177"/>
    </font>
    <font>
      <b/>
      <sz val="9"/>
      <name val="Arial"/>
      <family val="2"/>
    </font>
    <font>
      <b/>
      <sz val="9"/>
      <name val="Arial (Hebrew)"/>
      <family val="2"/>
      <charset val="177"/>
    </font>
    <font>
      <sz val="7"/>
      <name val="Switzerland"/>
      <family val="2"/>
      <charset val="177"/>
    </font>
    <font>
      <sz val="1"/>
      <color indexed="8"/>
      <name val="Courier"/>
      <family val="3"/>
      <charset val="177"/>
    </font>
    <font>
      <sz val="6"/>
      <name val="SwitzerlandLight"/>
      <family val="2"/>
      <charset val="177"/>
    </font>
    <font>
      <b/>
      <sz val="7"/>
      <name val="Switzerland"/>
      <family val="2"/>
      <charset val="177"/>
    </font>
    <font>
      <b/>
      <sz val="1"/>
      <color indexed="8"/>
      <name val="Courier"/>
      <family val="3"/>
      <charset val="177"/>
    </font>
    <font>
      <b/>
      <sz val="8"/>
      <name val="Switzerland"/>
      <family val="2"/>
      <charset val="177"/>
    </font>
    <font>
      <b/>
      <sz val="13"/>
      <name val="Arial (Hebrew)"/>
      <family val="2"/>
      <charset val="177"/>
    </font>
    <font>
      <b/>
      <sz val="6"/>
      <name val="Arial"/>
      <family val="2"/>
    </font>
    <font>
      <b/>
      <sz val="8"/>
      <name val="Arial (Hebrew)"/>
      <family val="2"/>
      <charset val="177"/>
    </font>
    <font>
      <i/>
      <sz val="6"/>
      <name val="Arial"/>
      <family val="2"/>
    </font>
    <font>
      <i/>
      <sz val="7"/>
      <name val="Arial (Hebrew)"/>
      <family val="2"/>
      <charset val="177"/>
    </font>
    <font>
      <sz val="6"/>
      <name val="Switzerland"/>
      <family val="2"/>
      <charset val="177"/>
    </font>
    <font>
      <sz val="6"/>
      <name val="Arial"/>
      <family val="2"/>
    </font>
    <font>
      <sz val="7"/>
      <name val="Arial (Hebrew)"/>
      <family val="2"/>
      <charset val="177"/>
    </font>
    <font>
      <b/>
      <sz val="6"/>
      <name val="Switzerland"/>
      <family val="2"/>
      <charset val="177"/>
    </font>
    <font>
      <sz val="9"/>
      <name val="Arial"/>
      <family val="2"/>
    </font>
    <font>
      <sz val="7"/>
      <name val="Arial"/>
      <family val="2"/>
    </font>
    <font>
      <sz val="12"/>
      <name val="Arial"/>
      <family val="2"/>
    </font>
    <font>
      <i/>
      <sz val="6"/>
      <name val="Switzerland"/>
      <family val="2"/>
      <charset val="177"/>
    </font>
    <font>
      <b/>
      <sz val="13"/>
      <name val="Arial"/>
      <family val="2"/>
    </font>
    <font>
      <sz val="13"/>
      <name val="Arial"/>
      <family val="2"/>
    </font>
    <font>
      <b/>
      <sz val="8"/>
      <name val="Arial"/>
      <family val="2"/>
    </font>
    <font>
      <b/>
      <sz val="7"/>
      <name val="Arial"/>
      <family val="2"/>
    </font>
    <font>
      <i/>
      <sz val="7"/>
      <name val="Arial"/>
      <family val="2"/>
    </font>
    <font>
      <i/>
      <sz val="12"/>
      <name val="Arial"/>
      <family val="2"/>
    </font>
    <font>
      <sz val="7"/>
      <color indexed="8"/>
      <name val="Arial"/>
      <family val="2"/>
    </font>
    <font>
      <sz val="7"/>
      <color rgb="FF000000"/>
      <name val="Arial"/>
      <family val="2"/>
    </font>
    <font>
      <b/>
      <sz val="7"/>
      <color rgb="FF000000"/>
      <name val="Arial"/>
      <family val="2"/>
    </font>
    <font>
      <sz val="12"/>
      <name val="Courier"/>
      <charset val="177"/>
    </font>
    <font>
      <sz val="12"/>
      <name val="Calibri"/>
      <family val="2"/>
      <scheme val="minor"/>
    </font>
    <font>
      <b/>
      <sz val="12"/>
      <name val="Calibri"/>
      <family val="2"/>
      <scheme val="minor"/>
    </font>
    <font>
      <sz val="12"/>
      <color theme="1"/>
      <name val="Calibri"/>
      <family val="2"/>
      <scheme val="minor"/>
    </font>
    <font>
      <sz val="8"/>
      <name val="Courier"/>
      <charset val="177"/>
    </font>
    <font>
      <sz val="10"/>
      <name val="Arial"/>
      <family val="2"/>
    </font>
    <font>
      <sz val="11"/>
      <color theme="1"/>
      <name val="Calibri"/>
      <family val="2"/>
      <charset val="178"/>
      <scheme val="minor"/>
    </font>
    <font>
      <b/>
      <sz val="10"/>
      <name val="NarkisTam"/>
      <charset val="177"/>
    </font>
    <font>
      <sz val="1"/>
      <color indexed="8"/>
      <name val="Courier"/>
      <family val="3"/>
    </font>
    <font>
      <sz val="7"/>
      <name val="NarkisTam Light"/>
      <charset val="177"/>
    </font>
    <font>
      <b/>
      <sz val="11"/>
      <name val="NarkisTam"/>
      <charset val="177"/>
    </font>
    <font>
      <b/>
      <sz val="1"/>
      <color indexed="8"/>
      <name val="Courier"/>
      <family val="3"/>
    </font>
    <font>
      <b/>
      <sz val="9"/>
      <name val="NarkisTam"/>
      <charset val="177"/>
    </font>
    <font>
      <b/>
      <sz val="14"/>
      <name val="NarkisTam"/>
      <charset val="177"/>
    </font>
    <font>
      <sz val="7"/>
      <name val="NarkisTam"/>
      <charset val="177"/>
    </font>
    <font>
      <sz val="10"/>
      <color theme="1"/>
      <name val="Calibri"/>
      <family val="2"/>
      <scheme val="minor"/>
    </font>
    <font>
      <sz val="12"/>
      <name val="Courier"/>
      <family val="3"/>
    </font>
    <font>
      <b/>
      <sz val="11"/>
      <color theme="1"/>
      <name val="Calibri"/>
      <family val="2"/>
      <scheme val="minor"/>
    </font>
    <font>
      <sz val="11"/>
      <name val="Calibri"/>
      <family val="2"/>
      <scheme val="minor"/>
    </font>
    <font>
      <b/>
      <sz val="11"/>
      <name val="Calibri"/>
      <family val="2"/>
      <scheme val="minor"/>
    </font>
    <font>
      <b/>
      <sz val="12"/>
      <color theme="1"/>
      <name val="Calibri"/>
      <family val="2"/>
      <scheme val="minor"/>
    </font>
    <font>
      <i/>
      <sz val="11"/>
      <color theme="1"/>
      <name val="Calibri"/>
      <family val="2"/>
      <scheme val="minor"/>
    </font>
    <font>
      <i/>
      <sz val="11"/>
      <name val="Calibri"/>
      <family val="2"/>
      <scheme val="minor"/>
    </font>
    <font>
      <u/>
      <sz val="11"/>
      <name val="Calibri"/>
      <family val="2"/>
      <scheme val="minor"/>
    </font>
  </fonts>
  <fills count="13">
    <fill>
      <patternFill patternType="none"/>
    </fill>
    <fill>
      <patternFill patternType="gray125"/>
    </fill>
    <fill>
      <patternFill patternType="solid">
        <fgColor rgb="FFC0C0C0"/>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79998168889431442"/>
        <bgColor theme="8" tint="0.79998168889431442"/>
      </patternFill>
    </fill>
    <fill>
      <patternFill patternType="solid">
        <fgColor theme="9" tint="0.79998168889431442"/>
        <bgColor theme="9" tint="0.79998168889431442"/>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6">
    <border>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57">
    <xf numFmtId="164" fontId="0" fillId="0" borderId="0"/>
    <xf numFmtId="164" fontId="6" fillId="0" borderId="0" applyNumberFormat="0" applyFill="0" applyBorder="0" applyProtection="0"/>
    <xf numFmtId="164" fontId="7" fillId="0" borderId="0" applyNumberFormat="0" applyBorder="0" applyAlignment="0">
      <alignment horizontal="centerContinuous"/>
    </xf>
    <xf numFmtId="164" fontId="8" fillId="0" borderId="0" applyNumberFormat="0" applyBorder="0" applyAlignment="0">
      <alignment horizontal="centerContinuous"/>
    </xf>
    <xf numFmtId="164" fontId="9" fillId="0" borderId="0" applyNumberFormat="0" applyFill="0" applyBorder="0" applyProtection="0">
      <alignment horizontal="center"/>
    </xf>
    <xf numFmtId="1" fontId="10" fillId="0" borderId="0">
      <protection locked="0"/>
    </xf>
    <xf numFmtId="165" fontId="10" fillId="0" borderId="0">
      <protection locked="0"/>
    </xf>
    <xf numFmtId="164" fontId="11" fillId="0" borderId="0" applyNumberFormat="0" applyFill="0" applyBorder="0" applyProtection="0"/>
    <xf numFmtId="164" fontId="12" fillId="0" borderId="0" applyNumberFormat="0" applyFill="0" applyBorder="0" applyProtection="0">
      <alignment horizontal="centerContinuous"/>
    </xf>
    <xf numFmtId="166" fontId="13" fillId="0" borderId="0">
      <protection locked="0"/>
    </xf>
    <xf numFmtId="166" fontId="13" fillId="0" borderId="0">
      <protection locked="0"/>
    </xf>
    <xf numFmtId="164" fontId="14" fillId="0" borderId="0" applyNumberFormat="0" applyFill="0" applyBorder="0" applyProtection="0"/>
    <xf numFmtId="164" fontId="7" fillId="0" borderId="0" applyNumberFormat="0" applyBorder="0" applyAlignment="0">
      <alignment horizontal="left" vertical="center"/>
    </xf>
    <xf numFmtId="164" fontId="8" fillId="0" borderId="0" applyNumberFormat="0" applyBorder="0" applyAlignment="0">
      <alignment horizontal="right" readingOrder="2"/>
    </xf>
    <xf numFmtId="164" fontId="6" fillId="0" borderId="0" applyNumberFormat="0" applyFill="0" applyBorder="0" applyProtection="0">
      <alignment horizontal="centerContinuous"/>
    </xf>
    <xf numFmtId="164" fontId="7" fillId="0" borderId="0" applyNumberFormat="0" applyBorder="0" applyAlignment="0">
      <alignment horizontal="centerContinuous"/>
    </xf>
    <xf numFmtId="164" fontId="15" fillId="0" borderId="0" applyNumberFormat="0" applyBorder="0" applyAlignment="0">
      <alignment horizontal="centerContinuous" vertical="center" readingOrder="2"/>
    </xf>
    <xf numFmtId="164" fontId="12" fillId="0" borderId="0" applyNumberFormat="0" applyFill="0" applyBorder="0" applyProtection="0"/>
    <xf numFmtId="171" fontId="16" fillId="0" borderId="0" applyNumberFormat="0" applyBorder="0" applyAlignment="0">
      <alignment horizontal="left" readingOrder="1"/>
    </xf>
    <xf numFmtId="171" fontId="17" fillId="0" borderId="0" applyNumberFormat="0" applyBorder="0" applyAlignment="0">
      <alignment horizontal="right" readingOrder="2"/>
    </xf>
    <xf numFmtId="164" fontId="27" fillId="0" borderId="0" applyNumberFormat="0" applyFill="0" applyBorder="0" applyProtection="0"/>
    <xf numFmtId="170" fontId="18" fillId="0" borderId="0" applyNumberFormat="0" applyBorder="0" applyAlignment="0" applyProtection="0">
      <alignment horizontal="right"/>
      <protection locked="0"/>
    </xf>
    <xf numFmtId="164" fontId="19" fillId="0" borderId="0" applyNumberFormat="0" applyBorder="0" applyAlignment="0">
      <alignment horizontal="right" readingOrder="2"/>
    </xf>
    <xf numFmtId="164" fontId="20" fillId="0" borderId="0" applyNumberFormat="0" applyFill="0" applyBorder="0" applyProtection="0"/>
    <xf numFmtId="0" fontId="21" fillId="0" borderId="0" applyNumberFormat="0" applyBorder="0" applyAlignment="0">
      <alignment horizontal="left" readingOrder="1"/>
    </xf>
    <xf numFmtId="164" fontId="22" fillId="0" borderId="0" applyNumberFormat="0" applyFill="0" applyBorder="0" applyAlignment="0" applyProtection="0">
      <alignment horizontal="right" readingOrder="2"/>
    </xf>
    <xf numFmtId="164" fontId="23" fillId="0" borderId="0" applyNumberFormat="0" applyFill="0" applyBorder="0" applyProtection="0"/>
    <xf numFmtId="164" fontId="16" fillId="0" borderId="0" applyNumberFormat="0" applyBorder="0" applyAlignment="0">
      <alignment horizontal="left" readingOrder="1"/>
    </xf>
    <xf numFmtId="164" fontId="17" fillId="0" borderId="0" applyNumberFormat="0" applyBorder="0" applyAlignment="0"/>
    <xf numFmtId="43" fontId="37" fillId="0" borderId="0" applyFont="0" applyFill="0" applyBorder="0" applyAlignment="0" applyProtection="0"/>
    <xf numFmtId="9" fontId="37" fillId="0" borderId="0" applyFont="0" applyFill="0" applyBorder="0" applyAlignment="0" applyProtection="0"/>
    <xf numFmtId="0" fontId="42" fillId="0" borderId="0"/>
    <xf numFmtId="164" fontId="44" fillId="0" borderId="0" applyNumberFormat="0" applyFill="0" applyBorder="0" applyProtection="0"/>
    <xf numFmtId="1" fontId="45" fillId="0" borderId="0">
      <protection locked="0"/>
    </xf>
    <xf numFmtId="165" fontId="45" fillId="0" borderId="0">
      <protection locked="0"/>
    </xf>
    <xf numFmtId="164" fontId="46" fillId="0" borderId="0" applyNumberFormat="0" applyFill="0" applyBorder="0" applyProtection="0"/>
    <xf numFmtId="164" fontId="47" fillId="0" borderId="0" applyNumberFormat="0" applyFill="0" applyBorder="0" applyProtection="0">
      <alignment horizontal="centerContinuous"/>
    </xf>
    <xf numFmtId="166" fontId="48" fillId="0" borderId="0">
      <protection locked="0"/>
    </xf>
    <xf numFmtId="166" fontId="48" fillId="0" borderId="0">
      <protection locked="0"/>
    </xf>
    <xf numFmtId="164" fontId="49" fillId="0" borderId="0" applyNumberFormat="0" applyFill="0" applyBorder="0" applyProtection="0"/>
    <xf numFmtId="164" fontId="50" fillId="0" borderId="0" applyNumberFormat="0" applyFill="0" applyBorder="0" applyProtection="0">
      <alignment horizontal="centerContinuous"/>
    </xf>
    <xf numFmtId="164" fontId="51" fillId="0" borderId="0" applyNumberFormat="0" applyFill="0" applyBorder="0" applyProtection="0"/>
    <xf numFmtId="164" fontId="49" fillId="0" borderId="0" applyNumberFormat="0" applyFill="0" applyBorder="0" applyProtection="0"/>
    <xf numFmtId="174" fontId="42" fillId="0" borderId="0" applyFont="0" applyFill="0" applyBorder="0" applyAlignment="0" applyProtection="0"/>
    <xf numFmtId="0" fontId="42" fillId="0" borderId="0"/>
    <xf numFmtId="0" fontId="43" fillId="0" borderId="0"/>
    <xf numFmtId="0" fontId="42" fillId="0" borderId="0"/>
    <xf numFmtId="164" fontId="6" fillId="0" borderId="0" applyNumberFormat="0" applyFill="0" applyBorder="0" applyProtection="0">
      <alignment horizontal="centerContinuous"/>
    </xf>
    <xf numFmtId="164" fontId="53" fillId="0" borderId="0"/>
    <xf numFmtId="0" fontId="42" fillId="0" borderId="0"/>
    <xf numFmtId="0" fontId="42" fillId="0" borderId="0"/>
    <xf numFmtId="0" fontId="43" fillId="0" borderId="0"/>
    <xf numFmtId="164" fontId="49" fillId="0" borderId="0" applyNumberFormat="0" applyFill="0" applyBorder="0" applyProtection="0"/>
    <xf numFmtId="0" fontId="42" fillId="0" borderId="0"/>
    <xf numFmtId="0" fontId="5" fillId="0" borderId="0"/>
    <xf numFmtId="164" fontId="37" fillId="0" borderId="0"/>
    <xf numFmtId="0" fontId="40" fillId="0" borderId="0"/>
  </cellStyleXfs>
  <cellXfs count="204">
    <xf numFmtId="164" fontId="0" fillId="0" borderId="0" xfId="0"/>
    <xf numFmtId="164" fontId="25" fillId="0" borderId="1" xfId="4" applyFont="1" applyFill="1" applyBorder="1" applyAlignment="1" applyProtection="1">
      <alignment horizontal="center" vertical="center"/>
    </xf>
    <xf numFmtId="164" fontId="26" fillId="0" borderId="0" xfId="0" applyFont="1" applyAlignment="1">
      <alignment vertical="center"/>
    </xf>
    <xf numFmtId="170" fontId="16" fillId="0" borderId="0" xfId="18" applyNumberFormat="1" applyBorder="1" applyAlignment="1">
      <alignment horizontal="left"/>
    </xf>
    <xf numFmtId="164" fontId="26" fillId="0" borderId="0" xfId="0" applyFont="1"/>
    <xf numFmtId="170" fontId="16" fillId="0" borderId="0" xfId="27" applyNumberFormat="1" applyBorder="1" applyAlignment="1" applyProtection="1">
      <alignment horizontal="right"/>
      <protection locked="0"/>
    </xf>
    <xf numFmtId="170" fontId="18" fillId="0" borderId="0" xfId="21" applyNumberFormat="1" applyBorder="1" applyAlignment="1" applyProtection="1">
      <alignment horizontal="right"/>
      <protection locked="0"/>
    </xf>
    <xf numFmtId="170" fontId="21" fillId="0" borderId="0" xfId="24" applyNumberFormat="1" applyBorder="1" applyAlignment="1" applyProtection="1">
      <alignment horizontal="right"/>
      <protection locked="0"/>
    </xf>
    <xf numFmtId="164" fontId="26" fillId="0" borderId="2" xfId="0" applyFont="1" applyBorder="1" applyAlignment="1">
      <alignment vertical="center"/>
    </xf>
    <xf numFmtId="164" fontId="25" fillId="0" borderId="1" xfId="4" applyFont="1" applyBorder="1" applyAlignment="1" applyProtection="1">
      <alignment horizontal="center" vertical="center"/>
    </xf>
    <xf numFmtId="164" fontId="25" fillId="0" borderId="3" xfId="4" applyFont="1" applyBorder="1" applyAlignment="1" applyProtection="1">
      <alignment horizontal="center" vertical="center"/>
    </xf>
    <xf numFmtId="164" fontId="33" fillId="0" borderId="0" xfId="0" applyFont="1"/>
    <xf numFmtId="170" fontId="18" fillId="0" borderId="0" xfId="20" applyNumberFormat="1" applyFont="1" applyFill="1" applyBorder="1" applyAlignment="1" applyProtection="1">
      <alignment horizontal="right"/>
    </xf>
    <xf numFmtId="164" fontId="25" fillId="0" borderId="1" xfId="4" applyFont="1" applyFill="1" applyBorder="1" applyAlignment="1" applyProtection="1">
      <alignment horizontal="center" readingOrder="2"/>
    </xf>
    <xf numFmtId="170" fontId="31" fillId="0" borderId="0" xfId="17" applyNumberFormat="1" applyFont="1" applyFill="1" applyBorder="1" applyAlignment="1" applyProtection="1">
      <alignment horizontal="left"/>
    </xf>
    <xf numFmtId="170" fontId="30" fillId="0" borderId="1" xfId="19" applyNumberFormat="1" applyFont="1" applyBorder="1" applyAlignment="1">
      <alignment horizontal="right" readingOrder="2"/>
    </xf>
    <xf numFmtId="170" fontId="18" fillId="0" borderId="0" xfId="21" applyNumberFormat="1" applyBorder="1" applyAlignment="1" applyProtection="1">
      <protection locked="0"/>
    </xf>
    <xf numFmtId="170" fontId="18" fillId="0" borderId="0" xfId="24" applyNumberFormat="1" applyFont="1" applyBorder="1" applyAlignment="1" applyProtection="1">
      <alignment horizontal="right"/>
      <protection locked="0"/>
    </xf>
    <xf numFmtId="170" fontId="21" fillId="0" borderId="4" xfId="24" applyNumberFormat="1" applyBorder="1" applyAlignment="1" applyProtection="1">
      <alignment horizontal="right"/>
      <protection locked="0"/>
    </xf>
    <xf numFmtId="170" fontId="21" fillId="0" borderId="0" xfId="21" applyNumberFormat="1" applyFont="1" applyBorder="1" applyAlignment="1" applyProtection="1">
      <protection locked="0"/>
    </xf>
    <xf numFmtId="170" fontId="30" fillId="0" borderId="0" xfId="17" applyNumberFormat="1" applyFont="1" applyFill="1" applyBorder="1" applyAlignment="1" applyProtection="1">
      <alignment horizontal="right"/>
    </xf>
    <xf numFmtId="164" fontId="26" fillId="0" borderId="0" xfId="0" applyFont="1" applyAlignment="1">
      <alignment horizontal="centerContinuous"/>
    </xf>
    <xf numFmtId="164" fontId="28" fillId="0" borderId="0" xfId="16" applyFont="1" applyBorder="1" applyAlignment="1">
      <alignment horizontal="centerContinuous"/>
    </xf>
    <xf numFmtId="164" fontId="7" fillId="0" borderId="0" xfId="15" applyBorder="1" applyAlignment="1">
      <alignment horizontal="centerContinuous"/>
    </xf>
    <xf numFmtId="164" fontId="28" fillId="0" borderId="0" xfId="16" applyFont="1" applyBorder="1" applyAlignment="1">
      <alignment horizontal="centerContinuous" readingOrder="2"/>
    </xf>
    <xf numFmtId="164" fontId="7" fillId="0" borderId="0" xfId="15" quotePrefix="1" applyBorder="1" applyAlignment="1">
      <alignment horizontal="centerContinuous"/>
    </xf>
    <xf numFmtId="164" fontId="26" fillId="0" borderId="5" xfId="0" applyFont="1" applyBorder="1" applyAlignment="1">
      <alignment vertical="center"/>
    </xf>
    <xf numFmtId="164" fontId="25" fillId="0" borderId="2" xfId="4" applyFont="1" applyBorder="1" applyAlignment="1" applyProtection="1">
      <alignment horizontal="center" vertical="center"/>
    </xf>
    <xf numFmtId="164" fontId="25" fillId="0" borderId="2" xfId="4" quotePrefix="1" applyFont="1" applyFill="1" applyBorder="1" applyAlignment="1" applyProtection="1">
      <alignment horizontal="center" wrapText="1" readingOrder="2"/>
    </xf>
    <xf numFmtId="164" fontId="25" fillId="0" borderId="5" xfId="4" applyFont="1" applyBorder="1" applyAlignment="1" applyProtection="1">
      <alignment horizontal="left" vertical="center"/>
    </xf>
    <xf numFmtId="164" fontId="25" fillId="0" borderId="5" xfId="4" applyFont="1" applyFill="1" applyBorder="1" applyAlignment="1" applyProtection="1">
      <alignment horizontal="center" readingOrder="2"/>
    </xf>
    <xf numFmtId="164" fontId="25" fillId="0" borderId="5" xfId="4" applyFont="1" applyFill="1" applyBorder="1" applyAlignment="1" applyProtection="1">
      <alignment horizontal="right" vertical="center" readingOrder="2"/>
    </xf>
    <xf numFmtId="164" fontId="25" fillId="0" borderId="1" xfId="4" quotePrefix="1" applyFont="1" applyBorder="1" applyProtection="1">
      <alignment horizontal="center"/>
    </xf>
    <xf numFmtId="164" fontId="25" fillId="0" borderId="0" xfId="4" applyFont="1" applyBorder="1" applyAlignment="1" applyProtection="1">
      <alignment horizontal="center" vertical="center"/>
    </xf>
    <xf numFmtId="164" fontId="25" fillId="0" borderId="0" xfId="4" applyFont="1" applyFill="1" applyBorder="1" applyAlignment="1" applyProtection="1">
      <alignment horizontal="center" vertical="center"/>
    </xf>
    <xf numFmtId="164" fontId="25" fillId="0" borderId="1" xfId="4" quotePrefix="1" applyFont="1" applyFill="1" applyBorder="1" applyProtection="1">
      <alignment horizontal="center"/>
    </xf>
    <xf numFmtId="164" fontId="25" fillId="0" borderId="3" xfId="4" quotePrefix="1" applyFont="1" applyBorder="1" applyProtection="1">
      <alignment horizontal="center"/>
    </xf>
    <xf numFmtId="164" fontId="26" fillId="0" borderId="4" xfId="0" applyFont="1" applyBorder="1" applyAlignment="1">
      <alignment vertical="center"/>
    </xf>
    <xf numFmtId="164" fontId="26" fillId="0" borderId="5" xfId="0" applyFont="1" applyBorder="1"/>
    <xf numFmtId="164" fontId="30" fillId="0" borderId="2" xfId="19" quotePrefix="1" applyNumberFormat="1" applyFont="1" applyBorder="1" applyAlignment="1">
      <alignment horizontal="right" readingOrder="2"/>
    </xf>
    <xf numFmtId="167" fontId="30" fillId="0" borderId="5" xfId="19" applyNumberFormat="1" applyFont="1" applyBorder="1" applyAlignment="1">
      <alignment horizontal="right" readingOrder="2"/>
    </xf>
    <xf numFmtId="164" fontId="26" fillId="0" borderId="2" xfId="0" applyFont="1" applyBorder="1" applyAlignment="1">
      <alignment horizontal="left"/>
    </xf>
    <xf numFmtId="164" fontId="25" fillId="0" borderId="1" xfId="4" quotePrefix="1" applyFont="1" applyBorder="1" applyAlignment="1" applyProtection="1">
      <alignment horizontal="center" vertical="center"/>
    </xf>
    <xf numFmtId="170" fontId="16" fillId="0" borderId="1" xfId="27" applyNumberFormat="1" applyBorder="1" applyAlignment="1" applyProtection="1">
      <alignment horizontal="right"/>
      <protection locked="0"/>
    </xf>
    <xf numFmtId="164" fontId="16" fillId="0" borderId="1" xfId="27" applyBorder="1" applyAlignment="1">
      <alignment horizontal="center"/>
    </xf>
    <xf numFmtId="164" fontId="32" fillId="0" borderId="0" xfId="22" applyFont="1" applyBorder="1" applyAlignment="1">
      <alignment horizontal="right" readingOrder="2"/>
    </xf>
    <xf numFmtId="170" fontId="18" fillId="0" borderId="1" xfId="21" applyNumberFormat="1" applyBorder="1" applyAlignment="1" applyProtection="1">
      <alignment horizontal="right"/>
      <protection locked="0"/>
    </xf>
    <xf numFmtId="164" fontId="18" fillId="0" borderId="1" xfId="21" applyNumberFormat="1" applyBorder="1" applyAlignment="1" applyProtection="1">
      <alignment horizontal="left"/>
    </xf>
    <xf numFmtId="164" fontId="25" fillId="0" borderId="0" xfId="25" quotePrefix="1" applyFont="1" applyFill="1" applyBorder="1" applyAlignment="1" applyProtection="1">
      <alignment horizontal="right" readingOrder="2"/>
    </xf>
    <xf numFmtId="170" fontId="21" fillId="0" borderId="1" xfId="21" applyNumberFormat="1" applyFont="1" applyBorder="1" applyAlignment="1" applyProtection="1">
      <alignment horizontal="right"/>
      <protection locked="0"/>
    </xf>
    <xf numFmtId="170" fontId="21" fillId="0" borderId="1" xfId="24" applyNumberFormat="1" applyBorder="1" applyAlignment="1" applyProtection="1">
      <alignment horizontal="right"/>
      <protection locked="0"/>
    </xf>
    <xf numFmtId="164" fontId="21" fillId="0" borderId="1" xfId="24" quotePrefix="1" applyNumberFormat="1" applyBorder="1" applyAlignment="1">
      <alignment horizontal="left"/>
    </xf>
    <xf numFmtId="164" fontId="32" fillId="0" borderId="0" xfId="22" quotePrefix="1" applyFont="1" applyBorder="1" applyAlignment="1">
      <alignment horizontal="right" readingOrder="2"/>
    </xf>
    <xf numFmtId="37" fontId="25" fillId="0" borderId="0" xfId="25" quotePrefix="1" applyNumberFormat="1" applyFont="1" applyFill="1" applyBorder="1" applyAlignment="1" applyProtection="1">
      <alignment horizontal="right" readingOrder="2"/>
    </xf>
    <xf numFmtId="164" fontId="18" fillId="0" borderId="1" xfId="20" quotePrefix="1" applyFont="1" applyBorder="1" applyAlignment="1" applyProtection="1">
      <alignment horizontal="left"/>
    </xf>
    <xf numFmtId="164" fontId="26" fillId="0" borderId="0" xfId="0" applyFont="1" applyAlignment="1">
      <alignment horizontal="right"/>
    </xf>
    <xf numFmtId="164" fontId="26" fillId="0" borderId="1" xfId="0" applyFont="1" applyBorder="1" applyAlignment="1">
      <alignment horizontal="left"/>
    </xf>
    <xf numFmtId="168" fontId="30" fillId="0" borderId="0" xfId="28" applyNumberFormat="1" applyFont="1" applyBorder="1" applyAlignment="1">
      <alignment horizontal="right" readingOrder="2"/>
    </xf>
    <xf numFmtId="168" fontId="32" fillId="0" borderId="0" xfId="22" applyNumberFormat="1" applyFont="1" applyBorder="1" applyAlignment="1">
      <alignment horizontal="right" readingOrder="2"/>
    </xf>
    <xf numFmtId="168" fontId="18" fillId="0" borderId="1" xfId="21" applyNumberFormat="1" applyBorder="1" applyAlignment="1" applyProtection="1">
      <alignment horizontal="left"/>
    </xf>
    <xf numFmtId="168" fontId="25" fillId="0" borderId="0" xfId="25" quotePrefix="1" applyNumberFormat="1" applyFont="1" applyFill="1" applyBorder="1" applyAlignment="1" applyProtection="1">
      <alignment horizontal="right" readingOrder="2"/>
    </xf>
    <xf numFmtId="168" fontId="21" fillId="0" borderId="1" xfId="24" quotePrefix="1" applyNumberFormat="1" applyBorder="1" applyAlignment="1">
      <alignment horizontal="left"/>
    </xf>
    <xf numFmtId="169" fontId="25" fillId="0" borderId="0" xfId="25" applyNumberFormat="1" applyFont="1" applyFill="1" applyBorder="1" applyAlignment="1" applyProtection="1">
      <alignment horizontal="right" readingOrder="2"/>
    </xf>
    <xf numFmtId="168" fontId="25" fillId="0" borderId="0" xfId="25" applyNumberFormat="1" applyFont="1" applyFill="1" applyBorder="1" applyAlignment="1" applyProtection="1">
      <alignment horizontal="right" readingOrder="2"/>
    </xf>
    <xf numFmtId="168" fontId="21" fillId="0" borderId="1" xfId="24" applyNumberFormat="1" applyBorder="1" applyAlignment="1">
      <alignment horizontal="left"/>
    </xf>
    <xf numFmtId="168" fontId="28" fillId="0" borderId="0" xfId="16" applyNumberFormat="1" applyFont="1" applyBorder="1" applyAlignment="1">
      <alignment horizontal="centerContinuous"/>
    </xf>
    <xf numFmtId="168" fontId="26" fillId="0" borderId="0" xfId="0" applyNumberFormat="1" applyFont="1" applyAlignment="1">
      <alignment horizontal="centerContinuous"/>
    </xf>
    <xf numFmtId="168" fontId="7" fillId="0" borderId="0" xfId="15" applyNumberFormat="1" applyBorder="1" applyAlignment="1">
      <alignment horizontal="centerContinuous"/>
    </xf>
    <xf numFmtId="168" fontId="26" fillId="0" borderId="5" xfId="0" applyNumberFormat="1" applyFont="1" applyBorder="1" applyAlignment="1">
      <alignment horizontal="right"/>
    </xf>
    <xf numFmtId="168" fontId="26" fillId="0" borderId="2" xfId="0" applyNumberFormat="1" applyFont="1" applyBorder="1" applyAlignment="1">
      <alignment horizontal="left"/>
    </xf>
    <xf numFmtId="168" fontId="32" fillId="0" borderId="0" xfId="22" applyNumberFormat="1" applyFont="1" applyBorder="1" applyAlignment="1">
      <alignment readingOrder="2"/>
    </xf>
    <xf numFmtId="170" fontId="18" fillId="0" borderId="1" xfId="21" applyNumberFormat="1" applyBorder="1" applyAlignment="1" applyProtection="1">
      <protection locked="0"/>
    </xf>
    <xf numFmtId="168" fontId="18" fillId="0" borderId="1" xfId="21" applyNumberFormat="1" applyBorder="1" applyAlignment="1" applyProtection="1"/>
    <xf numFmtId="168" fontId="31" fillId="0" borderId="0" xfId="17" applyNumberFormat="1" applyFont="1" applyBorder="1" applyAlignment="1" applyProtection="1">
      <alignment horizontal="right"/>
    </xf>
    <xf numFmtId="168" fontId="26" fillId="0" borderId="1" xfId="0" applyNumberFormat="1" applyFont="1" applyBorder="1" applyAlignment="1">
      <alignment horizontal="left"/>
    </xf>
    <xf numFmtId="170" fontId="21" fillId="0" borderId="1" xfId="26" applyNumberFormat="1" applyFont="1" applyFill="1" applyBorder="1" applyAlignment="1" applyProtection="1">
      <alignment horizontal="right"/>
      <protection locked="0"/>
    </xf>
    <xf numFmtId="170" fontId="21" fillId="0" borderId="1" xfId="27" applyNumberFormat="1" applyFont="1" applyBorder="1" applyAlignment="1" applyProtection="1">
      <alignment horizontal="right"/>
      <protection locked="0"/>
    </xf>
    <xf numFmtId="168" fontId="32" fillId="0" borderId="0" xfId="22" quotePrefix="1" applyNumberFormat="1" applyFont="1" applyBorder="1" applyAlignment="1">
      <alignment horizontal="right" readingOrder="2"/>
    </xf>
    <xf numFmtId="170" fontId="21" fillId="0" borderId="1" xfId="21" applyNumberFormat="1" applyFont="1" applyBorder="1" applyAlignment="1" applyProtection="1">
      <protection locked="0"/>
    </xf>
    <xf numFmtId="170" fontId="18" fillId="0" borderId="1" xfId="24" applyNumberFormat="1" applyFont="1" applyBorder="1" applyAlignment="1" applyProtection="1">
      <alignment horizontal="right"/>
      <protection locked="0"/>
    </xf>
    <xf numFmtId="168" fontId="32" fillId="0" borderId="0" xfId="23" applyNumberFormat="1" applyFont="1" applyFill="1" applyBorder="1" applyAlignment="1" applyProtection="1">
      <alignment horizontal="right"/>
    </xf>
    <xf numFmtId="168" fontId="25" fillId="0" borderId="0" xfId="23" quotePrefix="1" applyNumberFormat="1" applyFont="1" applyFill="1" applyBorder="1" applyAlignment="1" applyProtection="1">
      <alignment horizontal="right"/>
    </xf>
    <xf numFmtId="168" fontId="18" fillId="0" borderId="1" xfId="21" quotePrefix="1" applyNumberFormat="1" applyBorder="1" applyAlignment="1" applyProtection="1"/>
    <xf numFmtId="169" fontId="25" fillId="0" borderId="4" xfId="25" applyNumberFormat="1" applyFont="1" applyFill="1" applyBorder="1" applyAlignment="1" applyProtection="1">
      <alignment horizontal="right" readingOrder="2"/>
    </xf>
    <xf numFmtId="170" fontId="21" fillId="0" borderId="3" xfId="24" applyNumberFormat="1" applyBorder="1" applyAlignment="1" applyProtection="1">
      <alignment horizontal="right"/>
      <protection locked="0"/>
    </xf>
    <xf numFmtId="168" fontId="21" fillId="0" borderId="3" xfId="24" applyNumberFormat="1" applyBorder="1" applyAlignment="1">
      <alignment horizontal="left"/>
    </xf>
    <xf numFmtId="164" fontId="25" fillId="2" borderId="0" xfId="0" applyFont="1" applyFill="1" applyAlignment="1">
      <alignment vertical="center"/>
    </xf>
    <xf numFmtId="164" fontId="25" fillId="2" borderId="0" xfId="0" applyFont="1" applyFill="1" applyAlignment="1">
      <alignment horizontal="right" vertical="center"/>
    </xf>
    <xf numFmtId="164" fontId="25" fillId="2" borderId="0" xfId="0" applyFont="1" applyFill="1" applyAlignment="1">
      <alignment horizontal="left" vertical="center"/>
    </xf>
    <xf numFmtId="164" fontId="25" fillId="0" borderId="0" xfId="0" applyFont="1" applyAlignment="1">
      <alignment vertical="center"/>
    </xf>
    <xf numFmtId="164" fontId="7" fillId="0" borderId="0" xfId="12" applyBorder="1" applyAlignment="1">
      <alignment horizontal="left"/>
    </xf>
    <xf numFmtId="164" fontId="7" fillId="0" borderId="0" xfId="13" applyFont="1" applyBorder="1" applyAlignment="1">
      <alignment horizontal="right" readingOrder="2"/>
    </xf>
    <xf numFmtId="164" fontId="25" fillId="0" borderId="5" xfId="0" applyFont="1" applyBorder="1" applyAlignment="1">
      <alignment vertical="center"/>
    </xf>
    <xf numFmtId="164" fontId="26" fillId="0" borderId="0" xfId="0" applyFont="1" applyProtection="1">
      <protection locked="0"/>
    </xf>
    <xf numFmtId="168" fontId="25" fillId="0" borderId="6" xfId="25" quotePrefix="1" applyNumberFormat="1" applyFont="1" applyFill="1" applyBorder="1" applyAlignment="1" applyProtection="1">
      <alignment horizontal="right" readingOrder="2"/>
    </xf>
    <xf numFmtId="164" fontId="35" fillId="0" borderId="0" xfId="0" applyFont="1" applyAlignment="1">
      <alignment horizontal="left" vertical="center" readingOrder="1"/>
    </xf>
    <xf numFmtId="164" fontId="35" fillId="0" borderId="0" xfId="0" applyFont="1" applyAlignment="1">
      <alignment horizontal="right" vertical="center" readingOrder="2"/>
    </xf>
    <xf numFmtId="164" fontId="25" fillId="0" borderId="0" xfId="0" applyFont="1" applyAlignment="1">
      <alignment horizontal="right" vertical="center"/>
    </xf>
    <xf numFmtId="164" fontId="25" fillId="0" borderId="0" xfId="0" applyFont="1" applyAlignment="1">
      <alignment horizontal="left" vertical="center"/>
    </xf>
    <xf numFmtId="164" fontId="16" fillId="0" borderId="1" xfId="27" applyBorder="1" applyAlignment="1">
      <alignment horizontal="left"/>
    </xf>
    <xf numFmtId="164" fontId="30" fillId="0" borderId="0" xfId="28" applyFont="1" applyBorder="1" applyAlignment="1">
      <alignment horizontal="right" readingOrder="2"/>
    </xf>
    <xf numFmtId="168" fontId="16" fillId="0" borderId="1" xfId="27" applyNumberFormat="1" applyBorder="1" applyAlignment="1">
      <alignment horizontal="left"/>
    </xf>
    <xf numFmtId="49" fontId="7" fillId="0" borderId="0" xfId="2" quotePrefix="1" applyNumberFormat="1" applyBorder="1" applyAlignment="1">
      <alignment horizontal="centerContinuous"/>
    </xf>
    <xf numFmtId="49" fontId="26" fillId="0" borderId="0" xfId="0" applyNumberFormat="1" applyFont="1" applyAlignment="1">
      <alignment horizontal="centerContinuous"/>
    </xf>
    <xf numFmtId="49" fontId="7" fillId="0" borderId="0" xfId="3" applyNumberFormat="1" applyFont="1" applyBorder="1" applyAlignment="1">
      <alignment horizontal="centerContinuous" readingOrder="2"/>
    </xf>
    <xf numFmtId="164" fontId="25" fillId="0" borderId="1" xfId="4" quotePrefix="1" applyFont="1" applyFill="1" applyBorder="1" applyAlignment="1" applyProtection="1">
      <alignment horizontal="center" wrapText="1" readingOrder="2"/>
    </xf>
    <xf numFmtId="164" fontId="25" fillId="0" borderId="0" xfId="4" applyFont="1" applyFill="1" applyBorder="1" applyAlignment="1" applyProtection="1">
      <alignment horizontal="center" readingOrder="2"/>
    </xf>
    <xf numFmtId="164" fontId="25" fillId="0" borderId="8" xfId="4" quotePrefix="1" applyFont="1" applyFill="1" applyBorder="1" applyAlignment="1" applyProtection="1">
      <alignment horizontal="center" wrapText="1" readingOrder="2"/>
    </xf>
    <xf numFmtId="164" fontId="25" fillId="0" borderId="7" xfId="4" quotePrefix="1" applyFont="1" applyFill="1" applyBorder="1" applyAlignment="1" applyProtection="1">
      <alignment horizontal="center" wrapText="1" readingOrder="2"/>
    </xf>
    <xf numFmtId="170" fontId="18" fillId="0" borderId="0" xfId="26" applyNumberFormat="1" applyFont="1" applyFill="1" applyBorder="1" applyAlignment="1" applyProtection="1">
      <alignment horizontal="right"/>
      <protection locked="0"/>
    </xf>
    <xf numFmtId="170" fontId="18" fillId="0" borderId="1" xfId="26" applyNumberFormat="1" applyFont="1" applyFill="1" applyBorder="1" applyAlignment="1" applyProtection="1">
      <alignment horizontal="right"/>
      <protection locked="0"/>
    </xf>
    <xf numFmtId="164" fontId="36" fillId="0" borderId="0" xfId="0" applyFont="1" applyAlignment="1">
      <alignment horizontal="right" vertical="center" readingOrder="2"/>
    </xf>
    <xf numFmtId="164" fontId="36" fillId="0" borderId="0" xfId="0" applyFont="1" applyAlignment="1">
      <alignment horizontal="left" vertical="center" readingOrder="1"/>
    </xf>
    <xf numFmtId="170" fontId="21" fillId="0" borderId="0" xfId="21" applyNumberFormat="1" applyFont="1" applyBorder="1" applyAlignment="1" applyProtection="1">
      <alignment horizontal="right"/>
      <protection locked="0"/>
    </xf>
    <xf numFmtId="168" fontId="32" fillId="0" borderId="6" xfId="22" quotePrefix="1" applyNumberFormat="1" applyFont="1" applyBorder="1" applyAlignment="1">
      <alignment horizontal="right" readingOrder="2"/>
    </xf>
    <xf numFmtId="164" fontId="25" fillId="0" borderId="6" xfId="4" applyFont="1" applyFill="1" applyBorder="1" applyAlignment="1" applyProtection="1">
      <alignment horizontal="center" readingOrder="2"/>
    </xf>
    <xf numFmtId="172" fontId="16" fillId="0" borderId="0" xfId="18" applyNumberFormat="1" applyBorder="1" applyAlignment="1">
      <alignment horizontal="left"/>
    </xf>
    <xf numFmtId="172" fontId="30" fillId="0" borderId="1" xfId="19" applyNumberFormat="1" applyFont="1" applyBorder="1" applyAlignment="1">
      <alignment horizontal="right" readingOrder="2"/>
    </xf>
    <xf numFmtId="172" fontId="30" fillId="0" borderId="0" xfId="19" applyNumberFormat="1" applyFont="1" applyBorder="1" applyAlignment="1">
      <alignment horizontal="right" readingOrder="2"/>
    </xf>
    <xf numFmtId="172" fontId="16" fillId="0" borderId="6" xfId="18" applyNumberFormat="1" applyBorder="1" applyAlignment="1">
      <alignment horizontal="left"/>
    </xf>
    <xf numFmtId="172" fontId="16" fillId="0" borderId="5" xfId="18" applyNumberFormat="1" applyBorder="1" applyAlignment="1">
      <alignment horizontal="left"/>
    </xf>
    <xf numFmtId="172" fontId="30" fillId="0" borderId="2" xfId="19" applyNumberFormat="1" applyFont="1" applyBorder="1" applyAlignment="1">
      <alignment horizontal="right" readingOrder="2"/>
    </xf>
    <xf numFmtId="172" fontId="30" fillId="0" borderId="5" xfId="19" applyNumberFormat="1" applyFont="1" applyBorder="1" applyAlignment="1">
      <alignment horizontal="right" readingOrder="2"/>
    </xf>
    <xf numFmtId="164" fontId="25" fillId="0" borderId="9" xfId="4" quotePrefix="1" applyFont="1" applyBorder="1" applyProtection="1">
      <alignment horizontal="center"/>
    </xf>
    <xf numFmtId="170" fontId="18" fillId="0" borderId="0" xfId="27" applyNumberFormat="1" applyFont="1" applyBorder="1" applyAlignment="1" applyProtection="1">
      <alignment horizontal="right"/>
      <protection locked="0"/>
    </xf>
    <xf numFmtId="170" fontId="18" fillId="0" borderId="1" xfId="27" applyNumberFormat="1" applyFont="1" applyBorder="1" applyAlignment="1" applyProtection="1">
      <alignment horizontal="right"/>
      <protection locked="0"/>
    </xf>
    <xf numFmtId="164" fontId="38" fillId="0" borderId="0" xfId="0" applyFont="1"/>
    <xf numFmtId="164" fontId="38" fillId="3" borderId="0" xfId="0" applyFont="1" applyFill="1"/>
    <xf numFmtId="164" fontId="38" fillId="4" borderId="0" xfId="0" applyFont="1" applyFill="1"/>
    <xf numFmtId="164" fontId="39" fillId="0" borderId="0" xfId="0" applyFont="1"/>
    <xf numFmtId="164" fontId="39" fillId="5" borderId="0" xfId="0" applyFont="1" applyFill="1"/>
    <xf numFmtId="164" fontId="39" fillId="3" borderId="0" xfId="0" applyFont="1" applyFill="1"/>
    <xf numFmtId="164" fontId="39" fillId="4" borderId="0" xfId="0" applyFont="1" applyFill="1"/>
    <xf numFmtId="164" fontId="38" fillId="6" borderId="0" xfId="0" applyFont="1" applyFill="1"/>
    <xf numFmtId="164" fontId="38" fillId="7" borderId="0" xfId="0" applyFont="1" applyFill="1"/>
    <xf numFmtId="164" fontId="40" fillId="8" borderId="10" xfId="0" applyFont="1" applyFill="1" applyBorder="1"/>
    <xf numFmtId="164" fontId="40" fillId="8" borderId="11" xfId="0" applyFont="1" applyFill="1" applyBorder="1"/>
    <xf numFmtId="164" fontId="40" fillId="8" borderId="12" xfId="0" applyFont="1" applyFill="1" applyBorder="1"/>
    <xf numFmtId="164" fontId="40" fillId="0" borderId="10" xfId="0" applyFont="1" applyBorder="1"/>
    <xf numFmtId="164" fontId="40" fillId="0" borderId="11" xfId="0" applyFont="1" applyBorder="1"/>
    <xf numFmtId="164" fontId="40" fillId="0" borderId="12" xfId="0" applyFont="1" applyBorder="1"/>
    <xf numFmtId="10" fontId="38" fillId="0" borderId="0" xfId="30" applyNumberFormat="1" applyFont="1"/>
    <xf numFmtId="173" fontId="38" fillId="0" borderId="0" xfId="29" applyNumberFormat="1" applyFont="1"/>
    <xf numFmtId="0" fontId="38" fillId="0" borderId="0" xfId="29" applyNumberFormat="1" applyFont="1"/>
    <xf numFmtId="0" fontId="38" fillId="0" borderId="0" xfId="0" applyNumberFormat="1" applyFont="1"/>
    <xf numFmtId="0" fontId="40" fillId="9" borderId="13" xfId="0" applyNumberFormat="1" applyFont="1" applyFill="1" applyBorder="1"/>
    <xf numFmtId="0" fontId="40" fillId="9" borderId="14" xfId="0" applyNumberFormat="1" applyFont="1" applyFill="1" applyBorder="1"/>
    <xf numFmtId="164" fontId="40" fillId="9" borderId="14" xfId="0" applyFont="1" applyFill="1" applyBorder="1"/>
    <xf numFmtId="164" fontId="40" fillId="9" borderId="15" xfId="0" applyFont="1" applyFill="1" applyBorder="1"/>
    <xf numFmtId="0" fontId="40" fillId="0" borderId="13" xfId="0" applyNumberFormat="1" applyFont="1" applyBorder="1"/>
    <xf numFmtId="164" fontId="40" fillId="0" borderId="14" xfId="0" applyFont="1" applyBorder="1"/>
    <xf numFmtId="164" fontId="40" fillId="0" borderId="15" xfId="0" applyFont="1" applyBorder="1"/>
    <xf numFmtId="0" fontId="40" fillId="0" borderId="14" xfId="0" applyNumberFormat="1" applyFont="1" applyBorder="1"/>
    <xf numFmtId="164" fontId="38" fillId="0" borderId="0" xfId="30" applyNumberFormat="1" applyFont="1"/>
    <xf numFmtId="0" fontId="52" fillId="0" borderId="0" xfId="54" applyFont="1"/>
    <xf numFmtId="0" fontId="5" fillId="0" borderId="0" xfId="54"/>
    <xf numFmtId="0" fontId="54" fillId="0" borderId="0" xfId="54" applyFont="1"/>
    <xf numFmtId="3" fontId="5" fillId="0" borderId="0" xfId="54" applyNumberFormat="1"/>
    <xf numFmtId="0" fontId="40" fillId="0" borderId="0" xfId="56"/>
    <xf numFmtId="164" fontId="55" fillId="0" borderId="0" xfId="0" applyFont="1"/>
    <xf numFmtId="1" fontId="5" fillId="0" borderId="0" xfId="54" applyNumberFormat="1"/>
    <xf numFmtId="164" fontId="5" fillId="0" borderId="0" xfId="54" applyNumberFormat="1"/>
    <xf numFmtId="164" fontId="54" fillId="0" borderId="0" xfId="0" applyFont="1"/>
    <xf numFmtId="164" fontId="56" fillId="0" borderId="0" xfId="0" applyFont="1"/>
    <xf numFmtId="172" fontId="30" fillId="10" borderId="1" xfId="19" applyNumberFormat="1" applyFont="1" applyFill="1" applyBorder="1" applyAlignment="1">
      <alignment horizontal="right" readingOrder="2"/>
    </xf>
    <xf numFmtId="170" fontId="16" fillId="10" borderId="1" xfId="27" applyNumberFormat="1" applyFill="1" applyBorder="1" applyAlignment="1" applyProtection="1">
      <alignment horizontal="right"/>
      <protection locked="0"/>
    </xf>
    <xf numFmtId="170" fontId="18" fillId="10" borderId="1" xfId="27" applyNumberFormat="1" applyFont="1" applyFill="1" applyBorder="1" applyAlignment="1" applyProtection="1">
      <alignment horizontal="right"/>
      <protection locked="0"/>
    </xf>
    <xf numFmtId="170" fontId="18" fillId="10" borderId="1" xfId="21" applyNumberFormat="1" applyFill="1" applyBorder="1" applyAlignment="1" applyProtection="1">
      <alignment horizontal="right"/>
      <protection locked="0"/>
    </xf>
    <xf numFmtId="170" fontId="21" fillId="10" borderId="1" xfId="21" applyNumberFormat="1" applyFont="1" applyFill="1" applyBorder="1" applyAlignment="1" applyProtection="1">
      <alignment horizontal="right"/>
      <protection locked="0"/>
    </xf>
    <xf numFmtId="164" fontId="26" fillId="10" borderId="0" xfId="0" applyFont="1" applyFill="1" applyAlignment="1">
      <alignment vertical="center"/>
    </xf>
    <xf numFmtId="164" fontId="28" fillId="10" borderId="0" xfId="16" applyFont="1" applyFill="1" applyBorder="1" applyAlignment="1">
      <alignment horizontal="centerContinuous"/>
    </xf>
    <xf numFmtId="164" fontId="26" fillId="10" borderId="0" xfId="0" applyFont="1" applyFill="1" applyAlignment="1">
      <alignment horizontal="centerContinuous"/>
    </xf>
    <xf numFmtId="164" fontId="25" fillId="10" borderId="2" xfId="4" applyFont="1" applyFill="1" applyBorder="1" applyAlignment="1" applyProtection="1">
      <alignment horizontal="center" vertical="center"/>
    </xf>
    <xf numFmtId="164" fontId="25" fillId="10" borderId="1" xfId="4" applyFont="1" applyFill="1" applyBorder="1" applyAlignment="1" applyProtection="1">
      <alignment horizontal="center" readingOrder="2"/>
    </xf>
    <xf numFmtId="164" fontId="25" fillId="10" borderId="1" xfId="4" applyFont="1" applyFill="1" applyBorder="1" applyAlignment="1" applyProtection="1">
      <alignment horizontal="center" vertical="center"/>
    </xf>
    <xf numFmtId="172" fontId="30" fillId="10" borderId="2" xfId="19" applyNumberFormat="1" applyFont="1" applyFill="1" applyBorder="1" applyAlignment="1">
      <alignment horizontal="right" readingOrder="2"/>
    </xf>
    <xf numFmtId="170" fontId="21" fillId="10" borderId="1" xfId="24" applyNumberFormat="1" applyFill="1" applyBorder="1" applyAlignment="1" applyProtection="1">
      <alignment horizontal="right"/>
      <protection locked="0"/>
    </xf>
    <xf numFmtId="164" fontId="40" fillId="4" borderId="11" xfId="0" applyFont="1" applyFill="1" applyBorder="1"/>
    <xf numFmtId="164" fontId="57" fillId="4" borderId="11" xfId="0" applyFont="1" applyFill="1" applyBorder="1"/>
    <xf numFmtId="175" fontId="38" fillId="0" borderId="0" xfId="30" applyNumberFormat="1" applyFont="1"/>
    <xf numFmtId="0" fontId="5" fillId="3" borderId="0" xfId="54" applyFill="1"/>
    <xf numFmtId="0" fontId="4" fillId="0" borderId="0" xfId="54" applyFont="1"/>
    <xf numFmtId="0" fontId="58" fillId="0" borderId="0" xfId="54" applyFont="1"/>
    <xf numFmtId="1" fontId="58" fillId="0" borderId="0" xfId="54" applyNumberFormat="1" applyFont="1"/>
    <xf numFmtId="164" fontId="55" fillId="0" borderId="0" xfId="55" applyFont="1"/>
    <xf numFmtId="164" fontId="55" fillId="3" borderId="0" xfId="0" applyFont="1" applyFill="1"/>
    <xf numFmtId="164" fontId="4" fillId="0" borderId="0" xfId="54" applyNumberFormat="1" applyFont="1"/>
    <xf numFmtId="0" fontId="3" fillId="0" borderId="0" xfId="54" applyFont="1"/>
    <xf numFmtId="1" fontId="3" fillId="0" borderId="0" xfId="54" applyNumberFormat="1" applyFont="1"/>
    <xf numFmtId="164" fontId="59" fillId="0" borderId="0" xfId="0" applyFont="1"/>
    <xf numFmtId="0" fontId="2" fillId="0" borderId="0" xfId="54" applyFont="1"/>
    <xf numFmtId="0" fontId="54" fillId="11" borderId="0" xfId="54" applyFont="1" applyFill="1"/>
    <xf numFmtId="164" fontId="56" fillId="11" borderId="0" xfId="0" applyFont="1" applyFill="1"/>
    <xf numFmtId="164" fontId="55" fillId="11" borderId="0" xfId="0" applyFont="1" applyFill="1"/>
    <xf numFmtId="175" fontId="55" fillId="11" borderId="0" xfId="30" applyNumberFormat="1" applyFont="1" applyFill="1"/>
    <xf numFmtId="0" fontId="1" fillId="11" borderId="0" xfId="54" applyFont="1" applyFill="1"/>
    <xf numFmtId="164" fontId="55" fillId="12" borderId="0" xfId="0" applyFont="1" applyFill="1"/>
    <xf numFmtId="164" fontId="56" fillId="12" borderId="0" xfId="0" applyFont="1" applyFill="1"/>
    <xf numFmtId="175" fontId="55" fillId="12" borderId="0" xfId="30" applyNumberFormat="1" applyFont="1" applyFill="1"/>
    <xf numFmtId="10" fontId="55" fillId="11" borderId="0" xfId="30" applyNumberFormat="1" applyFont="1" applyFill="1"/>
    <xf numFmtId="175" fontId="54" fillId="11" borderId="0" xfId="30" applyNumberFormat="1" applyFont="1" applyFill="1"/>
    <xf numFmtId="175" fontId="56" fillId="11" borderId="0" xfId="30" applyNumberFormat="1" applyFont="1" applyFill="1"/>
    <xf numFmtId="175" fontId="56" fillId="12" borderId="0" xfId="30" applyNumberFormat="1" applyFont="1" applyFill="1"/>
    <xf numFmtId="164" fontId="60" fillId="0" borderId="0" xfId="0" applyFont="1"/>
  </cellXfs>
  <cellStyles count="57">
    <cellStyle name="Base" xfId="1" xr:uid="{00000000-0005-0000-0000-000000000000}"/>
    <cellStyle name="Base 2" xfId="32" xr:uid="{9B19B6BA-D7ED-4CF2-849C-09FD59BBA439}"/>
    <cellStyle name="Base_e" xfId="2" xr:uid="{00000000-0005-0000-0000-000001000000}"/>
    <cellStyle name="Base_h" xfId="3" xr:uid="{00000000-0005-0000-0000-000002000000}"/>
    <cellStyle name="Col_head" xfId="4" xr:uid="{00000000-0005-0000-0000-000003000000}"/>
    <cellStyle name="Comma" xfId="29" builtinId="3"/>
    <cellStyle name="Comma 2" xfId="43" xr:uid="{CB403634-7396-4A0C-B766-DA4B4678459E}"/>
    <cellStyle name="Date" xfId="5" xr:uid="{00000000-0005-0000-0000-000004000000}"/>
    <cellStyle name="Date 2" xfId="33" xr:uid="{454968B1-B99A-4DCE-861F-7E1C272873B8}"/>
    <cellStyle name="Fixed" xfId="6" xr:uid="{00000000-0005-0000-0000-000005000000}"/>
    <cellStyle name="Fixed 2" xfId="34" xr:uid="{E35BAF67-92FA-449A-8279-AC231E107C6E}"/>
    <cellStyle name="Foot" xfId="7" xr:uid="{00000000-0005-0000-0000-000006000000}"/>
    <cellStyle name="Foot 2" xfId="35" xr:uid="{3D929A39-3D95-4D97-AA27-C60C8DB867F8}"/>
    <cellStyle name="Head" xfId="8" xr:uid="{00000000-0005-0000-0000-000007000000}"/>
    <cellStyle name="Head 2" xfId="36" xr:uid="{EF3DDB37-C729-4429-B8A9-92190170CAED}"/>
    <cellStyle name="Heading1" xfId="9" xr:uid="{00000000-0005-0000-0000-000008000000}"/>
    <cellStyle name="Heading1 2" xfId="37" xr:uid="{9A13CF5F-2502-46E6-9C49-3F001D99531F}"/>
    <cellStyle name="Heading2" xfId="10" xr:uid="{00000000-0005-0000-0000-000009000000}"/>
    <cellStyle name="Heading2 2" xfId="38" xr:uid="{8ABD6758-EB64-48B7-8250-ACC4C9663D57}"/>
    <cellStyle name="Mida" xfId="11" xr:uid="{00000000-0005-0000-0000-00000A000000}"/>
    <cellStyle name="Mida 2" xfId="39" xr:uid="{885FC7E6-DFA8-47EB-B4E4-BC21B802BB85}"/>
    <cellStyle name="Mida_e" xfId="12" xr:uid="{00000000-0005-0000-0000-00000B000000}"/>
    <cellStyle name="Mida_h" xfId="13" xr:uid="{00000000-0005-0000-0000-00000C000000}"/>
    <cellStyle name="Name" xfId="14" xr:uid="{00000000-0005-0000-0000-00000D000000}"/>
    <cellStyle name="Name 2" xfId="47" xr:uid="{09942807-3517-4F6C-8862-3EC634F3DA20}"/>
    <cellStyle name="Name 3" xfId="40" xr:uid="{F7EE1A7B-606D-4323-A221-7DD1FE8066E0}"/>
    <cellStyle name="Name_e" xfId="15" xr:uid="{00000000-0005-0000-0000-00000E000000}"/>
    <cellStyle name="Name_h" xfId="16" xr:uid="{00000000-0005-0000-0000-00000F000000}"/>
    <cellStyle name="Normal" xfId="0" builtinId="0"/>
    <cellStyle name="Normal 10" xfId="56" xr:uid="{9E6E3CD9-CBE2-48E1-97A1-7CD5132C4FD6}"/>
    <cellStyle name="Normal 2" xfId="44" xr:uid="{F501DE7D-B352-4E70-BBAA-E3FEF44AE275}"/>
    <cellStyle name="Normal 2 2" xfId="48" xr:uid="{FD6E8E6A-81EB-4485-8C1E-5244AB31958E}"/>
    <cellStyle name="Normal 2 3" xfId="55" xr:uid="{C0697445-30E4-4FD5-A322-95CDA4BA95A0}"/>
    <cellStyle name="Normal 3" xfId="49" xr:uid="{9951A139-9F98-4841-B60B-317A5EEAF2D4}"/>
    <cellStyle name="Normal 4" xfId="50" xr:uid="{06E8F180-9577-4B54-A6E8-EAB7E71845D4}"/>
    <cellStyle name="Normal 4 2" xfId="53" xr:uid="{013B8AD0-73AD-438B-9463-68570BFF6CFF}"/>
    <cellStyle name="Normal 5" xfId="51" xr:uid="{CAD7547D-819B-49C6-83FB-76ECD80628A9}"/>
    <cellStyle name="Normal 6" xfId="46" xr:uid="{9F0CFD2E-D613-44FC-AF30-2069359C3D9E}"/>
    <cellStyle name="Normal 7" xfId="45" xr:uid="{B6253DED-A223-4098-91F7-FE0E7DED46FB}"/>
    <cellStyle name="Normal 8" xfId="31" xr:uid="{2E19705D-4234-435E-B171-6E118B0021F1}"/>
    <cellStyle name="Normal 9" xfId="54" xr:uid="{F70160D4-5B08-42A3-89AA-6DC497E6C146}"/>
    <cellStyle name="Percent" xfId="30" builtinId="5"/>
    <cellStyle name="Sub_head" xfId="17" xr:uid="{00000000-0005-0000-0000-000011000000}"/>
    <cellStyle name="Sub_head_e" xfId="18" xr:uid="{00000000-0005-0000-0000-000012000000}"/>
    <cellStyle name="Sub_head_h" xfId="19" xr:uid="{00000000-0005-0000-0000-000013000000}"/>
    <cellStyle name="Sub_tot" xfId="20" xr:uid="{00000000-0005-0000-0000-000014000000}"/>
    <cellStyle name="Sub_tot_e" xfId="21" xr:uid="{00000000-0005-0000-0000-000015000000}"/>
    <cellStyle name="Sub_tot_h" xfId="22" xr:uid="{00000000-0005-0000-0000-000016000000}"/>
    <cellStyle name="Text" xfId="23" xr:uid="{00000000-0005-0000-0000-000017000000}"/>
    <cellStyle name="Text 2" xfId="41" xr:uid="{BEE3EC64-E062-4056-8F77-946AC0E6045E}"/>
    <cellStyle name="Text_e" xfId="24" xr:uid="{00000000-0005-0000-0000-000018000000}"/>
    <cellStyle name="Text_h" xfId="25" xr:uid="{00000000-0005-0000-0000-000019000000}"/>
    <cellStyle name="Total" xfId="26" builtinId="25"/>
    <cellStyle name="Total 2" xfId="52" xr:uid="{76ADD144-5805-4770-8386-FA433D03D164}"/>
    <cellStyle name="Total 3" xfId="42" xr:uid="{A74C8AD5-E02E-4200-88BC-E2E64EDE649A}"/>
    <cellStyle name="Total_e" xfId="27" xr:uid="{00000000-0005-0000-0000-00001B000000}"/>
    <cellStyle name="Total_h" xfId="28" xr:uid="{00000000-0005-0000-0000-00001C000000}"/>
  </cellStyles>
  <dxfs count="51">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64" formatCode="General_)"/>
    </dxf>
    <dxf>
      <font>
        <b val="0"/>
        <i val="0"/>
        <strike val="0"/>
        <condense val="0"/>
        <extend val="0"/>
        <outline val="0"/>
        <shadow val="0"/>
        <u val="none"/>
        <vertAlign val="baseline"/>
        <sz val="12"/>
        <color auto="1"/>
        <name val="Calibri"/>
        <family val="2"/>
        <scheme val="minor"/>
      </font>
      <numFmt numFmtId="164" formatCode="General_)"/>
    </dxf>
    <dxf>
      <font>
        <b val="0"/>
      </font>
    </dxf>
    <dxf>
      <font>
        <b val="0"/>
      </font>
    </dxf>
    <dxf>
      <font>
        <b/>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64" formatCode="General_)"/>
    </dxf>
    <dxf>
      <font>
        <b val="0"/>
        <i val="0"/>
        <strike val="0"/>
        <condense val="0"/>
        <extend val="0"/>
        <outline val="0"/>
        <shadow val="0"/>
        <u val="none"/>
        <vertAlign val="baseline"/>
        <sz val="12"/>
        <color auto="1"/>
        <name val="Calibri"/>
        <family val="2"/>
        <scheme val="minor"/>
      </font>
      <numFmt numFmtId="164" formatCode="General_)"/>
    </dxf>
    <dxf>
      <font>
        <b val="0"/>
      </font>
    </dxf>
    <dxf>
      <font>
        <b val="0"/>
      </font>
    </dxf>
    <dxf>
      <font>
        <b/>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64" formatCode="General_)"/>
    </dxf>
    <dxf>
      <font>
        <b val="0"/>
        <i val="0"/>
        <strike val="0"/>
        <condense val="0"/>
        <extend val="0"/>
        <outline val="0"/>
        <shadow val="0"/>
        <u val="none"/>
        <vertAlign val="baseline"/>
        <sz val="12"/>
        <color auto="1"/>
        <name val="Calibri"/>
        <family val="2"/>
        <scheme val="minor"/>
      </font>
      <numFmt numFmtId="164" formatCode="General_)"/>
    </dxf>
    <dxf>
      <font>
        <b val="0"/>
      </font>
    </dxf>
    <dxf>
      <font>
        <b val="0"/>
      </font>
    </dxf>
    <dxf>
      <font>
        <b/>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F574C2-CB41-4540-876D-0DDB77D517CB}" name="Table1" displayName="Table1" ref="A1:K16" totalsRowShown="0" headerRowDxfId="50">
  <autoFilter ref="A1:K16" xr:uid="{9CF574C2-CB41-4540-876D-0DDB77D517CB}"/>
  <sortState xmlns:xlrd2="http://schemas.microsoft.com/office/spreadsheetml/2017/richdata2" ref="A2:I16">
    <sortCondition ref="B1:B16"/>
  </sortState>
  <tableColumns count="11">
    <tableColumn id="1" xr3:uid="{0431E7A4-A5F2-4CBF-BA1A-B8847C98A8C0}" name="District and sub-district (S.D.)" dataDxfId="49"/>
    <tableColumn id="9" xr3:uid="{A50E7D8B-06A9-40FD-BB03-A6979AA6F9F7}" name="Column1" dataDxfId="48"/>
    <tableColumn id="2" xr3:uid="{99F4FCAE-3C1A-4F05-9A45-DA5BC4683BAF}" name="Total"/>
    <tableColumn id="3" xr3:uid="{182F5B7D-0934-4EAA-A3E5-65183D143AD5}" name="Jews"/>
    <tableColumn id="4" xr3:uid="{AE244378-9D3E-4013-B8E2-71AC41D7216B}" name="No religion classification"/>
    <tableColumn id="5" xr3:uid="{6E81CF8A-B1A6-4899-80DA-625960637F55}" name="Others"/>
    <tableColumn id="6" xr3:uid="{6CEF85C7-A00B-4598-966D-5C2B66255173}" name="Arab Muslims"/>
    <tableColumn id="7" xr3:uid="{F4049145-26C0-4A61-80BC-16E5AABC7992}" name="Arab Christians"/>
    <tableColumn id="8" xr3:uid="{8199A3DD-74A2-43CE-98CD-E9D509BAFEEB}" name="Druze"/>
    <tableColumn id="10" xr3:uid="{05F081D6-236E-4594-BCB5-9D275310F70C}" name="Column2" dataDxfId="47">
      <calculatedColumnFormula>SUM(Table1[[#This Row],[Jews]:[Druze]])</calculatedColumnFormula>
    </tableColumn>
    <tableColumn id="11" xr3:uid="{84D58AB3-DEB9-4C46-BD95-131CD97FF34C}" name="Column3" dataDxfId="46">
      <calculatedColumnFormula>Table1[[#This Row],[Column2]]-Table1[[#This Row],[Total]]</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015F7E-1B96-47E1-8463-41EBAEE5CA49}" name="Table15" displayName="Table15" ref="A1:K16" totalsRowShown="0" headerRowDxfId="45">
  <autoFilter ref="A1:K16" xr:uid="{9CF574C2-CB41-4540-876D-0DDB77D517CB}"/>
  <sortState xmlns:xlrd2="http://schemas.microsoft.com/office/spreadsheetml/2017/richdata2" ref="A2:I16">
    <sortCondition ref="B1:B16"/>
  </sortState>
  <tableColumns count="11">
    <tableColumn id="1" xr3:uid="{3A0E96BD-D7C3-4CCD-BC74-07E6D83F2712}" name="District and sub-district (S.D.)" dataDxfId="44"/>
    <tableColumn id="9" xr3:uid="{5DE5B98A-5429-428B-B506-2A6C25720940}" name="Column1" dataDxfId="43"/>
    <tableColumn id="2" xr3:uid="{492CBBFB-CC37-4555-97B4-1ADDD4B950F6}" name="Total"/>
    <tableColumn id="3" xr3:uid="{B71D311A-95C4-4A16-9949-95C3025032F2}" name="Jews"/>
    <tableColumn id="4" xr3:uid="{C9D042C4-BA07-4A8D-BC89-556BD12B6C89}" name="No religion classification"/>
    <tableColumn id="5" xr3:uid="{FE22D0C6-450E-4CB8-8735-8D683FB308BB}" name="Others"/>
    <tableColumn id="6" xr3:uid="{6CE94D91-9D83-41B1-B7F7-A1735C0AE34B}" name="Arab Muslims"/>
    <tableColumn id="7" xr3:uid="{7B9F17E2-3D43-47B9-8651-ED7804AD995A}" name="Arab Christians"/>
    <tableColumn id="8" xr3:uid="{A386C4B9-7AFC-471B-B132-90559A0D3347}" name="Druze"/>
    <tableColumn id="10" xr3:uid="{FAADDCB8-ECA5-4DDC-9519-ADA57933C63E}" name="Column2" dataDxfId="42">
      <calculatedColumnFormula>SUM(Table15[[#This Row],[Jews]:[Druze]])</calculatedColumnFormula>
    </tableColumn>
    <tableColumn id="11" xr3:uid="{12F0D60E-9F28-422C-A8AD-0507AEFA7381}" name="Column3" dataDxfId="41">
      <calculatedColumnFormula>Table15[[#This Row],[Column2]]-Table15[[#This Row],[Total]]</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F47915-195A-4832-B90D-56EF27BFC3A1}" name="Table16" displayName="Table16" ref="A1:K16" totalsRowShown="0" headerRowDxfId="40">
  <autoFilter ref="A1:K16" xr:uid="{9CF574C2-CB41-4540-876D-0DDB77D517CB}"/>
  <sortState xmlns:xlrd2="http://schemas.microsoft.com/office/spreadsheetml/2017/richdata2" ref="A2:I16">
    <sortCondition ref="B1:B16"/>
  </sortState>
  <tableColumns count="11">
    <tableColumn id="1" xr3:uid="{56BBC443-A1AE-454E-B0EF-B7396B3C90E2}" name="District and sub-district (S.D.)" dataDxfId="39"/>
    <tableColumn id="9" xr3:uid="{3ED6F971-E335-4E3D-91B3-7A196A128606}" name="Column1" dataDxfId="38"/>
    <tableColumn id="2" xr3:uid="{E652737D-D4A6-42A3-925E-4B688D1C63B6}" name="Total"/>
    <tableColumn id="3" xr3:uid="{19A86249-D15F-43B4-9542-2E027EC58353}" name="Jews"/>
    <tableColumn id="4" xr3:uid="{034A8869-0D12-414E-8A34-D4CC24C9EE82}" name="No religion classification"/>
    <tableColumn id="5" xr3:uid="{78C899FD-2D02-48D3-83A7-4520065CF768}" name="Others"/>
    <tableColumn id="6" xr3:uid="{A67E47EC-9E3A-40E1-AAFA-227DAB15FE04}" name="Arab Muslims"/>
    <tableColumn id="7" xr3:uid="{61941047-0954-4481-942F-EA77A2C89098}" name="Arab Christians"/>
    <tableColumn id="8" xr3:uid="{7FC5F743-B3E3-4161-A160-DA5C23425486}" name="Druze"/>
    <tableColumn id="10" xr3:uid="{D88E3522-7E65-4917-83DB-05797EC05D5B}" name="Column2" dataDxfId="37">
      <calculatedColumnFormula>SUM(Table16[[#This Row],[Jews]:[Druze]])</calculatedColumnFormula>
    </tableColumn>
    <tableColumn id="11" xr3:uid="{E28A8D81-AFB3-4B71-B8AE-8720F1486DF3}" name="Column3" dataDxfId="36">
      <calculatedColumnFormula>Table16[[#This Row],[Column2]]-Table16[[#This Row],[Total]]</calculatedColumnFormula>
    </tableColumn>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C30472-948A-4463-B958-105276780305}" name="Table2" displayName="Table2" ref="A1:O17" totalsRowShown="0" headerRowDxfId="35" dataDxfId="34">
  <autoFilter ref="A1:O17" xr:uid="{0DC30472-948A-4463-B958-105276780305}"/>
  <sortState xmlns:xlrd2="http://schemas.microsoft.com/office/spreadsheetml/2017/richdata2" ref="A2:O17">
    <sortCondition ref="A1:A17"/>
  </sortState>
  <tableColumns count="15">
    <tableColumn id="2" xr3:uid="{F503D642-9CFB-4929-96CC-7412B598253A}" name="District" dataDxfId="33"/>
    <tableColumn id="1" xr3:uid="{A1E69A7E-D923-471B-9675-6E02DFBCA20B}" name="Sub-district" dataDxfId="32"/>
    <tableColumn id="3" xr3:uid="{60CA8394-783A-438A-A701-2FEB2FCC49D7}" name="Total" dataDxfId="31"/>
    <tableColumn id="10" xr3:uid="{6B669C4B-494F-4DB0-B6A9-E51C645BC698}" name="Jews" dataDxfId="30" dataCellStyle="Percent"/>
    <tableColumn id="11" xr3:uid="{89F8C2AC-9910-4B13-A43B-BC6F064A64FF}" name="Arab Muslims" dataDxfId="29" dataCellStyle="Percent"/>
    <tableColumn id="12" xr3:uid="{A5A82044-E0E6-434E-9E71-67EBD6A66C9E}" name="Arab Christians" dataDxfId="28" dataCellStyle="Percent"/>
    <tableColumn id="13" xr3:uid="{E544BC61-40C0-4322-A05E-43F007197EAC}" name="Druze" dataDxfId="27" dataCellStyle="Percent"/>
    <tableColumn id="14" xr3:uid="{D5A2E002-094F-40E8-B715-4AFEC0C0FCD5}" name="No religion classification" dataDxfId="26" dataCellStyle="Percent"/>
    <tableColumn id="15" xr3:uid="{B0844A34-E307-4E3F-B4EC-8A2A97F636F9}" name="Others" dataDxfId="25" dataCellStyle="Percent"/>
    <tableColumn id="4" xr3:uid="{B2EBF934-E3E2-4A2C-B7A2-7DA095DC275A}" name="Jews2" dataDxfId="24"/>
    <tableColumn id="7" xr3:uid="{FBE0BE17-206F-45C3-858C-8E0DED387F61}" name="Arab Muslims3" dataDxfId="23"/>
    <tableColumn id="8" xr3:uid="{2176771C-1439-4AB4-B541-8AD2312F83BE}" name="Arab Christians4" dataDxfId="22"/>
    <tableColumn id="9" xr3:uid="{EBE66A52-7D01-40E9-8533-4BC1C916E408}" name="Druze5" dataDxfId="21"/>
    <tableColumn id="5" xr3:uid="{25B92470-B50D-4192-B3D3-A0EF8369CABF}" name="No religion classification6" dataDxfId="20"/>
    <tableColumn id="6" xr3:uid="{EA117DE8-730E-4CB1-A2FA-5032EC76ECF6}" name="Others7" dataDxfId="19"/>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64869A-C8F1-4C22-BB79-A4B3BCD82E63}" name="Table3" displayName="Table3" ref="A3:Q23" totalsRowShown="0" headerRowDxfId="18" dataDxfId="17">
  <autoFilter ref="A3:Q23" xr:uid="{4364869A-C8F1-4C22-BB79-A4B3BCD82E63}"/>
  <sortState xmlns:xlrd2="http://schemas.microsoft.com/office/spreadsheetml/2017/richdata2" ref="A4:Q23">
    <sortCondition ref="C3:C23"/>
  </sortState>
  <tableColumns count="17">
    <tableColumn id="16" xr3:uid="{CBCABB87-0B89-4D5A-878C-A0D5B66197AD}" name="Order" dataDxfId="16"/>
    <tableColumn id="1" xr3:uid="{C8CA6EB7-ADCA-4F08-8635-0DDFB5EFD48A}" name="District and sub-district (S.D.)" dataDxfId="15"/>
    <tableColumn id="17" xr3:uid="{6D9F33C9-391A-45C5-8FB2-254004C4F10A}" name="Column7" dataDxfId="14"/>
    <tableColumn id="2" xr3:uid="{7BF9317D-68B7-4C79-918B-0AF0D856AC50}" name="Total" dataDxfId="13"/>
    <tableColumn id="3" xr3:uid="{A393710A-C6AC-4A9C-AA0D-D9E2C9140737}" name="Jews and Others" dataDxfId="12"/>
    <tableColumn id="4" xr3:uid="{9E99A772-7853-41C8-A00A-CCC089A4FEA4}" name="Column1" dataDxfId="11"/>
    <tableColumn id="5" xr3:uid="{6B74062E-2748-4620-BB49-630A48DABE5A}" name="Arabs" dataDxfId="10"/>
    <tableColumn id="6" xr3:uid="{6342B750-D86F-493A-9E0F-30F089839137}" name="Column2" dataDxfId="9"/>
    <tableColumn id="7" xr3:uid="{493340CD-ED2E-4F6B-89F7-531FBA7D1CC6}" name="Jews" dataDxfId="8"/>
    <tableColumn id="8" xr3:uid="{3677D27B-CA1E-4F8F-841A-E6CA47EAB8BE}" name="Column3" dataDxfId="7"/>
    <tableColumn id="9" xr3:uid="{B8E3FAC9-E592-47FC-A4EB-48F7E21D4A48}" name="Muslims" dataDxfId="6"/>
    <tableColumn id="10" xr3:uid="{E0CA86FF-ACF2-43FE-82F9-3C765CCA8670}" name="Column4" dataDxfId="5"/>
    <tableColumn id="11" xr3:uid="{38733DFE-9F81-49E5-8924-9E9171D4E25F}" name="Arab Christians" dataDxfId="4"/>
    <tableColumn id="12" xr3:uid="{E9A80ED3-21F4-474D-86B9-1E0DA72BF2CE}" name="Column5" dataDxfId="3"/>
    <tableColumn id="13" xr3:uid="{BE6AAB9F-1CD7-4D1C-AAA7-BD1506B1C4B8}" name="Druze" dataDxfId="2"/>
    <tableColumn id="14" xr3:uid="{2C462905-D542-4271-B22B-D614CD3C22D9}" name="Column6" dataDxfId="1"/>
    <tableColumn id="15" xr3:uid="{CB3DD4B6-91A4-4DD9-AD6B-B33A3A4DABDD}" name="No religion classification"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yncVertical="1" syncRef="A111" transitionEvaluation="1" codeName="גיליון3"/>
  <dimension ref="A1:D162"/>
  <sheetViews>
    <sheetView showGridLines="0" topLeftCell="A152" zoomScale="153" zoomScaleNormal="25" workbookViewId="0">
      <selection activeCell="C33" sqref="C33"/>
    </sheetView>
  </sheetViews>
  <sheetFormatPr defaultColWidth="9.75" defaultRowHeight="15"/>
  <cols>
    <col min="1" max="1" width="23" style="2" customWidth="1"/>
    <col min="2" max="2" width="4.4140625" style="2" customWidth="1"/>
    <col min="3" max="3" width="4.6640625" style="2" customWidth="1"/>
    <col min="4" max="16384" width="9.75" style="2"/>
  </cols>
  <sheetData>
    <row r="1" spans="1:4" s="4" customFormat="1" ht="21" customHeight="1">
      <c r="A1" s="23" t="s">
        <v>114</v>
      </c>
      <c r="B1" s="23"/>
      <c r="C1" s="22"/>
    </row>
    <row r="2" spans="1:4" s="4" customFormat="1" ht="15" customHeight="1">
      <c r="A2" s="25" t="s">
        <v>101</v>
      </c>
      <c r="B2" s="25"/>
      <c r="C2" s="24"/>
    </row>
    <row r="3" spans="1:4" s="4" customFormat="1" ht="18" customHeight="1">
      <c r="A3" s="90" t="s">
        <v>1</v>
      </c>
      <c r="B3" s="103"/>
      <c r="C3" s="21"/>
    </row>
    <row r="4" spans="1:4" ht="9.75" customHeight="1">
      <c r="A4" s="8"/>
      <c r="B4" s="31" t="s">
        <v>2</v>
      </c>
      <c r="C4" s="27"/>
    </row>
    <row r="5" spans="1:4" ht="9.75" customHeight="1">
      <c r="A5" s="32"/>
      <c r="B5" s="30" t="s">
        <v>5</v>
      </c>
      <c r="C5" s="13"/>
    </row>
    <row r="6" spans="1:4" ht="9.75" customHeight="1">
      <c r="A6" s="32" t="s">
        <v>100</v>
      </c>
      <c r="B6" s="106"/>
      <c r="C6" s="13" t="s">
        <v>5</v>
      </c>
    </row>
    <row r="7" spans="1:4" ht="9.75" customHeight="1">
      <c r="A7" s="9" t="s">
        <v>106</v>
      </c>
      <c r="B7" s="34" t="s">
        <v>6</v>
      </c>
      <c r="C7" s="1" t="s">
        <v>6</v>
      </c>
    </row>
    <row r="8" spans="1:4" ht="9.75" customHeight="1">
      <c r="A8" s="42" t="s">
        <v>3</v>
      </c>
      <c r="B8" s="37"/>
      <c r="C8" s="9"/>
    </row>
    <row r="9" spans="1:4" s="4" customFormat="1" ht="11.25" customHeight="1">
      <c r="A9" s="41" t="s">
        <v>3</v>
      </c>
      <c r="B9" s="40" t="s">
        <v>123</v>
      </c>
      <c r="C9" s="39" t="s">
        <v>124</v>
      </c>
      <c r="D9" s="4" t="s">
        <v>6</v>
      </c>
    </row>
    <row r="10" spans="1:4" s="4" customFormat="1" ht="11.25" customHeight="1">
      <c r="A10" s="44" t="s">
        <v>110</v>
      </c>
      <c r="B10" s="5">
        <v>4808.8999999999996</v>
      </c>
      <c r="C10" s="43">
        <v>9557.5</v>
      </c>
    </row>
    <row r="11" spans="1:4" s="11" customFormat="1" ht="9.75" customHeight="1">
      <c r="A11" s="47" t="s">
        <v>13</v>
      </c>
      <c r="B11" s="124">
        <v>611.6</v>
      </c>
      <c r="C11" s="125">
        <v>1224.5</v>
      </c>
    </row>
    <row r="12" spans="1:4" s="11" customFormat="1" ht="9.75" customHeight="1">
      <c r="A12" s="47" t="s">
        <v>15</v>
      </c>
      <c r="B12" s="6">
        <v>759.9</v>
      </c>
      <c r="C12" s="46">
        <v>1527.8</v>
      </c>
    </row>
    <row r="13" spans="1:4" s="4" customFormat="1" ht="8.25" customHeight="1">
      <c r="A13" s="51" t="s">
        <v>75</v>
      </c>
      <c r="B13" s="113">
        <v>63.2</v>
      </c>
      <c r="C13" s="49">
        <v>127</v>
      </c>
    </row>
    <row r="14" spans="1:4" s="4" customFormat="1" ht="8.25" customHeight="1">
      <c r="A14" s="51" t="s">
        <v>77</v>
      </c>
      <c r="B14" s="113">
        <v>58.7</v>
      </c>
      <c r="C14" s="49">
        <v>119.5</v>
      </c>
    </row>
    <row r="15" spans="1:4" s="4" customFormat="1" ht="8.25" customHeight="1">
      <c r="A15" s="51" t="s">
        <v>79</v>
      </c>
      <c r="B15" s="113">
        <v>274.7</v>
      </c>
      <c r="C15" s="49">
        <v>550.29999999999995</v>
      </c>
    </row>
    <row r="16" spans="1:4" s="4" customFormat="1" ht="8.25" customHeight="1">
      <c r="A16" s="51" t="s">
        <v>81</v>
      </c>
      <c r="B16" s="113">
        <v>336.8</v>
      </c>
      <c r="C16" s="49">
        <v>676.7</v>
      </c>
    </row>
    <row r="17" spans="1:4" s="4" customFormat="1" ht="8.25" customHeight="1">
      <c r="A17" s="51" t="s">
        <v>83</v>
      </c>
      <c r="B17" s="113">
        <v>26.6</v>
      </c>
      <c r="C17" s="49">
        <v>54.4</v>
      </c>
    </row>
    <row r="18" spans="1:4" s="11" customFormat="1" ht="9.75" customHeight="1">
      <c r="A18" s="47" t="s">
        <v>21</v>
      </c>
      <c r="B18" s="6">
        <v>563.70000000000005</v>
      </c>
      <c r="C18" s="46">
        <v>1108.5</v>
      </c>
    </row>
    <row r="19" spans="1:4" s="4" customFormat="1" ht="8.25" customHeight="1">
      <c r="A19" s="51" t="s">
        <v>85</v>
      </c>
      <c r="B19" s="113">
        <v>312.89999999999998</v>
      </c>
      <c r="C19" s="49">
        <v>607.9</v>
      </c>
    </row>
    <row r="20" spans="1:4" s="4" customFormat="1" ht="8.25" customHeight="1">
      <c r="A20" s="51" t="s">
        <v>87</v>
      </c>
      <c r="B20" s="113">
        <v>250.8</v>
      </c>
      <c r="C20" s="49">
        <v>500.6</v>
      </c>
    </row>
    <row r="21" spans="1:4" s="11" customFormat="1" ht="9.75" customHeight="1">
      <c r="A21" s="47" t="s">
        <v>27</v>
      </c>
      <c r="B21" s="6">
        <v>1175.2</v>
      </c>
      <c r="C21" s="46">
        <v>2326</v>
      </c>
    </row>
    <row r="22" spans="1:4" s="4" customFormat="1" ht="8.25" customHeight="1">
      <c r="A22" s="51" t="s">
        <v>89</v>
      </c>
      <c r="B22" s="113">
        <v>254.4</v>
      </c>
      <c r="C22" s="49">
        <v>505.8</v>
      </c>
    </row>
    <row r="23" spans="1:4" s="4" customFormat="1" ht="8.25" customHeight="1">
      <c r="A23" s="51" t="s">
        <v>91</v>
      </c>
      <c r="B23" s="113">
        <v>407.7</v>
      </c>
      <c r="C23" s="49">
        <v>803</v>
      </c>
    </row>
    <row r="24" spans="1:4" s="4" customFormat="1" ht="8.25" customHeight="1">
      <c r="A24" s="51" t="s">
        <v>93</v>
      </c>
      <c r="B24" s="113">
        <v>187.6</v>
      </c>
      <c r="C24" s="49">
        <v>376.1</v>
      </c>
    </row>
    <row r="25" spans="1:4" s="4" customFormat="1" ht="8.25" customHeight="1">
      <c r="A25" s="51" t="s">
        <v>95</v>
      </c>
      <c r="B25" s="113">
        <v>325.5</v>
      </c>
      <c r="C25" s="49">
        <v>641.1</v>
      </c>
    </row>
    <row r="26" spans="1:4" s="11" customFormat="1" ht="9.75" customHeight="1">
      <c r="A26" s="47" t="s">
        <v>31</v>
      </c>
      <c r="B26" s="6">
        <v>758.8</v>
      </c>
      <c r="C26" s="46">
        <v>1494.3</v>
      </c>
    </row>
    <row r="27" spans="1:4" s="11" customFormat="1" ht="9.75" customHeight="1">
      <c r="A27" s="47" t="s">
        <v>33</v>
      </c>
      <c r="B27" s="6">
        <v>706.2</v>
      </c>
      <c r="C27" s="46">
        <v>1404.3</v>
      </c>
    </row>
    <row r="28" spans="1:4" s="4" customFormat="1" ht="8.25" customHeight="1">
      <c r="A28" s="51" t="s">
        <v>70</v>
      </c>
      <c r="B28" s="113">
        <v>296.7</v>
      </c>
      <c r="C28" s="49">
        <v>585.9</v>
      </c>
    </row>
    <row r="29" spans="1:4" s="4" customFormat="1" ht="8.25" customHeight="1">
      <c r="A29" s="51" t="s">
        <v>72</v>
      </c>
      <c r="B29" s="113">
        <v>409.5</v>
      </c>
      <c r="C29" s="49">
        <v>818.4</v>
      </c>
    </row>
    <row r="30" spans="1:4" s="11" customFormat="1" ht="9.75" customHeight="1">
      <c r="A30" s="47" t="s">
        <v>119</v>
      </c>
      <c r="B30" s="6">
        <v>233.5</v>
      </c>
      <c r="C30" s="46">
        <v>472</v>
      </c>
    </row>
    <row r="31" spans="1:4" s="11" customFormat="1" ht="11.25" customHeight="1">
      <c r="A31" s="54"/>
      <c r="B31" s="12"/>
      <c r="C31" s="15" t="s">
        <v>98</v>
      </c>
    </row>
    <row r="32" spans="1:4" s="4" customFormat="1" ht="11.25" customHeight="1">
      <c r="A32" s="56" t="s">
        <v>3</v>
      </c>
      <c r="B32" s="118" t="s">
        <v>125</v>
      </c>
      <c r="C32" s="164" t="s">
        <v>132</v>
      </c>
      <c r="D32" s="4" t="s">
        <v>157</v>
      </c>
    </row>
    <row r="33" spans="1:3" s="4" customFormat="1" ht="14.25" customHeight="1">
      <c r="A33" s="99" t="s">
        <v>111</v>
      </c>
      <c r="B33" s="5">
        <v>3813.2</v>
      </c>
      <c r="C33" s="165">
        <v>7539.2</v>
      </c>
    </row>
    <row r="34" spans="1:3" s="11" customFormat="1" ht="9.75" customHeight="1">
      <c r="A34" s="47" t="s">
        <v>13</v>
      </c>
      <c r="B34" s="124">
        <v>415.7</v>
      </c>
      <c r="C34" s="166">
        <v>830.9</v>
      </c>
    </row>
    <row r="35" spans="1:3" s="11" customFormat="1" ht="9.75" customHeight="1">
      <c r="A35" s="47" t="s">
        <v>15</v>
      </c>
      <c r="B35" s="6">
        <v>357.6</v>
      </c>
      <c r="C35" s="167">
        <v>711</v>
      </c>
    </row>
    <row r="36" spans="1:3" s="4" customFormat="1" ht="8.25" customHeight="1">
      <c r="A36" s="51" t="s">
        <v>75</v>
      </c>
      <c r="B36" s="113">
        <v>56.1</v>
      </c>
      <c r="C36" s="168">
        <v>112.9</v>
      </c>
    </row>
    <row r="37" spans="1:3" s="4" customFormat="1" ht="8.25" customHeight="1">
      <c r="A37" s="51" t="s">
        <v>77</v>
      </c>
      <c r="B37" s="113">
        <v>41.2</v>
      </c>
      <c r="C37" s="168">
        <v>83.2</v>
      </c>
    </row>
    <row r="38" spans="1:3" s="4" customFormat="1" ht="8.25" customHeight="1">
      <c r="A38" s="51" t="s">
        <v>79</v>
      </c>
      <c r="B38" s="113">
        <v>128.9</v>
      </c>
      <c r="C38" s="168">
        <v>254.6</v>
      </c>
    </row>
    <row r="39" spans="1:3" s="4" customFormat="1" ht="8.25" customHeight="1">
      <c r="A39" s="51" t="s">
        <v>81</v>
      </c>
      <c r="B39" s="113">
        <v>118.2</v>
      </c>
      <c r="C39" s="168">
        <v>233.1</v>
      </c>
    </row>
    <row r="40" spans="1:3" s="4" customFormat="1" ht="8.25" customHeight="1">
      <c r="A40" s="51" t="s">
        <v>83</v>
      </c>
      <c r="B40" s="113">
        <v>13.3</v>
      </c>
      <c r="C40" s="168">
        <v>27.3</v>
      </c>
    </row>
    <row r="41" spans="1:3" s="11" customFormat="1" ht="9.75" customHeight="1">
      <c r="A41" s="47" t="s">
        <v>21</v>
      </c>
      <c r="B41" s="6">
        <v>425.5</v>
      </c>
      <c r="C41" s="167">
        <v>828.6</v>
      </c>
    </row>
    <row r="42" spans="1:3" s="4" customFormat="1" ht="8.25" customHeight="1">
      <c r="A42" s="51" t="s">
        <v>85</v>
      </c>
      <c r="B42" s="113">
        <v>277.60000000000002</v>
      </c>
      <c r="C42" s="168">
        <v>537</v>
      </c>
    </row>
    <row r="43" spans="1:3" s="4" customFormat="1" ht="8.25" customHeight="1">
      <c r="A43" s="51" t="s">
        <v>87</v>
      </c>
      <c r="B43" s="113">
        <v>148</v>
      </c>
      <c r="C43" s="168">
        <v>291.60000000000002</v>
      </c>
    </row>
    <row r="44" spans="1:3" s="11" customFormat="1" ht="9.75" customHeight="1">
      <c r="A44" s="47" t="s">
        <v>27</v>
      </c>
      <c r="B44" s="6">
        <v>1081.2</v>
      </c>
      <c r="C44" s="167">
        <v>2133.8000000000002</v>
      </c>
    </row>
    <row r="45" spans="1:3" s="4" customFormat="1" ht="8.25" customHeight="1">
      <c r="A45" s="51" t="s">
        <v>89</v>
      </c>
      <c r="B45" s="113">
        <v>202.3</v>
      </c>
      <c r="C45" s="168">
        <v>399.8</v>
      </c>
    </row>
    <row r="46" spans="1:3" s="4" customFormat="1" ht="8.25" customHeight="1">
      <c r="A46" s="51" t="s">
        <v>91</v>
      </c>
      <c r="B46" s="113">
        <v>388.1</v>
      </c>
      <c r="C46" s="168">
        <v>762.5</v>
      </c>
    </row>
    <row r="47" spans="1:3" s="4" customFormat="1" ht="8.25" customHeight="1">
      <c r="A47" s="51" t="s">
        <v>93</v>
      </c>
      <c r="B47" s="113">
        <v>165.8</v>
      </c>
      <c r="C47" s="168">
        <v>331.7</v>
      </c>
    </row>
    <row r="48" spans="1:3" s="4" customFormat="1" ht="8.25" customHeight="1">
      <c r="A48" s="51" t="s">
        <v>95</v>
      </c>
      <c r="B48" s="113">
        <v>325</v>
      </c>
      <c r="C48" s="168">
        <v>639.9</v>
      </c>
    </row>
    <row r="49" spans="1:4" s="11" customFormat="1" ht="9.75" customHeight="1">
      <c r="A49" s="47" t="s">
        <v>31</v>
      </c>
      <c r="B49" s="6">
        <v>746.8</v>
      </c>
      <c r="C49" s="167">
        <v>1468.6</v>
      </c>
    </row>
    <row r="50" spans="1:4" s="11" customFormat="1" ht="9.75" customHeight="1">
      <c r="A50" s="47" t="s">
        <v>33</v>
      </c>
      <c r="B50" s="6">
        <v>553.29999999999995</v>
      </c>
      <c r="C50" s="167">
        <v>1095.2</v>
      </c>
    </row>
    <row r="51" spans="1:4" s="4" customFormat="1" ht="8.25" customHeight="1">
      <c r="A51" s="51" t="s">
        <v>70</v>
      </c>
      <c r="B51" s="113">
        <v>296.2</v>
      </c>
      <c r="C51" s="168">
        <v>584.29999999999995</v>
      </c>
    </row>
    <row r="52" spans="1:4" s="4" customFormat="1" ht="8.25" customHeight="1">
      <c r="A52" s="51" t="s">
        <v>72</v>
      </c>
      <c r="B52" s="113">
        <v>257.10000000000002</v>
      </c>
      <c r="C52" s="168">
        <v>511</v>
      </c>
    </row>
    <row r="53" spans="1:4" s="11" customFormat="1" ht="9.75" customHeight="1">
      <c r="A53" s="47" t="s">
        <v>119</v>
      </c>
      <c r="B53" s="6">
        <v>233.2</v>
      </c>
      <c r="C53" s="167">
        <v>471</v>
      </c>
    </row>
    <row r="54" spans="1:4" ht="3" customHeight="1">
      <c r="C54" s="169"/>
    </row>
    <row r="55" spans="1:4" ht="16.8">
      <c r="A55" s="23" t="s">
        <v>114</v>
      </c>
      <c r="B55" s="23"/>
      <c r="C55" s="170"/>
    </row>
    <row r="56" spans="1:4" ht="16.8">
      <c r="A56" s="102" t="s">
        <v>147</v>
      </c>
      <c r="B56" s="23"/>
      <c r="C56" s="170"/>
    </row>
    <row r="57" spans="1:4">
      <c r="A57" s="90" t="s">
        <v>1</v>
      </c>
      <c r="B57" s="103"/>
      <c r="C57" s="171"/>
    </row>
    <row r="58" spans="1:4">
      <c r="A58" s="8"/>
      <c r="B58" s="31" t="s">
        <v>2</v>
      </c>
      <c r="C58" s="172"/>
    </row>
    <row r="59" spans="1:4">
      <c r="A59" s="32"/>
      <c r="B59" s="30" t="s">
        <v>5</v>
      </c>
      <c r="C59" s="173"/>
    </row>
    <row r="60" spans="1:4">
      <c r="A60" s="32" t="s">
        <v>100</v>
      </c>
      <c r="B60" s="106"/>
      <c r="C60" s="173" t="s">
        <v>5</v>
      </c>
    </row>
    <row r="61" spans="1:4">
      <c r="A61" s="9" t="s">
        <v>106</v>
      </c>
      <c r="B61" s="34" t="s">
        <v>6</v>
      </c>
      <c r="C61" s="174" t="s">
        <v>6</v>
      </c>
    </row>
    <row r="62" spans="1:4">
      <c r="A62" s="42" t="s">
        <v>3</v>
      </c>
      <c r="B62" s="37"/>
      <c r="C62" s="174"/>
    </row>
    <row r="63" spans="1:4">
      <c r="A63" s="41" t="s">
        <v>3</v>
      </c>
      <c r="B63" s="122" t="s">
        <v>120</v>
      </c>
      <c r="C63" s="175" t="s">
        <v>122</v>
      </c>
      <c r="D63" s="2" t="s">
        <v>156</v>
      </c>
    </row>
    <row r="64" spans="1:4">
      <c r="A64" s="101" t="s">
        <v>11</v>
      </c>
      <c r="B64" s="5">
        <v>995.7</v>
      </c>
      <c r="C64" s="165">
        <v>2018.3</v>
      </c>
    </row>
    <row r="65" spans="1:4">
      <c r="A65" s="59" t="s">
        <v>13</v>
      </c>
      <c r="B65" s="6">
        <v>195.9</v>
      </c>
      <c r="C65" s="167">
        <v>393.6</v>
      </c>
    </row>
    <row r="66" spans="1:4">
      <c r="A66" s="59" t="s">
        <v>15</v>
      </c>
      <c r="B66" s="6">
        <v>402.2</v>
      </c>
      <c r="C66" s="167">
        <v>816.8</v>
      </c>
    </row>
    <row r="67" spans="1:4">
      <c r="A67" s="61" t="s">
        <v>17</v>
      </c>
      <c r="B67" s="7">
        <v>145.69999999999999</v>
      </c>
      <c r="C67" s="176">
        <v>295.7</v>
      </c>
    </row>
    <row r="68" spans="1:4">
      <c r="A68" s="61" t="s">
        <v>19</v>
      </c>
      <c r="B68" s="7">
        <v>218.7</v>
      </c>
      <c r="C68" s="176">
        <v>443.6</v>
      </c>
    </row>
    <row r="69" spans="1:4">
      <c r="A69" s="59" t="s">
        <v>21</v>
      </c>
      <c r="B69" s="6">
        <v>138.19999999999999</v>
      </c>
      <c r="C69" s="167">
        <v>280</v>
      </c>
    </row>
    <row r="70" spans="1:4">
      <c r="A70" s="61" t="s">
        <v>23</v>
      </c>
      <c r="B70" s="7">
        <v>35.299999999999997</v>
      </c>
      <c r="C70" s="176">
        <v>70.900000000000006</v>
      </c>
    </row>
    <row r="71" spans="1:4">
      <c r="A71" s="61" t="s">
        <v>25</v>
      </c>
      <c r="B71" s="7">
        <v>102.9</v>
      </c>
      <c r="C71" s="176">
        <v>209</v>
      </c>
    </row>
    <row r="72" spans="1:4">
      <c r="A72" s="59" t="s">
        <v>27</v>
      </c>
      <c r="B72" s="6">
        <v>94</v>
      </c>
      <c r="C72" s="167">
        <v>192.1</v>
      </c>
    </row>
    <row r="73" spans="1:4">
      <c r="A73" s="61" t="s">
        <v>29</v>
      </c>
      <c r="B73" s="7">
        <v>52.1</v>
      </c>
      <c r="C73" s="176">
        <v>106.1</v>
      </c>
    </row>
    <row r="74" spans="1:4">
      <c r="A74" s="59" t="s">
        <v>31</v>
      </c>
      <c r="B74" s="6">
        <v>12</v>
      </c>
      <c r="C74" s="167">
        <v>25.7</v>
      </c>
      <c r="D74" s="2">
        <v>9510.9</v>
      </c>
    </row>
    <row r="75" spans="1:4">
      <c r="A75" s="59" t="s">
        <v>33</v>
      </c>
      <c r="B75" s="6">
        <v>152.9</v>
      </c>
      <c r="C75" s="167">
        <v>309.10000000000002</v>
      </c>
      <c r="D75" s="2">
        <f>C79-C33</f>
        <v>-497.19999999999982</v>
      </c>
    </row>
    <row r="76" spans="1:4">
      <c r="A76" s="61" t="s">
        <v>129</v>
      </c>
      <c r="B76" s="7">
        <v>152.4</v>
      </c>
      <c r="C76" s="176">
        <v>307.5</v>
      </c>
      <c r="D76" s="2">
        <v>497.2</v>
      </c>
    </row>
    <row r="77" spans="1:4">
      <c r="A77" s="56" t="s">
        <v>3</v>
      </c>
      <c r="B77" s="20"/>
      <c r="C77" s="15" t="s">
        <v>73</v>
      </c>
    </row>
    <row r="78" spans="1:4">
      <c r="A78" s="56" t="s">
        <v>3</v>
      </c>
      <c r="B78" s="118" t="s">
        <v>135</v>
      </c>
      <c r="C78" s="117" t="s">
        <v>137</v>
      </c>
      <c r="D78" s="2" t="s">
        <v>157</v>
      </c>
    </row>
    <row r="79" spans="1:4">
      <c r="A79" s="99" t="s">
        <v>111</v>
      </c>
      <c r="B79" s="5">
        <v>3543.5</v>
      </c>
      <c r="C79" s="43">
        <v>7042</v>
      </c>
      <c r="D79" s="43">
        <v>9557.5</v>
      </c>
    </row>
    <row r="80" spans="1:4">
      <c r="A80" s="47" t="s">
        <v>13</v>
      </c>
      <c r="B80" s="6">
        <v>405.2</v>
      </c>
      <c r="C80" s="46">
        <v>811.6</v>
      </c>
    </row>
    <row r="81" spans="1:3">
      <c r="A81" s="47" t="s">
        <v>15</v>
      </c>
      <c r="B81" s="6">
        <v>323.8</v>
      </c>
      <c r="C81" s="46">
        <v>647.5</v>
      </c>
    </row>
    <row r="82" spans="1:3">
      <c r="A82" s="51" t="s">
        <v>75</v>
      </c>
      <c r="B82" s="7">
        <v>53.2</v>
      </c>
      <c r="C82" s="50">
        <v>107.2</v>
      </c>
    </row>
    <row r="83" spans="1:3">
      <c r="A83" s="51" t="s">
        <v>77</v>
      </c>
      <c r="B83" s="7">
        <v>38.9</v>
      </c>
      <c r="C83" s="50">
        <v>78.8</v>
      </c>
    </row>
    <row r="84" spans="1:3">
      <c r="A84" s="51" t="s">
        <v>79</v>
      </c>
      <c r="B84" s="7">
        <v>116.9</v>
      </c>
      <c r="C84" s="50">
        <v>232.2</v>
      </c>
    </row>
    <row r="85" spans="1:3">
      <c r="A85" s="51" t="s">
        <v>81</v>
      </c>
      <c r="B85" s="7">
        <v>102.6</v>
      </c>
      <c r="C85" s="50">
        <v>204</v>
      </c>
    </row>
    <row r="86" spans="1:3">
      <c r="A86" s="51" t="s">
        <v>83</v>
      </c>
      <c r="B86" s="7">
        <v>12.2</v>
      </c>
      <c r="C86" s="50">
        <v>25.3</v>
      </c>
    </row>
    <row r="87" spans="1:3">
      <c r="A87" s="47" t="s">
        <v>21</v>
      </c>
      <c r="B87" s="6">
        <v>378.8</v>
      </c>
      <c r="C87" s="46">
        <v>742.9</v>
      </c>
    </row>
    <row r="88" spans="1:3">
      <c r="A88" s="51" t="s">
        <v>85</v>
      </c>
      <c r="B88" s="7">
        <v>240.2</v>
      </c>
      <c r="C88" s="50">
        <v>468.5</v>
      </c>
    </row>
    <row r="89" spans="1:3">
      <c r="A89" s="51" t="s">
        <v>87</v>
      </c>
      <c r="B89" s="7">
        <v>138.6</v>
      </c>
      <c r="C89" s="50">
        <v>274.39999999999998</v>
      </c>
    </row>
    <row r="90" spans="1:3">
      <c r="A90" s="47" t="s">
        <v>27</v>
      </c>
      <c r="B90" s="6">
        <v>1016.9</v>
      </c>
      <c r="C90" s="46">
        <v>2015.9</v>
      </c>
    </row>
    <row r="91" spans="1:3">
      <c r="A91" s="51" t="s">
        <v>89</v>
      </c>
      <c r="B91" s="7">
        <v>187</v>
      </c>
      <c r="C91" s="50">
        <v>371.5</v>
      </c>
    </row>
    <row r="92" spans="1:3">
      <c r="A92" s="51" t="s">
        <v>91</v>
      </c>
      <c r="B92" s="7">
        <v>369.3</v>
      </c>
      <c r="C92" s="50">
        <v>728.4</v>
      </c>
    </row>
    <row r="93" spans="1:3">
      <c r="A93" s="51" t="s">
        <v>93</v>
      </c>
      <c r="B93" s="7">
        <v>157.69999999999999</v>
      </c>
      <c r="C93" s="50">
        <v>316.7</v>
      </c>
    </row>
    <row r="94" spans="1:3">
      <c r="A94" s="51" t="s">
        <v>95</v>
      </c>
      <c r="B94" s="7">
        <v>302.89999999999998</v>
      </c>
      <c r="C94" s="50">
        <v>599.29999999999995</v>
      </c>
    </row>
    <row r="95" spans="1:3">
      <c r="A95" s="47" t="s">
        <v>31</v>
      </c>
      <c r="B95" s="6">
        <v>692.6</v>
      </c>
      <c r="C95" s="46">
        <v>1370.3</v>
      </c>
    </row>
    <row r="96" spans="1:3">
      <c r="A96" s="47" t="s">
        <v>33</v>
      </c>
      <c r="B96" s="6">
        <v>497.7</v>
      </c>
      <c r="C96" s="46">
        <v>991.7</v>
      </c>
    </row>
    <row r="97" spans="1:4">
      <c r="A97" s="51" t="s">
        <v>70</v>
      </c>
      <c r="B97" s="7">
        <v>266.8</v>
      </c>
      <c r="C97" s="50">
        <v>529.79999999999995</v>
      </c>
    </row>
    <row r="98" spans="1:4">
      <c r="A98" s="51" t="s">
        <v>72</v>
      </c>
      <c r="B98" s="7">
        <v>230.9</v>
      </c>
      <c r="C98" s="50">
        <v>461.9</v>
      </c>
    </row>
    <row r="99" spans="1:4">
      <c r="A99" s="47" t="s">
        <v>119</v>
      </c>
      <c r="B99" s="6">
        <v>228.4</v>
      </c>
      <c r="C99" s="46">
        <v>462</v>
      </c>
    </row>
    <row r="100" spans="1:4">
      <c r="A100" s="67" t="s">
        <v>114</v>
      </c>
      <c r="B100" s="67"/>
      <c r="C100" s="21"/>
    </row>
    <row r="101" spans="1:4">
      <c r="A101" s="67" t="s">
        <v>112</v>
      </c>
      <c r="B101" s="67"/>
      <c r="C101" s="66"/>
    </row>
    <row r="102" spans="1:4">
      <c r="A102" s="90" t="s">
        <v>1</v>
      </c>
      <c r="B102" s="103"/>
      <c r="C102" s="21"/>
    </row>
    <row r="103" spans="1:4">
      <c r="A103" s="8"/>
      <c r="B103" s="31" t="s">
        <v>2</v>
      </c>
      <c r="C103" s="27"/>
    </row>
    <row r="104" spans="1:4">
      <c r="A104" s="32"/>
      <c r="B104" s="30" t="s">
        <v>5</v>
      </c>
      <c r="C104" s="13"/>
    </row>
    <row r="105" spans="1:4">
      <c r="A105" s="32" t="s">
        <v>100</v>
      </c>
      <c r="B105" s="106"/>
      <c r="C105" s="13" t="s">
        <v>5</v>
      </c>
    </row>
    <row r="106" spans="1:4">
      <c r="A106" s="9" t="s">
        <v>106</v>
      </c>
      <c r="B106" s="34" t="s">
        <v>6</v>
      </c>
      <c r="C106" s="1" t="s">
        <v>6</v>
      </c>
    </row>
    <row r="107" spans="1:4">
      <c r="A107" s="42" t="s">
        <v>3</v>
      </c>
      <c r="B107" s="37"/>
      <c r="C107" s="10"/>
    </row>
    <row r="108" spans="1:4">
      <c r="A108" s="69"/>
      <c r="B108" s="118" t="s">
        <v>10</v>
      </c>
      <c r="C108" s="117" t="s">
        <v>8</v>
      </c>
      <c r="D108" s="2" t="s">
        <v>319</v>
      </c>
    </row>
    <row r="109" spans="1:4">
      <c r="A109" s="101" t="s">
        <v>11</v>
      </c>
      <c r="B109" s="5">
        <v>851.9</v>
      </c>
      <c r="C109" s="43">
        <v>1728.1</v>
      </c>
    </row>
    <row r="110" spans="1:4">
      <c r="A110" s="72" t="s">
        <v>13</v>
      </c>
      <c r="B110" s="16">
        <v>188.9</v>
      </c>
      <c r="C110" s="71">
        <v>380.3</v>
      </c>
    </row>
    <row r="111" spans="1:4">
      <c r="A111" s="72" t="s">
        <v>15</v>
      </c>
      <c r="B111" s="16">
        <v>293.8</v>
      </c>
      <c r="C111" s="71">
        <v>597.29999999999995</v>
      </c>
    </row>
    <row r="112" spans="1:4">
      <c r="A112" s="61" t="s">
        <v>17</v>
      </c>
      <c r="B112" s="7">
        <v>125.6</v>
      </c>
      <c r="C112" s="50">
        <v>255.6</v>
      </c>
    </row>
    <row r="113" spans="1:4">
      <c r="A113" s="61" t="s">
        <v>19</v>
      </c>
      <c r="B113" s="7">
        <v>155.4</v>
      </c>
      <c r="C113" s="50">
        <v>315.39999999999998</v>
      </c>
    </row>
    <row r="114" spans="1:4">
      <c r="A114" s="72" t="s">
        <v>21</v>
      </c>
      <c r="B114" s="16">
        <v>114.9</v>
      </c>
      <c r="C114" s="71">
        <v>233.1</v>
      </c>
    </row>
    <row r="115" spans="1:4">
      <c r="A115" s="61" t="s">
        <v>23</v>
      </c>
      <c r="B115" s="7">
        <v>12.2</v>
      </c>
      <c r="C115" s="50">
        <v>24.3</v>
      </c>
    </row>
    <row r="116" spans="1:4">
      <c r="A116" s="61" t="s">
        <v>25</v>
      </c>
      <c r="B116" s="7">
        <v>102.7</v>
      </c>
      <c r="C116" s="50">
        <v>208.7</v>
      </c>
    </row>
    <row r="117" spans="1:4">
      <c r="A117" s="72" t="s">
        <v>27</v>
      </c>
      <c r="B117" s="16">
        <v>91.6</v>
      </c>
      <c r="C117" s="71">
        <v>187.2</v>
      </c>
    </row>
    <row r="118" spans="1:4">
      <c r="A118" s="61" t="s">
        <v>29</v>
      </c>
      <c r="B118" s="7">
        <v>52</v>
      </c>
      <c r="C118" s="50">
        <v>105.9</v>
      </c>
    </row>
    <row r="119" spans="1:4">
      <c r="A119" s="72" t="s">
        <v>31</v>
      </c>
      <c r="B119" s="16">
        <v>9.9</v>
      </c>
      <c r="C119" s="71">
        <v>21.5</v>
      </c>
    </row>
    <row r="120" spans="1:4">
      <c r="A120" s="72" t="s">
        <v>33</v>
      </c>
      <c r="B120" s="16">
        <v>152.4</v>
      </c>
      <c r="C120" s="71">
        <v>308</v>
      </c>
    </row>
    <row r="121" spans="1:4">
      <c r="A121" s="61" t="s">
        <v>35</v>
      </c>
      <c r="B121" s="7">
        <v>151.9</v>
      </c>
      <c r="C121" s="50">
        <v>306.39999999999998</v>
      </c>
    </row>
    <row r="122" spans="1:4">
      <c r="A122" s="74"/>
      <c r="B122" s="118" t="s">
        <v>37</v>
      </c>
      <c r="C122" s="117" t="s">
        <v>103</v>
      </c>
      <c r="D122" s="2" t="s">
        <v>320</v>
      </c>
    </row>
    <row r="123" spans="1:4">
      <c r="A123" s="101" t="s">
        <v>11</v>
      </c>
      <c r="B123" s="5">
        <v>69.900000000000006</v>
      </c>
      <c r="C123" s="43">
        <v>139.30000000000001</v>
      </c>
    </row>
    <row r="124" spans="1:4">
      <c r="A124" s="64" t="s">
        <v>39</v>
      </c>
      <c r="B124" s="93"/>
      <c r="C124" s="93"/>
    </row>
    <row r="125" spans="1:4">
      <c r="A125" s="72" t="s">
        <v>41</v>
      </c>
      <c r="B125" s="6">
        <v>6.9</v>
      </c>
      <c r="C125" s="110">
        <v>13.1</v>
      </c>
    </row>
    <row r="126" spans="1:4">
      <c r="A126" s="72" t="s">
        <v>43</v>
      </c>
      <c r="B126" s="6">
        <v>48.8</v>
      </c>
      <c r="C126" s="110">
        <v>97.8</v>
      </c>
    </row>
    <row r="127" spans="1:4">
      <c r="A127" s="61" t="s">
        <v>45</v>
      </c>
      <c r="B127" s="19">
        <v>20.100000000000001</v>
      </c>
      <c r="C127" s="49">
        <v>40</v>
      </c>
    </row>
    <row r="128" spans="1:4">
      <c r="A128" s="61" t="s">
        <v>47</v>
      </c>
      <c r="B128" s="19">
        <v>23</v>
      </c>
      <c r="C128" s="78">
        <v>46.2</v>
      </c>
    </row>
    <row r="129" spans="1:4">
      <c r="A129" s="72" t="s">
        <v>49</v>
      </c>
      <c r="B129" s="16">
        <v>9.5</v>
      </c>
      <c r="C129" s="71">
        <v>18.899999999999999</v>
      </c>
    </row>
    <row r="130" spans="1:4">
      <c r="A130" s="72" t="s">
        <v>51</v>
      </c>
      <c r="B130" s="17">
        <v>2.4</v>
      </c>
      <c r="C130" s="79">
        <v>4.7</v>
      </c>
    </row>
    <row r="131" spans="1:4">
      <c r="A131" s="72" t="s">
        <v>53</v>
      </c>
      <c r="B131" s="17">
        <v>1.9</v>
      </c>
      <c r="C131" s="79">
        <v>3.9</v>
      </c>
    </row>
    <row r="132" spans="1:4">
      <c r="A132" s="74"/>
      <c r="B132" s="118" t="s">
        <v>144</v>
      </c>
      <c r="C132" s="117" t="s">
        <v>141</v>
      </c>
      <c r="D132" s="2" t="s">
        <v>160</v>
      </c>
    </row>
    <row r="133" spans="1:4">
      <c r="A133" s="101" t="s">
        <v>11</v>
      </c>
      <c r="B133" s="5">
        <v>73.3</v>
      </c>
      <c r="C133" s="43">
        <v>149.4</v>
      </c>
    </row>
    <row r="134" spans="1:4">
      <c r="A134" s="64" t="s">
        <v>39</v>
      </c>
      <c r="B134" s="93"/>
      <c r="C134" s="93"/>
    </row>
    <row r="135" spans="1:4">
      <c r="A135" s="72" t="s">
        <v>43</v>
      </c>
      <c r="B135" s="109">
        <v>59</v>
      </c>
      <c r="C135" s="110">
        <v>120.3</v>
      </c>
    </row>
    <row r="136" spans="1:4">
      <c r="A136" s="61" t="s">
        <v>57</v>
      </c>
      <c r="B136" s="19">
        <v>39.9</v>
      </c>
      <c r="C136" s="78">
        <v>81.2</v>
      </c>
    </row>
    <row r="137" spans="1:4">
      <c r="A137" s="61" t="s">
        <v>59</v>
      </c>
      <c r="B137" s="7">
        <v>11.9</v>
      </c>
      <c r="C137" s="50">
        <v>24.2</v>
      </c>
    </row>
    <row r="138" spans="1:4">
      <c r="A138" s="72" t="s">
        <v>49</v>
      </c>
      <c r="B138" s="17">
        <v>13.7</v>
      </c>
      <c r="C138" s="79">
        <v>27.8</v>
      </c>
    </row>
    <row r="139" spans="1:4">
      <c r="A139" s="61" t="s">
        <v>108</v>
      </c>
      <c r="B139" s="19">
        <v>13.7</v>
      </c>
      <c r="C139" s="78">
        <v>27.8</v>
      </c>
    </row>
    <row r="140" spans="1:4">
      <c r="A140" s="74"/>
      <c r="B140" s="118" t="s">
        <v>107</v>
      </c>
      <c r="C140" s="117" t="s">
        <v>104</v>
      </c>
      <c r="D140" s="2" t="s">
        <v>321</v>
      </c>
    </row>
    <row r="141" spans="1:4">
      <c r="A141" s="101" t="s">
        <v>11</v>
      </c>
      <c r="B141" s="5">
        <v>243.1</v>
      </c>
      <c r="C141" s="43">
        <v>452.1</v>
      </c>
    </row>
    <row r="142" spans="1:4">
      <c r="A142" s="72" t="s">
        <v>13</v>
      </c>
      <c r="B142" s="16">
        <v>8.1</v>
      </c>
      <c r="C142" s="71">
        <v>15.2</v>
      </c>
    </row>
    <row r="143" spans="1:4">
      <c r="A143" s="72" t="s">
        <v>15</v>
      </c>
      <c r="B143" s="16">
        <v>29.5</v>
      </c>
      <c r="C143" s="71">
        <v>55.6</v>
      </c>
    </row>
    <row r="144" spans="1:4">
      <c r="A144" s="64" t="s">
        <v>62</v>
      </c>
      <c r="B144" s="7">
        <v>14.2</v>
      </c>
      <c r="C144" s="50">
        <v>26.7</v>
      </c>
    </row>
    <row r="145" spans="1:3">
      <c r="A145" s="72" t="s">
        <v>21</v>
      </c>
      <c r="B145" s="16">
        <v>41.6</v>
      </c>
      <c r="C145" s="71">
        <v>77.099999999999994</v>
      </c>
    </row>
    <row r="146" spans="1:3">
      <c r="A146" s="64" t="s">
        <v>109</v>
      </c>
      <c r="B146" s="7">
        <v>33.4</v>
      </c>
      <c r="C146" s="50">
        <v>61.8</v>
      </c>
    </row>
    <row r="147" spans="1:3">
      <c r="A147" s="72" t="s">
        <v>27</v>
      </c>
      <c r="B147" s="16">
        <v>59.6</v>
      </c>
      <c r="C147" s="71">
        <v>110.3</v>
      </c>
    </row>
    <row r="148" spans="1:3">
      <c r="A148" s="64" t="s">
        <v>64</v>
      </c>
      <c r="B148" s="7">
        <v>14.3</v>
      </c>
      <c r="C148" s="50">
        <v>26.5</v>
      </c>
    </row>
    <row r="149" spans="1:3">
      <c r="A149" s="64" t="s">
        <v>66</v>
      </c>
      <c r="B149" s="7">
        <v>17.5</v>
      </c>
      <c r="C149" s="50">
        <v>32.1</v>
      </c>
    </row>
    <row r="150" spans="1:3">
      <c r="A150" s="61" t="s">
        <v>68</v>
      </c>
      <c r="B150" s="7">
        <v>20.8</v>
      </c>
      <c r="C150" s="50">
        <v>38.4</v>
      </c>
    </row>
    <row r="151" spans="1:3">
      <c r="A151" s="82" t="s">
        <v>31</v>
      </c>
      <c r="B151" s="16">
        <v>48</v>
      </c>
      <c r="C151" s="71">
        <v>88.5</v>
      </c>
    </row>
    <row r="152" spans="1:3">
      <c r="A152" s="72" t="s">
        <v>33</v>
      </c>
      <c r="B152" s="16">
        <v>51.8</v>
      </c>
      <c r="C152" s="71">
        <v>96.9</v>
      </c>
    </row>
    <row r="153" spans="1:3">
      <c r="A153" s="61" t="s">
        <v>70</v>
      </c>
      <c r="B153" s="7">
        <v>27.7</v>
      </c>
      <c r="C153" s="50">
        <v>51.5</v>
      </c>
    </row>
    <row r="154" spans="1:3">
      <c r="A154" s="85" t="s">
        <v>72</v>
      </c>
      <c r="B154" s="18">
        <v>24.1</v>
      </c>
      <c r="C154" s="84">
        <v>45.4</v>
      </c>
    </row>
    <row r="155" spans="1:3">
      <c r="A155" s="98" t="s">
        <v>115</v>
      </c>
      <c r="B155" s="92"/>
      <c r="C155" s="92"/>
    </row>
    <row r="156" spans="1:3">
      <c r="A156" s="95" t="s">
        <v>127</v>
      </c>
    </row>
    <row r="157" spans="1:3">
      <c r="A157" s="95" t="s">
        <v>149</v>
      </c>
    </row>
    <row r="158" spans="1:3">
      <c r="A158" s="95" t="s">
        <v>130</v>
      </c>
    </row>
    <row r="159" spans="1:3">
      <c r="A159" s="112" t="s">
        <v>145</v>
      </c>
    </row>
    <row r="160" spans="1:3">
      <c r="A160" s="89"/>
    </row>
    <row r="161" spans="1:3">
      <c r="A161" s="88" t="s">
        <v>151</v>
      </c>
      <c r="B161" s="86"/>
      <c r="C161" s="86"/>
    </row>
    <row r="162" spans="1:3">
      <c r="A162" s="88"/>
      <c r="B162" s="86"/>
      <c r="C162" s="86"/>
    </row>
  </sheetData>
  <sheetProtection formatCells="0" selectLockedCells="1"/>
  <phoneticPr fontId="0" type="noConversion"/>
  <printOptions horizontalCentered="1" gridLinesSet="0"/>
  <pageMargins left="0.78740157480314998" right="0.78740157480314998" top="0.90551181102362199" bottom="0.78740157480314998" header="0.70866141732283505" footer="0.59055118110236204"/>
  <pageSetup paperSize="9" firstPageNumber="138" orientation="portrait" r:id="rId1"/>
  <headerFooter scaleWithDoc="0">
    <oddHeader>&amp;L&amp;"Arial,Italic"&amp;7CBS, CENTRAL BUREAU OF STATISTICS&amp;R&amp;"Arial,Italic"&amp;10למ''ס, הלשכה המרכזית לסטטיסטיקה</oddHeader>
    <oddFooter>&amp;C&amp;"Arial,Regular"&amp;8-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yncVertical="1" syncRef="A7" transitionEvaluation="1" codeName="גיליון2"/>
  <dimension ref="A1:F49"/>
  <sheetViews>
    <sheetView showGridLines="0" topLeftCell="A8" zoomScale="102" zoomScaleNormal="100" workbookViewId="0">
      <selection activeCell="F31" sqref="F31"/>
    </sheetView>
  </sheetViews>
  <sheetFormatPr defaultColWidth="9.75" defaultRowHeight="15"/>
  <cols>
    <col min="1" max="1" width="13.6640625" style="4" customWidth="1"/>
    <col min="2" max="3" width="4.4140625" style="4" customWidth="1"/>
    <col min="4" max="5" width="4.6640625" style="4" customWidth="1"/>
    <col min="6" max="6" width="10.9140625" style="4" customWidth="1"/>
    <col min="7" max="16384" width="9.75" style="4"/>
  </cols>
  <sheetData>
    <row r="1" spans="1:6" ht="21" customHeight="1">
      <c r="A1" s="23" t="s">
        <v>114</v>
      </c>
      <c r="B1" s="23"/>
      <c r="C1" s="23"/>
      <c r="D1" s="65" t="s">
        <v>102</v>
      </c>
      <c r="E1" s="22"/>
      <c r="F1" s="22"/>
    </row>
    <row r="2" spans="1:6" ht="15" customHeight="1">
      <c r="A2" s="102" t="s">
        <v>147</v>
      </c>
      <c r="B2" s="23"/>
      <c r="C2" s="23"/>
      <c r="D2" s="65" t="s">
        <v>113</v>
      </c>
      <c r="E2" s="22"/>
      <c r="F2" s="22"/>
    </row>
    <row r="3" spans="1:6" ht="18" customHeight="1">
      <c r="A3" s="90" t="s">
        <v>1</v>
      </c>
      <c r="C3" s="103"/>
      <c r="D3" s="104" t="s">
        <v>148</v>
      </c>
      <c r="E3" s="21"/>
      <c r="F3" s="91" t="s">
        <v>0</v>
      </c>
    </row>
    <row r="4" spans="1:6" s="2" customFormat="1" ht="9.75" customHeight="1">
      <c r="A4" s="8"/>
      <c r="B4" s="29" t="s">
        <v>4</v>
      </c>
      <c r="C4" s="31" t="s">
        <v>2</v>
      </c>
      <c r="D4" s="29" t="s">
        <v>4</v>
      </c>
      <c r="E4" s="27"/>
      <c r="F4" s="26"/>
    </row>
    <row r="5" spans="1:6" s="2" customFormat="1" ht="9.75" customHeight="1">
      <c r="A5" s="32"/>
      <c r="B5" s="107" t="s">
        <v>2</v>
      </c>
      <c r="C5" s="30" t="s">
        <v>5</v>
      </c>
      <c r="D5" s="28" t="s">
        <v>2</v>
      </c>
      <c r="E5" s="13"/>
      <c r="F5" s="115"/>
    </row>
    <row r="6" spans="1:6" s="2" customFormat="1" ht="9.75" customHeight="1">
      <c r="A6" s="32" t="s">
        <v>100</v>
      </c>
      <c r="B6" s="108" t="s">
        <v>118</v>
      </c>
      <c r="C6" s="106"/>
      <c r="D6" s="105" t="s">
        <v>118</v>
      </c>
      <c r="E6" s="13" t="s">
        <v>5</v>
      </c>
      <c r="F6" s="115" t="s">
        <v>99</v>
      </c>
    </row>
    <row r="7" spans="1:6" s="2" customFormat="1" ht="9.75" customHeight="1">
      <c r="A7" s="9" t="s">
        <v>106</v>
      </c>
      <c r="B7" s="35" t="s">
        <v>7</v>
      </c>
      <c r="C7" s="34" t="s">
        <v>6</v>
      </c>
      <c r="D7" s="35" t="s">
        <v>7</v>
      </c>
      <c r="E7" s="1" t="s">
        <v>6</v>
      </c>
      <c r="F7" s="33"/>
    </row>
    <row r="8" spans="1:6" s="2" customFormat="1" ht="9.75" customHeight="1">
      <c r="A8" s="42" t="s">
        <v>3</v>
      </c>
      <c r="B8" s="32" t="s">
        <v>117</v>
      </c>
      <c r="C8" s="37"/>
      <c r="D8" s="36" t="s">
        <v>117</v>
      </c>
      <c r="E8" s="9"/>
      <c r="F8" s="33"/>
    </row>
    <row r="9" spans="1:6" ht="12" customHeight="1">
      <c r="A9" s="41" t="s">
        <v>3</v>
      </c>
      <c r="B9" s="120" t="s">
        <v>133</v>
      </c>
      <c r="C9" s="122" t="s">
        <v>120</v>
      </c>
      <c r="D9" s="120" t="s">
        <v>121</v>
      </c>
      <c r="E9" s="121" t="s">
        <v>122</v>
      </c>
      <c r="F9" s="38"/>
    </row>
    <row r="10" spans="1:6" ht="12" customHeight="1">
      <c r="A10" s="101" t="s">
        <v>11</v>
      </c>
      <c r="B10" s="43">
        <v>25</v>
      </c>
      <c r="C10" s="5">
        <v>995.7</v>
      </c>
      <c r="D10" s="43">
        <v>24.6</v>
      </c>
      <c r="E10" s="43">
        <v>2018.3</v>
      </c>
      <c r="F10" s="57" t="s">
        <v>5</v>
      </c>
    </row>
    <row r="11" spans="1:6" s="11" customFormat="1" ht="9.75" customHeight="1">
      <c r="A11" s="59" t="s">
        <v>13</v>
      </c>
      <c r="B11" s="46">
        <v>23.3</v>
      </c>
      <c r="C11" s="6">
        <v>195.9</v>
      </c>
      <c r="D11" s="46">
        <v>22.7</v>
      </c>
      <c r="E11" s="46">
        <v>393.6</v>
      </c>
      <c r="F11" s="58" t="s">
        <v>12</v>
      </c>
    </row>
    <row r="12" spans="1:6" s="11" customFormat="1" ht="9.75" customHeight="1">
      <c r="A12" s="59" t="s">
        <v>15</v>
      </c>
      <c r="B12" s="46">
        <v>28.1</v>
      </c>
      <c r="C12" s="6">
        <v>402.2</v>
      </c>
      <c r="D12" s="46">
        <v>27.7</v>
      </c>
      <c r="E12" s="46">
        <v>816.8</v>
      </c>
      <c r="F12" s="58" t="s">
        <v>14</v>
      </c>
    </row>
    <row r="13" spans="1:6" ht="9.75" customHeight="1">
      <c r="A13" s="61" t="s">
        <v>17</v>
      </c>
      <c r="B13" s="50">
        <v>27.4</v>
      </c>
      <c r="C13" s="7">
        <v>145.69999999999999</v>
      </c>
      <c r="D13" s="50">
        <v>27</v>
      </c>
      <c r="E13" s="50">
        <v>295.7</v>
      </c>
      <c r="F13" s="60" t="s">
        <v>16</v>
      </c>
    </row>
    <row r="14" spans="1:6" ht="9.75" customHeight="1">
      <c r="A14" s="61" t="s">
        <v>19</v>
      </c>
      <c r="B14" s="50">
        <v>28.2</v>
      </c>
      <c r="C14" s="7">
        <v>218.7</v>
      </c>
      <c r="D14" s="50">
        <v>27.8</v>
      </c>
      <c r="E14" s="50">
        <v>443.6</v>
      </c>
      <c r="F14" s="60" t="s">
        <v>18</v>
      </c>
    </row>
    <row r="15" spans="1:6" ht="9.75" customHeight="1">
      <c r="A15" s="59" t="s">
        <v>21</v>
      </c>
      <c r="B15" s="46">
        <v>27.5</v>
      </c>
      <c r="C15" s="6">
        <v>138.19999999999999</v>
      </c>
      <c r="D15" s="46">
        <v>27.1</v>
      </c>
      <c r="E15" s="46">
        <v>280</v>
      </c>
      <c r="F15" s="58" t="s">
        <v>20</v>
      </c>
    </row>
    <row r="16" spans="1:6" ht="9.75" customHeight="1">
      <c r="A16" s="61" t="s">
        <v>23</v>
      </c>
      <c r="B16" s="50">
        <v>32.1</v>
      </c>
      <c r="C16" s="7">
        <v>35.299999999999997</v>
      </c>
      <c r="D16" s="50">
        <v>31.5</v>
      </c>
      <c r="E16" s="50">
        <v>70.900000000000006</v>
      </c>
      <c r="F16" s="62" t="s">
        <v>22</v>
      </c>
    </row>
    <row r="17" spans="1:6" ht="9.75" customHeight="1">
      <c r="A17" s="61" t="s">
        <v>25</v>
      </c>
      <c r="B17" s="50">
        <v>26</v>
      </c>
      <c r="C17" s="7">
        <v>102.9</v>
      </c>
      <c r="D17" s="50">
        <v>25.7</v>
      </c>
      <c r="E17" s="50">
        <v>209</v>
      </c>
      <c r="F17" s="62" t="s">
        <v>24</v>
      </c>
    </row>
    <row r="18" spans="1:6" s="11" customFormat="1" ht="9.75" customHeight="1">
      <c r="A18" s="59" t="s">
        <v>27</v>
      </c>
      <c r="B18" s="46">
        <v>25.1</v>
      </c>
      <c r="C18" s="6">
        <v>94</v>
      </c>
      <c r="D18" s="46">
        <v>25</v>
      </c>
      <c r="E18" s="46">
        <v>192.1</v>
      </c>
      <c r="F18" s="58" t="s">
        <v>26</v>
      </c>
    </row>
    <row r="19" spans="1:6" ht="9.75" customHeight="1">
      <c r="A19" s="61" t="s">
        <v>29</v>
      </c>
      <c r="B19" s="50">
        <v>26.6</v>
      </c>
      <c r="C19" s="7">
        <v>52.1</v>
      </c>
      <c r="D19" s="50">
        <v>26.2</v>
      </c>
      <c r="E19" s="50">
        <v>106.1</v>
      </c>
      <c r="F19" s="63" t="s">
        <v>28</v>
      </c>
    </row>
    <row r="20" spans="1:6" ht="9.75" customHeight="1">
      <c r="A20" s="59" t="s">
        <v>31</v>
      </c>
      <c r="B20" s="46">
        <v>24.8</v>
      </c>
      <c r="C20" s="6">
        <v>12</v>
      </c>
      <c r="D20" s="46">
        <v>27.1</v>
      </c>
      <c r="E20" s="46">
        <v>25.7</v>
      </c>
      <c r="F20" s="58" t="s">
        <v>30</v>
      </c>
    </row>
    <row r="21" spans="1:6" s="11" customFormat="1" ht="9.75" customHeight="1">
      <c r="A21" s="59" t="s">
        <v>33</v>
      </c>
      <c r="B21" s="46">
        <v>18.2</v>
      </c>
      <c r="C21" s="6">
        <v>152.9</v>
      </c>
      <c r="D21" s="46">
        <v>17.8</v>
      </c>
      <c r="E21" s="46">
        <v>309.10000000000002</v>
      </c>
      <c r="F21" s="58" t="s">
        <v>32</v>
      </c>
    </row>
    <row r="22" spans="1:6" ht="9.75" customHeight="1">
      <c r="A22" s="61" t="s">
        <v>129</v>
      </c>
      <c r="B22" s="50">
        <v>18.2</v>
      </c>
      <c r="C22" s="7">
        <v>152.4</v>
      </c>
      <c r="D22" s="46">
        <v>17.8</v>
      </c>
      <c r="E22" s="50">
        <v>307.5</v>
      </c>
      <c r="F22" s="60" t="s">
        <v>34</v>
      </c>
    </row>
    <row r="23" spans="1:6" ht="12" customHeight="1">
      <c r="A23" s="56" t="s">
        <v>3</v>
      </c>
      <c r="B23" s="3" t="s">
        <v>138</v>
      </c>
      <c r="C23" s="20"/>
      <c r="D23" s="14"/>
      <c r="E23" s="15" t="s">
        <v>73</v>
      </c>
      <c r="F23" s="55"/>
    </row>
    <row r="24" spans="1:6" ht="12" customHeight="1">
      <c r="A24" s="56" t="s">
        <v>3</v>
      </c>
      <c r="B24" s="119" t="s">
        <v>134</v>
      </c>
      <c r="C24" s="118" t="s">
        <v>135</v>
      </c>
      <c r="D24" s="116" t="s">
        <v>136</v>
      </c>
      <c r="E24" s="117" t="s">
        <v>137</v>
      </c>
      <c r="F24" s="55"/>
    </row>
    <row r="25" spans="1:6" ht="12" customHeight="1">
      <c r="A25" s="99" t="s">
        <v>111</v>
      </c>
      <c r="B25" s="43">
        <v>32.9</v>
      </c>
      <c r="C25" s="5">
        <v>3543.5</v>
      </c>
      <c r="D25" s="43">
        <v>31.7</v>
      </c>
      <c r="E25" s="43">
        <v>7042</v>
      </c>
      <c r="F25" s="100" t="s">
        <v>5</v>
      </c>
    </row>
    <row r="26" spans="1:6" s="11" customFormat="1" ht="9.75" customHeight="1">
      <c r="A26" s="47" t="s">
        <v>13</v>
      </c>
      <c r="B26" s="46">
        <v>24.8</v>
      </c>
      <c r="C26" s="6">
        <v>405.2</v>
      </c>
      <c r="D26" s="46">
        <v>24</v>
      </c>
      <c r="E26" s="46">
        <v>811.6</v>
      </c>
      <c r="F26" s="58" t="s">
        <v>12</v>
      </c>
    </row>
    <row r="27" spans="1:6" s="11" customFormat="1" ht="9.75" customHeight="1">
      <c r="A27" s="47" t="s">
        <v>15</v>
      </c>
      <c r="B27" s="46">
        <v>34</v>
      </c>
      <c r="C27" s="6">
        <v>323.8</v>
      </c>
      <c r="D27" s="46">
        <v>32.6</v>
      </c>
      <c r="E27" s="46">
        <v>647.5</v>
      </c>
      <c r="F27" s="58" t="s">
        <v>14</v>
      </c>
    </row>
    <row r="28" spans="1:6" ht="9.75" customHeight="1">
      <c r="A28" s="51" t="s">
        <v>75</v>
      </c>
      <c r="B28" s="50">
        <v>29.6</v>
      </c>
      <c r="C28" s="7">
        <v>53.2</v>
      </c>
      <c r="D28" s="50">
        <v>28.9</v>
      </c>
      <c r="E28" s="50">
        <v>107.2</v>
      </c>
      <c r="F28" s="48" t="s">
        <v>74</v>
      </c>
    </row>
    <row r="29" spans="1:6" ht="9.75" customHeight="1">
      <c r="A29" s="51" t="s">
        <v>77</v>
      </c>
      <c r="B29" s="50">
        <v>31.1</v>
      </c>
      <c r="C29" s="7">
        <v>38.9</v>
      </c>
      <c r="D29" s="50">
        <v>30.3</v>
      </c>
      <c r="E29" s="50">
        <v>78.8</v>
      </c>
      <c r="F29" s="48" t="s">
        <v>76</v>
      </c>
    </row>
    <row r="30" spans="1:6" ht="9.75" customHeight="1">
      <c r="A30" s="51" t="s">
        <v>79</v>
      </c>
      <c r="B30" s="50">
        <v>34.299999999999997</v>
      </c>
      <c r="C30" s="7">
        <v>116.9</v>
      </c>
      <c r="D30" s="50">
        <v>32.799999999999997</v>
      </c>
      <c r="E30" s="50">
        <v>232.2</v>
      </c>
      <c r="F30" s="48" t="s">
        <v>78</v>
      </c>
    </row>
    <row r="31" spans="1:6" ht="9.75" customHeight="1">
      <c r="A31" s="51" t="s">
        <v>81</v>
      </c>
      <c r="B31" s="50">
        <v>38.299999999999997</v>
      </c>
      <c r="C31" s="7">
        <v>102.6</v>
      </c>
      <c r="D31" s="50">
        <v>36.700000000000003</v>
      </c>
      <c r="E31" s="50">
        <v>204</v>
      </c>
      <c r="F31" s="48" t="s">
        <v>80</v>
      </c>
    </row>
    <row r="32" spans="1:6" ht="9.75" customHeight="1">
      <c r="A32" s="51" t="s">
        <v>83</v>
      </c>
      <c r="B32" s="50">
        <v>28.1</v>
      </c>
      <c r="C32" s="7">
        <v>12.2</v>
      </c>
      <c r="D32" s="50">
        <v>26.1</v>
      </c>
      <c r="E32" s="50">
        <v>25.3</v>
      </c>
      <c r="F32" s="48" t="s">
        <v>82</v>
      </c>
    </row>
    <row r="33" spans="1:6" s="11" customFormat="1" ht="9.75" customHeight="1">
      <c r="A33" s="47" t="s">
        <v>21</v>
      </c>
      <c r="B33" s="46">
        <v>38.1</v>
      </c>
      <c r="C33" s="6">
        <v>378.8</v>
      </c>
      <c r="D33" s="46">
        <v>36.700000000000003</v>
      </c>
      <c r="E33" s="46">
        <v>742.9</v>
      </c>
      <c r="F33" s="58" t="s">
        <v>20</v>
      </c>
    </row>
    <row r="34" spans="1:6" ht="9.75" customHeight="1">
      <c r="A34" s="51" t="s">
        <v>85</v>
      </c>
      <c r="B34" s="50">
        <v>40.799999999999997</v>
      </c>
      <c r="C34" s="7">
        <v>240.2</v>
      </c>
      <c r="D34" s="50">
        <v>38.799999999999997</v>
      </c>
      <c r="E34" s="50">
        <v>468.5</v>
      </c>
      <c r="F34" s="48" t="s">
        <v>84</v>
      </c>
    </row>
    <row r="35" spans="1:6" ht="9.75" customHeight="1">
      <c r="A35" s="51" t="s">
        <v>87</v>
      </c>
      <c r="B35" s="50">
        <v>34.200000000000003</v>
      </c>
      <c r="C35" s="7">
        <v>138.6</v>
      </c>
      <c r="D35" s="50">
        <v>33.200000000000003</v>
      </c>
      <c r="E35" s="50">
        <v>274.39999999999998</v>
      </c>
      <c r="F35" s="48" t="s">
        <v>86</v>
      </c>
    </row>
    <row r="36" spans="1:6" s="11" customFormat="1" ht="9.75" customHeight="1">
      <c r="A36" s="47" t="s">
        <v>27</v>
      </c>
      <c r="B36" s="46">
        <v>35.4</v>
      </c>
      <c r="C36" s="6">
        <v>1016.9</v>
      </c>
      <c r="D36" s="46">
        <v>34.299999999999997</v>
      </c>
      <c r="E36" s="46">
        <v>2015.9</v>
      </c>
      <c r="F36" s="52" t="s">
        <v>26</v>
      </c>
    </row>
    <row r="37" spans="1:6" ht="9.75" customHeight="1">
      <c r="A37" s="51" t="s">
        <v>89</v>
      </c>
      <c r="B37" s="50">
        <v>37</v>
      </c>
      <c r="C37" s="7">
        <v>187</v>
      </c>
      <c r="D37" s="50">
        <v>35.700000000000003</v>
      </c>
      <c r="E37" s="50">
        <v>371.5</v>
      </c>
      <c r="F37" s="48" t="s">
        <v>88</v>
      </c>
    </row>
    <row r="38" spans="1:6" ht="9.75" customHeight="1">
      <c r="A38" s="51" t="s">
        <v>91</v>
      </c>
      <c r="B38" s="50">
        <v>35.4</v>
      </c>
      <c r="C38" s="7">
        <v>369.3</v>
      </c>
      <c r="D38" s="50">
        <v>34.200000000000003</v>
      </c>
      <c r="E38" s="50">
        <v>728.4</v>
      </c>
      <c r="F38" s="48" t="s">
        <v>90</v>
      </c>
    </row>
    <row r="39" spans="1:6" ht="9.75" customHeight="1">
      <c r="A39" s="51" t="s">
        <v>93</v>
      </c>
      <c r="B39" s="50">
        <v>32.299999999999997</v>
      </c>
      <c r="C39" s="7">
        <v>157.69999999999999</v>
      </c>
      <c r="D39" s="50">
        <v>31.3</v>
      </c>
      <c r="E39" s="50">
        <v>316.7</v>
      </c>
      <c r="F39" s="48" t="s">
        <v>92</v>
      </c>
    </row>
    <row r="40" spans="1:6" ht="9.75" customHeight="1">
      <c r="A40" s="51" t="s">
        <v>95</v>
      </c>
      <c r="B40" s="50">
        <v>36.200000000000003</v>
      </c>
      <c r="C40" s="7">
        <v>302.89999999999998</v>
      </c>
      <c r="D40" s="50">
        <v>35.1</v>
      </c>
      <c r="E40" s="50">
        <v>599.29999999999995</v>
      </c>
      <c r="F40" s="48" t="s">
        <v>94</v>
      </c>
    </row>
    <row r="41" spans="1:6" s="11" customFormat="1" ht="9.75" customHeight="1">
      <c r="A41" s="47" t="s">
        <v>31</v>
      </c>
      <c r="B41" s="46">
        <v>36.200000000000003</v>
      </c>
      <c r="C41" s="6">
        <v>692.6</v>
      </c>
      <c r="D41" s="46">
        <v>35.1</v>
      </c>
      <c r="E41" s="46">
        <v>1370.3</v>
      </c>
      <c r="F41" s="45" t="s">
        <v>30</v>
      </c>
    </row>
    <row r="42" spans="1:6" s="11" customFormat="1" ht="9.75" customHeight="1">
      <c r="A42" s="47" t="s">
        <v>33</v>
      </c>
      <c r="B42" s="46">
        <v>31.9</v>
      </c>
      <c r="C42" s="6">
        <v>497.7</v>
      </c>
      <c r="D42" s="46">
        <v>30.9</v>
      </c>
      <c r="E42" s="46">
        <v>991.7</v>
      </c>
      <c r="F42" s="52" t="s">
        <v>32</v>
      </c>
    </row>
    <row r="43" spans="1:6" ht="9.75" customHeight="1">
      <c r="A43" s="51" t="s">
        <v>70</v>
      </c>
      <c r="B43" s="50">
        <v>32</v>
      </c>
      <c r="C43" s="7">
        <v>266.8</v>
      </c>
      <c r="D43" s="50">
        <v>31</v>
      </c>
      <c r="E43" s="50">
        <v>529.79999999999995</v>
      </c>
      <c r="F43" s="53" t="s">
        <v>96</v>
      </c>
    </row>
    <row r="44" spans="1:6" ht="9.75" customHeight="1">
      <c r="A44" s="51" t="s">
        <v>72</v>
      </c>
      <c r="B44" s="50">
        <v>31.8</v>
      </c>
      <c r="C44" s="7">
        <v>230.9</v>
      </c>
      <c r="D44" s="50">
        <v>30.9</v>
      </c>
      <c r="E44" s="50">
        <v>461.9</v>
      </c>
      <c r="F44" s="48" t="s">
        <v>97</v>
      </c>
    </row>
    <row r="45" spans="1:6" s="11" customFormat="1" ht="9.75" customHeight="1">
      <c r="A45" s="47" t="s">
        <v>119</v>
      </c>
      <c r="B45" s="46">
        <v>19.3</v>
      </c>
      <c r="C45" s="6">
        <v>228.4</v>
      </c>
      <c r="D45" s="46">
        <v>19</v>
      </c>
      <c r="E45" s="46">
        <v>462</v>
      </c>
      <c r="F45" s="45" t="s">
        <v>128</v>
      </c>
    </row>
    <row r="46" spans="1:6" ht="12.75" customHeight="1">
      <c r="A46" s="92"/>
      <c r="B46" s="38"/>
      <c r="C46" s="38"/>
      <c r="D46" s="38"/>
      <c r="E46" s="38"/>
      <c r="F46" s="38"/>
    </row>
    <row r="47" spans="1:6" ht="12.75" customHeight="1">
      <c r="A47" s="88" t="s">
        <v>151</v>
      </c>
      <c r="B47" s="86"/>
      <c r="C47" s="86"/>
      <c r="D47" s="86"/>
      <c r="E47" s="86"/>
      <c r="F47" s="87" t="s">
        <v>152</v>
      </c>
    </row>
    <row r="48" spans="1:6" ht="12.75" customHeight="1">
      <c r="A48" s="88"/>
      <c r="B48" s="86"/>
      <c r="C48" s="86"/>
      <c r="D48" s="86"/>
      <c r="E48" s="86"/>
      <c r="F48" s="87"/>
    </row>
    <row r="49" ht="3" customHeight="1"/>
  </sheetData>
  <sheetProtection formatCells="0" selectLockedCells="1"/>
  <phoneticPr fontId="0" type="noConversion"/>
  <printOptions horizontalCentered="1" gridLinesSet="0"/>
  <pageMargins left="0.78740157480314998" right="0.78740157480314998" top="0.90551181102362199" bottom="0.78740157480314998" header="0.70866141732283505" footer="0.59055118110236204"/>
  <pageSetup paperSize="9" firstPageNumber="114" orientation="portrait" r:id="rId1"/>
  <headerFooter scaleWithDoc="0">
    <oddHeader>&amp;L&amp;"Arial,Italic"&amp;7CBS, CENTRAL BUREAU OF STATISTICS&amp;R&amp;"Arial,Italic"&amp;10למ''ס, הלשכה המרכזית לסטטיסטיקה</oddHeader>
    <oddFooter>&amp;C&amp;"Arial,Regular"&amp;8-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A24" transitionEvaluation="1" codeName="גיליון1"/>
  <dimension ref="A1:F64"/>
  <sheetViews>
    <sheetView showGridLines="0" topLeftCell="A24" zoomScale="112" zoomScaleNormal="100" workbookViewId="0">
      <selection activeCell="A58" sqref="A58"/>
    </sheetView>
  </sheetViews>
  <sheetFormatPr defaultColWidth="12.6640625" defaultRowHeight="15"/>
  <cols>
    <col min="1" max="1" width="13.6640625" style="2" customWidth="1"/>
    <col min="2" max="3" width="4.4140625" style="2" customWidth="1"/>
    <col min="4" max="5" width="4.6640625" style="2" customWidth="1"/>
    <col min="6" max="6" width="10.9140625" style="2" customWidth="1"/>
    <col min="7" max="16384" width="12.6640625" style="2"/>
  </cols>
  <sheetData>
    <row r="1" spans="1:6" s="4" customFormat="1" ht="21" customHeight="1">
      <c r="A1" s="67" t="s">
        <v>114</v>
      </c>
      <c r="B1" s="66"/>
      <c r="C1" s="67"/>
      <c r="D1" s="65" t="s">
        <v>102</v>
      </c>
      <c r="E1" s="21"/>
      <c r="F1" s="65"/>
    </row>
    <row r="2" spans="1:6" s="4" customFormat="1" ht="15" customHeight="1">
      <c r="A2" s="67" t="s">
        <v>112</v>
      </c>
      <c r="B2" s="66"/>
      <c r="C2" s="67"/>
      <c r="D2" s="65" t="s">
        <v>113</v>
      </c>
      <c r="E2" s="66"/>
      <c r="F2" s="65"/>
    </row>
    <row r="3" spans="1:6" s="4" customFormat="1" ht="18" customHeight="1">
      <c r="A3" s="90" t="s">
        <v>1</v>
      </c>
      <c r="C3" s="103"/>
      <c r="D3" s="104" t="s">
        <v>148</v>
      </c>
      <c r="E3" s="21"/>
      <c r="F3" s="91" t="s">
        <v>0</v>
      </c>
    </row>
    <row r="4" spans="1:6" ht="9.75" customHeight="1">
      <c r="A4" s="8"/>
      <c r="B4" s="29" t="s">
        <v>4</v>
      </c>
      <c r="C4" s="31" t="s">
        <v>2</v>
      </c>
      <c r="D4" s="29" t="s">
        <v>4</v>
      </c>
      <c r="E4" s="27"/>
      <c r="F4" s="26"/>
    </row>
    <row r="5" spans="1:6" ht="9.75" customHeight="1">
      <c r="A5" s="32"/>
      <c r="B5" s="107" t="s">
        <v>2</v>
      </c>
      <c r="C5" s="30" t="s">
        <v>5</v>
      </c>
      <c r="D5" s="28" t="s">
        <v>2</v>
      </c>
      <c r="E5" s="13"/>
      <c r="F5" s="115"/>
    </row>
    <row r="6" spans="1:6" ht="9.75" customHeight="1">
      <c r="A6" s="32" t="s">
        <v>100</v>
      </c>
      <c r="B6" s="108" t="s">
        <v>118</v>
      </c>
      <c r="C6" s="106"/>
      <c r="D6" s="105" t="s">
        <v>118</v>
      </c>
      <c r="E6" s="13" t="s">
        <v>5</v>
      </c>
      <c r="F6" s="115" t="s">
        <v>99</v>
      </c>
    </row>
    <row r="7" spans="1:6" ht="9.75" customHeight="1">
      <c r="A7" s="9" t="s">
        <v>106</v>
      </c>
      <c r="B7" s="35" t="s">
        <v>7</v>
      </c>
      <c r="C7" s="34" t="s">
        <v>6</v>
      </c>
      <c r="D7" s="35" t="s">
        <v>7</v>
      </c>
      <c r="E7" s="1" t="s">
        <v>6</v>
      </c>
      <c r="F7" s="33"/>
    </row>
    <row r="8" spans="1:6" ht="9.75" customHeight="1">
      <c r="A8" s="42" t="s">
        <v>3</v>
      </c>
      <c r="B8" s="123" t="s">
        <v>117</v>
      </c>
      <c r="C8" s="37"/>
      <c r="D8" s="36" t="s">
        <v>117</v>
      </c>
      <c r="E8" s="10"/>
      <c r="F8" s="33"/>
    </row>
    <row r="9" spans="1:6" s="4" customFormat="1" ht="11.25" customHeight="1">
      <c r="A9" s="69"/>
      <c r="B9" s="119" t="s">
        <v>139</v>
      </c>
      <c r="C9" s="118" t="s">
        <v>10</v>
      </c>
      <c r="D9" s="116" t="s">
        <v>9</v>
      </c>
      <c r="E9" s="117" t="s">
        <v>8</v>
      </c>
      <c r="F9" s="68"/>
    </row>
    <row r="10" spans="1:6" s="4" customFormat="1" ht="11.25" customHeight="1">
      <c r="A10" s="101" t="s">
        <v>11</v>
      </c>
      <c r="B10" s="43">
        <v>23.9</v>
      </c>
      <c r="C10" s="5">
        <v>851.9</v>
      </c>
      <c r="D10" s="43">
        <v>23.5</v>
      </c>
      <c r="E10" s="43">
        <v>1728.1</v>
      </c>
      <c r="F10" s="57" t="s">
        <v>5</v>
      </c>
    </row>
    <row r="11" spans="1:6" s="11" customFormat="1" ht="9" customHeight="1">
      <c r="A11" s="72" t="s">
        <v>13</v>
      </c>
      <c r="B11" s="71">
        <v>23</v>
      </c>
      <c r="C11" s="16">
        <v>188.9</v>
      </c>
      <c r="D11" s="71">
        <v>22.4</v>
      </c>
      <c r="E11" s="71">
        <v>380.3</v>
      </c>
      <c r="F11" s="70" t="s">
        <v>12</v>
      </c>
    </row>
    <row r="12" spans="1:6" s="11" customFormat="1" ht="9" customHeight="1">
      <c r="A12" s="72" t="s">
        <v>15</v>
      </c>
      <c r="B12" s="71">
        <v>26.7</v>
      </c>
      <c r="C12" s="16">
        <v>293.8</v>
      </c>
      <c r="D12" s="71">
        <v>26.4</v>
      </c>
      <c r="E12" s="71">
        <v>597.29999999999995</v>
      </c>
      <c r="F12" s="70" t="s">
        <v>14</v>
      </c>
    </row>
    <row r="13" spans="1:6" s="4" customFormat="1" ht="9" customHeight="1">
      <c r="A13" s="61" t="s">
        <v>17</v>
      </c>
      <c r="B13" s="50">
        <v>26.3</v>
      </c>
      <c r="C13" s="7">
        <v>125.6</v>
      </c>
      <c r="D13" s="50">
        <v>26</v>
      </c>
      <c r="E13" s="50">
        <v>255.6</v>
      </c>
      <c r="F13" s="60" t="s">
        <v>16</v>
      </c>
    </row>
    <row r="14" spans="1:6" s="4" customFormat="1" ht="9" customHeight="1">
      <c r="A14" s="61" t="s">
        <v>19</v>
      </c>
      <c r="B14" s="50">
        <v>27</v>
      </c>
      <c r="C14" s="7">
        <v>155.4</v>
      </c>
      <c r="D14" s="50">
        <v>26.6</v>
      </c>
      <c r="E14" s="50">
        <v>315.39999999999998</v>
      </c>
      <c r="F14" s="60" t="s">
        <v>18</v>
      </c>
    </row>
    <row r="15" spans="1:6" s="11" customFormat="1" ht="9" customHeight="1">
      <c r="A15" s="72" t="s">
        <v>21</v>
      </c>
      <c r="B15" s="71">
        <v>26.2</v>
      </c>
      <c r="C15" s="16">
        <v>114.9</v>
      </c>
      <c r="D15" s="71">
        <v>25.9</v>
      </c>
      <c r="E15" s="71">
        <v>233.1</v>
      </c>
      <c r="F15" s="70" t="s">
        <v>20</v>
      </c>
    </row>
    <row r="16" spans="1:6" s="11" customFormat="1" ht="9" customHeight="1">
      <c r="A16" s="61" t="s">
        <v>23</v>
      </c>
      <c r="B16" s="50">
        <v>28.1</v>
      </c>
      <c r="C16" s="7">
        <v>12.2</v>
      </c>
      <c r="D16" s="50">
        <v>27.8</v>
      </c>
      <c r="E16" s="50">
        <v>24.3</v>
      </c>
      <c r="F16" s="62" t="s">
        <v>22</v>
      </c>
    </row>
    <row r="17" spans="1:6" s="4" customFormat="1" ht="9" customHeight="1">
      <c r="A17" s="61" t="s">
        <v>25</v>
      </c>
      <c r="B17" s="50">
        <v>26</v>
      </c>
      <c r="C17" s="7">
        <v>102.7</v>
      </c>
      <c r="D17" s="50">
        <v>25.7</v>
      </c>
      <c r="E17" s="50">
        <v>208.7</v>
      </c>
      <c r="F17" s="62" t="s">
        <v>24</v>
      </c>
    </row>
    <row r="18" spans="1:6" s="11" customFormat="1" ht="9" customHeight="1">
      <c r="A18" s="72" t="s">
        <v>27</v>
      </c>
      <c r="B18" s="71">
        <v>24.9</v>
      </c>
      <c r="C18" s="16">
        <v>91.6</v>
      </c>
      <c r="D18" s="71">
        <v>24.8</v>
      </c>
      <c r="E18" s="71">
        <v>187.2</v>
      </c>
      <c r="F18" s="70" t="s">
        <v>26</v>
      </c>
    </row>
    <row r="19" spans="1:6" s="11" customFormat="1" ht="9" customHeight="1">
      <c r="A19" s="61" t="s">
        <v>29</v>
      </c>
      <c r="B19" s="50">
        <v>26.6</v>
      </c>
      <c r="C19" s="7">
        <v>52</v>
      </c>
      <c r="D19" s="50">
        <v>26.2</v>
      </c>
      <c r="E19" s="50">
        <v>105.9</v>
      </c>
      <c r="F19" s="60" t="s">
        <v>28</v>
      </c>
    </row>
    <row r="20" spans="1:6" s="11" customFormat="1" ht="9" customHeight="1">
      <c r="A20" s="72" t="s">
        <v>31</v>
      </c>
      <c r="B20" s="71">
        <v>24.1</v>
      </c>
      <c r="C20" s="16">
        <v>9.9</v>
      </c>
      <c r="D20" s="71">
        <v>26.6</v>
      </c>
      <c r="E20" s="71">
        <v>21.5</v>
      </c>
      <c r="F20" s="70" t="s">
        <v>30</v>
      </c>
    </row>
    <row r="21" spans="1:6" s="11" customFormat="1" ht="9" customHeight="1">
      <c r="A21" s="72" t="s">
        <v>33</v>
      </c>
      <c r="B21" s="71">
        <v>18.2</v>
      </c>
      <c r="C21" s="16">
        <v>152.4</v>
      </c>
      <c r="D21" s="71">
        <v>17.8</v>
      </c>
      <c r="E21" s="71">
        <v>308</v>
      </c>
      <c r="F21" s="70" t="s">
        <v>32</v>
      </c>
    </row>
    <row r="22" spans="1:6" s="4" customFormat="1" ht="9" customHeight="1">
      <c r="A22" s="61" t="s">
        <v>35</v>
      </c>
      <c r="B22" s="50">
        <v>18.2</v>
      </c>
      <c r="C22" s="7">
        <v>151.9</v>
      </c>
      <c r="D22" s="50">
        <v>17.7</v>
      </c>
      <c r="E22" s="50">
        <v>306.39999999999998</v>
      </c>
      <c r="F22" s="60" t="s">
        <v>34</v>
      </c>
    </row>
    <row r="23" spans="1:6" s="4" customFormat="1" ht="11.25" customHeight="1">
      <c r="A23" s="74"/>
      <c r="B23" s="119" t="s">
        <v>140</v>
      </c>
      <c r="C23" s="118" t="s">
        <v>37</v>
      </c>
      <c r="D23" s="116" t="s">
        <v>36</v>
      </c>
      <c r="E23" s="117" t="s">
        <v>103</v>
      </c>
      <c r="F23" s="73"/>
    </row>
    <row r="24" spans="1:6" s="4" customFormat="1" ht="11.25" customHeight="1">
      <c r="A24" s="101" t="s">
        <v>11</v>
      </c>
      <c r="B24" s="43">
        <v>35</v>
      </c>
      <c r="C24" s="5">
        <v>69.900000000000006</v>
      </c>
      <c r="D24" s="43">
        <v>34</v>
      </c>
      <c r="E24" s="43">
        <v>139.30000000000001</v>
      </c>
      <c r="F24" s="57" t="s">
        <v>5</v>
      </c>
    </row>
    <row r="25" spans="1:6" s="4" customFormat="1" ht="9" customHeight="1">
      <c r="A25" s="64" t="s">
        <v>39</v>
      </c>
      <c r="B25" s="75"/>
      <c r="C25" s="93"/>
      <c r="D25" s="76"/>
      <c r="E25" s="93"/>
      <c r="F25" s="94" t="s">
        <v>38</v>
      </c>
    </row>
    <row r="26" spans="1:6" s="11" customFormat="1" ht="9" customHeight="1">
      <c r="A26" s="72" t="s">
        <v>41</v>
      </c>
      <c r="B26" s="71">
        <v>37.5</v>
      </c>
      <c r="C26" s="6">
        <v>6.9</v>
      </c>
      <c r="D26" s="71">
        <v>35.9</v>
      </c>
      <c r="E26" s="110">
        <v>13.1</v>
      </c>
      <c r="F26" s="114" t="s">
        <v>40</v>
      </c>
    </row>
    <row r="27" spans="1:6" s="11" customFormat="1" ht="9" customHeight="1">
      <c r="A27" s="72" t="s">
        <v>43</v>
      </c>
      <c r="B27" s="71">
        <v>34.6</v>
      </c>
      <c r="C27" s="6">
        <v>48.8</v>
      </c>
      <c r="D27" s="71">
        <v>33.6</v>
      </c>
      <c r="E27" s="110">
        <v>97.8</v>
      </c>
      <c r="F27" s="77" t="s">
        <v>42</v>
      </c>
    </row>
    <row r="28" spans="1:6" s="4" customFormat="1" ht="9" customHeight="1">
      <c r="A28" s="61" t="s">
        <v>45</v>
      </c>
      <c r="B28" s="78">
        <v>35.700000000000003</v>
      </c>
      <c r="C28" s="19">
        <v>20.100000000000001</v>
      </c>
      <c r="D28" s="78">
        <v>34.1</v>
      </c>
      <c r="E28" s="49">
        <v>40</v>
      </c>
      <c r="F28" s="60" t="s">
        <v>44</v>
      </c>
    </row>
    <row r="29" spans="1:6" s="4" customFormat="1" ht="9" customHeight="1">
      <c r="A29" s="61" t="s">
        <v>47</v>
      </c>
      <c r="B29" s="50">
        <v>34.799999999999997</v>
      </c>
      <c r="C29" s="19">
        <v>23</v>
      </c>
      <c r="D29" s="50">
        <v>33.9</v>
      </c>
      <c r="E29" s="78">
        <v>46.2</v>
      </c>
      <c r="F29" s="60" t="s">
        <v>46</v>
      </c>
    </row>
    <row r="30" spans="1:6" s="11" customFormat="1" ht="9" customHeight="1">
      <c r="A30" s="72" t="s">
        <v>49</v>
      </c>
      <c r="B30" s="79">
        <v>35.700000000000003</v>
      </c>
      <c r="C30" s="16">
        <v>9.5</v>
      </c>
      <c r="D30" s="79">
        <v>35</v>
      </c>
      <c r="E30" s="71">
        <v>18.899999999999999</v>
      </c>
      <c r="F30" s="77" t="s">
        <v>48</v>
      </c>
    </row>
    <row r="31" spans="1:6" s="11" customFormat="1" ht="9" customHeight="1">
      <c r="A31" s="72" t="s">
        <v>51</v>
      </c>
      <c r="B31" s="71">
        <v>33.299999999999997</v>
      </c>
      <c r="C31" s="17">
        <v>2.4</v>
      </c>
      <c r="D31" s="71">
        <v>32.9</v>
      </c>
      <c r="E31" s="79">
        <v>4.7</v>
      </c>
      <c r="F31" s="77" t="s">
        <v>50</v>
      </c>
    </row>
    <row r="32" spans="1:6" s="11" customFormat="1" ht="9" customHeight="1">
      <c r="A32" s="72" t="s">
        <v>53</v>
      </c>
      <c r="B32" s="71">
        <v>31.2</v>
      </c>
      <c r="C32" s="17">
        <v>1.9</v>
      </c>
      <c r="D32" s="71">
        <v>31</v>
      </c>
      <c r="E32" s="79">
        <v>3.9</v>
      </c>
      <c r="F32" s="77" t="s">
        <v>52</v>
      </c>
    </row>
    <row r="33" spans="1:6" s="4" customFormat="1" ht="11.25" customHeight="1">
      <c r="A33" s="74"/>
      <c r="B33" s="119" t="s">
        <v>142</v>
      </c>
      <c r="C33" s="118" t="s">
        <v>144</v>
      </c>
      <c r="D33" s="116" t="s">
        <v>54</v>
      </c>
      <c r="E33" s="117" t="s">
        <v>141</v>
      </c>
      <c r="F33" s="80"/>
    </row>
    <row r="34" spans="1:6" s="4" customFormat="1" ht="11.25" customHeight="1">
      <c r="A34" s="101" t="s">
        <v>11</v>
      </c>
      <c r="B34" s="43">
        <v>30.3</v>
      </c>
      <c r="C34" s="5">
        <v>73.3</v>
      </c>
      <c r="D34" s="43">
        <v>29.9</v>
      </c>
      <c r="E34" s="43">
        <v>149.4</v>
      </c>
      <c r="F34" s="57" t="s">
        <v>5</v>
      </c>
    </row>
    <row r="35" spans="1:6" s="4" customFormat="1" ht="9" customHeight="1">
      <c r="A35" s="64" t="s">
        <v>39</v>
      </c>
      <c r="B35" s="75"/>
      <c r="C35" s="93"/>
      <c r="D35" s="76"/>
      <c r="E35" s="93"/>
      <c r="F35" s="94" t="s">
        <v>55</v>
      </c>
    </row>
    <row r="36" spans="1:6" s="11" customFormat="1" ht="9" customHeight="1">
      <c r="A36" s="72" t="s">
        <v>43</v>
      </c>
      <c r="B36" s="71">
        <v>29.8</v>
      </c>
      <c r="C36" s="109">
        <v>59</v>
      </c>
      <c r="D36" s="71">
        <v>29.5</v>
      </c>
      <c r="E36" s="110">
        <v>120.3</v>
      </c>
      <c r="F36" s="77" t="s">
        <v>42</v>
      </c>
    </row>
    <row r="37" spans="1:6" s="4" customFormat="1" ht="9" customHeight="1">
      <c r="A37" s="61" t="s">
        <v>57</v>
      </c>
      <c r="B37" s="50">
        <v>29.4</v>
      </c>
      <c r="C37" s="19">
        <v>39.9</v>
      </c>
      <c r="D37" s="50">
        <v>29.1</v>
      </c>
      <c r="E37" s="78">
        <v>81.2</v>
      </c>
      <c r="F37" s="60" t="s">
        <v>56</v>
      </c>
    </row>
    <row r="38" spans="1:6" s="4" customFormat="1" ht="9" customHeight="1">
      <c r="A38" s="61" t="s">
        <v>59</v>
      </c>
      <c r="B38" s="50">
        <v>31.2</v>
      </c>
      <c r="C38" s="7">
        <v>11.9</v>
      </c>
      <c r="D38" s="50">
        <v>30.7</v>
      </c>
      <c r="E38" s="50">
        <v>24.2</v>
      </c>
      <c r="F38" s="60" t="s">
        <v>58</v>
      </c>
    </row>
    <row r="39" spans="1:6" s="11" customFormat="1" ht="9" customHeight="1">
      <c r="A39" s="72" t="s">
        <v>49</v>
      </c>
      <c r="B39" s="71">
        <v>33.299999999999997</v>
      </c>
      <c r="C39" s="17">
        <v>13.7</v>
      </c>
      <c r="D39" s="71">
        <v>32.5</v>
      </c>
      <c r="E39" s="79">
        <v>27.8</v>
      </c>
      <c r="F39" s="77" t="s">
        <v>48</v>
      </c>
    </row>
    <row r="40" spans="1:6" s="4" customFormat="1" ht="9" customHeight="1">
      <c r="A40" s="61" t="s">
        <v>108</v>
      </c>
      <c r="B40" s="50">
        <v>33.299999999999997</v>
      </c>
      <c r="C40" s="19">
        <v>13.7</v>
      </c>
      <c r="D40" s="50">
        <v>32.5</v>
      </c>
      <c r="E40" s="78">
        <v>27.8</v>
      </c>
      <c r="F40" s="60" t="s">
        <v>60</v>
      </c>
    </row>
    <row r="41" spans="1:6" s="4" customFormat="1" ht="11.25" customHeight="1">
      <c r="A41" s="74"/>
      <c r="B41" s="119" t="s">
        <v>143</v>
      </c>
      <c r="C41" s="118" t="s">
        <v>107</v>
      </c>
      <c r="D41" s="116" t="s">
        <v>105</v>
      </c>
      <c r="E41" s="117" t="s">
        <v>104</v>
      </c>
      <c r="F41" s="81"/>
    </row>
    <row r="42" spans="1:6" s="4" customFormat="1" ht="11.25" customHeight="1">
      <c r="A42" s="101" t="s">
        <v>11</v>
      </c>
      <c r="B42" s="43">
        <v>40</v>
      </c>
      <c r="C42" s="5">
        <v>243.1</v>
      </c>
      <c r="D42" s="43">
        <v>37.6</v>
      </c>
      <c r="E42" s="43">
        <v>452.1</v>
      </c>
      <c r="F42" s="57" t="s">
        <v>5</v>
      </c>
    </row>
    <row r="43" spans="1:6" s="11" customFormat="1" ht="9" customHeight="1">
      <c r="A43" s="72" t="s">
        <v>13</v>
      </c>
      <c r="B43" s="71">
        <v>40.1</v>
      </c>
      <c r="C43" s="16">
        <v>8.1</v>
      </c>
      <c r="D43" s="71">
        <v>37.9</v>
      </c>
      <c r="E43" s="71">
        <v>15.2</v>
      </c>
      <c r="F43" s="70" t="s">
        <v>12</v>
      </c>
    </row>
    <row r="44" spans="1:6" s="11" customFormat="1" ht="9" customHeight="1">
      <c r="A44" s="72" t="s">
        <v>15</v>
      </c>
      <c r="B44" s="71">
        <v>40.5</v>
      </c>
      <c r="C44" s="16">
        <v>29.5</v>
      </c>
      <c r="D44" s="71">
        <v>37.4</v>
      </c>
      <c r="E44" s="71">
        <v>55.6</v>
      </c>
      <c r="F44" s="70" t="s">
        <v>14</v>
      </c>
    </row>
    <row r="45" spans="1:6" s="4" customFormat="1" ht="9" customHeight="1">
      <c r="A45" s="64" t="s">
        <v>62</v>
      </c>
      <c r="B45" s="50">
        <v>40.4</v>
      </c>
      <c r="C45" s="7">
        <v>14.2</v>
      </c>
      <c r="D45" s="50">
        <v>37.9</v>
      </c>
      <c r="E45" s="50">
        <v>26.7</v>
      </c>
      <c r="F45" s="60" t="s">
        <v>61</v>
      </c>
    </row>
    <row r="46" spans="1:6" s="11" customFormat="1" ht="9" customHeight="1">
      <c r="A46" s="72" t="s">
        <v>21</v>
      </c>
      <c r="B46" s="71">
        <v>39.700000000000003</v>
      </c>
      <c r="C46" s="16">
        <v>41.6</v>
      </c>
      <c r="D46" s="71">
        <v>37.4</v>
      </c>
      <c r="E46" s="71">
        <v>77.099999999999994</v>
      </c>
      <c r="F46" s="70" t="s">
        <v>20</v>
      </c>
    </row>
    <row r="47" spans="1:6" s="4" customFormat="1" ht="9" customHeight="1">
      <c r="A47" s="64" t="s">
        <v>109</v>
      </c>
      <c r="B47" s="50">
        <v>40</v>
      </c>
      <c r="C47" s="7">
        <v>33.4</v>
      </c>
      <c r="D47" s="50">
        <v>37.700000000000003</v>
      </c>
      <c r="E47" s="50">
        <v>61.8</v>
      </c>
      <c r="F47" s="60" t="s">
        <v>63</v>
      </c>
    </row>
    <row r="48" spans="1:6" s="11" customFormat="1" ht="9" customHeight="1">
      <c r="A48" s="72" t="s">
        <v>27</v>
      </c>
      <c r="B48" s="71">
        <v>40.4</v>
      </c>
      <c r="C48" s="16">
        <v>59.6</v>
      </c>
      <c r="D48" s="71">
        <v>38.1</v>
      </c>
      <c r="E48" s="71">
        <v>110.3</v>
      </c>
      <c r="F48" s="70" t="s">
        <v>26</v>
      </c>
    </row>
    <row r="49" spans="1:6" s="4" customFormat="1" ht="9" customHeight="1">
      <c r="A49" s="64" t="s">
        <v>64</v>
      </c>
      <c r="B49" s="50">
        <v>40.200000000000003</v>
      </c>
      <c r="C49" s="7">
        <v>14.3</v>
      </c>
      <c r="D49" s="50">
        <v>37.799999999999997</v>
      </c>
      <c r="E49" s="50">
        <v>26.5</v>
      </c>
      <c r="F49" s="60" t="s">
        <v>28</v>
      </c>
    </row>
    <row r="50" spans="1:6" s="4" customFormat="1" ht="9" customHeight="1">
      <c r="A50" s="64" t="s">
        <v>66</v>
      </c>
      <c r="B50" s="50">
        <v>40.1</v>
      </c>
      <c r="C50" s="7">
        <v>17.5</v>
      </c>
      <c r="D50" s="50">
        <v>38.1</v>
      </c>
      <c r="E50" s="50">
        <v>32.1</v>
      </c>
      <c r="F50" s="60" t="s">
        <v>65</v>
      </c>
    </row>
    <row r="51" spans="1:6" s="4" customFormat="1" ht="9" customHeight="1">
      <c r="A51" s="61" t="s">
        <v>68</v>
      </c>
      <c r="B51" s="50">
        <v>40.4</v>
      </c>
      <c r="C51" s="7">
        <v>20.8</v>
      </c>
      <c r="D51" s="50">
        <v>38.200000000000003</v>
      </c>
      <c r="E51" s="50">
        <v>38.4</v>
      </c>
      <c r="F51" s="60" t="s">
        <v>67</v>
      </c>
    </row>
    <row r="52" spans="1:6" s="11" customFormat="1" ht="9" customHeight="1">
      <c r="A52" s="82" t="s">
        <v>31</v>
      </c>
      <c r="B52" s="71">
        <v>38.9</v>
      </c>
      <c r="C52" s="16">
        <v>48</v>
      </c>
      <c r="D52" s="71">
        <v>37.1</v>
      </c>
      <c r="E52" s="71">
        <v>88.5</v>
      </c>
      <c r="F52" s="70" t="s">
        <v>30</v>
      </c>
    </row>
    <row r="53" spans="1:6" s="11" customFormat="1" ht="9" customHeight="1">
      <c r="A53" s="72" t="s">
        <v>33</v>
      </c>
      <c r="B53" s="71">
        <v>40.799999999999997</v>
      </c>
      <c r="C53" s="16">
        <v>51.8</v>
      </c>
      <c r="D53" s="71">
        <v>37.9</v>
      </c>
      <c r="E53" s="71">
        <v>96.9</v>
      </c>
      <c r="F53" s="70" t="s">
        <v>32</v>
      </c>
    </row>
    <row r="54" spans="1:6" s="4" customFormat="1" ht="9" customHeight="1">
      <c r="A54" s="61" t="s">
        <v>70</v>
      </c>
      <c r="B54" s="50">
        <v>41.7</v>
      </c>
      <c r="C54" s="7">
        <v>27.7</v>
      </c>
      <c r="D54" s="50">
        <v>38.9</v>
      </c>
      <c r="E54" s="50">
        <v>51.5</v>
      </c>
      <c r="F54" s="62" t="s">
        <v>69</v>
      </c>
    </row>
    <row r="55" spans="1:6" s="4" customFormat="1" ht="9" customHeight="1">
      <c r="A55" s="85" t="s">
        <v>72</v>
      </c>
      <c r="B55" s="84">
        <v>39.700000000000003</v>
      </c>
      <c r="C55" s="18">
        <v>24.1</v>
      </c>
      <c r="D55" s="84">
        <v>36.700000000000003</v>
      </c>
      <c r="E55" s="84">
        <v>45.4</v>
      </c>
      <c r="F55" s="83" t="s">
        <v>71</v>
      </c>
    </row>
    <row r="56" spans="1:6" ht="9" customHeight="1">
      <c r="A56" s="98" t="s">
        <v>115</v>
      </c>
      <c r="B56" s="92"/>
      <c r="C56" s="92"/>
      <c r="D56" s="92"/>
      <c r="E56" s="92"/>
      <c r="F56" s="97" t="s">
        <v>116</v>
      </c>
    </row>
    <row r="57" spans="1:6" ht="9" customHeight="1">
      <c r="A57" s="95" t="s">
        <v>127</v>
      </c>
      <c r="F57" s="96" t="s">
        <v>126</v>
      </c>
    </row>
    <row r="58" spans="1:6" ht="9" customHeight="1">
      <c r="A58" s="95" t="s">
        <v>149</v>
      </c>
      <c r="F58" s="96" t="s">
        <v>150</v>
      </c>
    </row>
    <row r="59" spans="1:6" ht="9" customHeight="1">
      <c r="A59" s="95" t="s">
        <v>130</v>
      </c>
      <c r="F59" s="96" t="s">
        <v>131</v>
      </c>
    </row>
    <row r="60" spans="1:6" ht="9" customHeight="1">
      <c r="A60" s="112" t="s">
        <v>145</v>
      </c>
      <c r="F60" s="111" t="s">
        <v>146</v>
      </c>
    </row>
    <row r="61" spans="1:6" ht="12.75" customHeight="1">
      <c r="A61" s="89"/>
    </row>
    <row r="62" spans="1:6" ht="12.75" customHeight="1">
      <c r="A62" s="88" t="s">
        <v>151</v>
      </c>
      <c r="B62" s="86"/>
      <c r="C62" s="86"/>
      <c r="D62" s="86"/>
      <c r="E62" s="86"/>
      <c r="F62" s="87" t="s">
        <v>152</v>
      </c>
    </row>
    <row r="63" spans="1:6" ht="12.75" customHeight="1">
      <c r="A63" s="88"/>
      <c r="B63" s="86"/>
      <c r="C63" s="86"/>
      <c r="D63" s="86"/>
      <c r="E63" s="86"/>
      <c r="F63" s="87"/>
    </row>
    <row r="64" spans="1:6" ht="3" customHeight="1"/>
  </sheetData>
  <sheetProtection formatCells="0" selectLockedCells="1"/>
  <phoneticPr fontId="0" type="noConversion"/>
  <printOptions horizontalCentered="1" gridLinesSet="0"/>
  <pageMargins left="0.78740157480314998" right="0.78740157480314998" top="0.90551181102362199" bottom="0.78740157480314998" header="0.70866141732283505" footer="0.59055118110236204"/>
  <pageSetup paperSize="9" firstPageNumber="116" orientation="portrait" r:id="rId1"/>
  <headerFooter scaleWithDoc="0">
    <oddHeader>&amp;L&amp;"Arial,Italic"&amp;7CBS, CENTRAL BUREAU OF STATISTICS&amp;R&amp;"Arial,Italic"&amp;10למ''ס, הלשכה המרכזית לסטטיסטיקה</oddHeader>
    <oddFooter>&amp;C&amp;"Arial,Regular"&amp;8- &amp;P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FE53-F0E3-4598-9DBD-7010F90553A1}">
  <dimension ref="A1:O87"/>
  <sheetViews>
    <sheetView zoomScale="80" workbookViewId="0">
      <selection activeCell="A3" sqref="A3:XFD24"/>
    </sheetView>
  </sheetViews>
  <sheetFormatPr defaultRowHeight="15.6"/>
  <cols>
    <col min="1" max="1" width="21.1640625" style="126" customWidth="1"/>
    <col min="2" max="3" width="8.6640625" style="126"/>
    <col min="4" max="4" width="21.58203125" style="126" customWidth="1"/>
    <col min="5" max="9" width="8.6640625" style="126"/>
    <col min="10" max="10" width="11.5" style="126" customWidth="1"/>
    <col min="11" max="16384" width="8.6640625" style="126"/>
  </cols>
  <sheetData>
    <row r="1" spans="1:15">
      <c r="A1" s="126" t="s">
        <v>153</v>
      </c>
    </row>
    <row r="2" spans="1:15">
      <c r="A2" s="126" t="s">
        <v>1</v>
      </c>
    </row>
    <row r="3" spans="1:15">
      <c r="A3" s="126" t="s">
        <v>154</v>
      </c>
      <c r="B3" s="126" t="s">
        <v>6</v>
      </c>
      <c r="C3" s="126" t="s">
        <v>155</v>
      </c>
      <c r="D3" s="126" t="s">
        <v>3</v>
      </c>
      <c r="E3" s="126" t="s">
        <v>156</v>
      </c>
      <c r="F3" s="126" t="s">
        <v>3</v>
      </c>
      <c r="G3" s="126" t="s">
        <v>157</v>
      </c>
      <c r="I3" s="126" t="s">
        <v>158</v>
      </c>
      <c r="K3" s="126" t="s">
        <v>159</v>
      </c>
      <c r="M3" s="126" t="s">
        <v>160</v>
      </c>
      <c r="O3" s="126" t="s">
        <v>161</v>
      </c>
    </row>
    <row r="4" spans="1:15">
      <c r="A4" s="126" t="s">
        <v>110</v>
      </c>
      <c r="B4" s="126">
        <v>9557.5</v>
      </c>
      <c r="C4" s="126">
        <v>7539.2</v>
      </c>
      <c r="D4" s="126" t="s">
        <v>11</v>
      </c>
      <c r="E4" s="126">
        <v>2018.3</v>
      </c>
      <c r="F4" s="126" t="s">
        <v>111</v>
      </c>
      <c r="G4" s="126">
        <v>7042</v>
      </c>
      <c r="H4" s="126" t="s">
        <v>11</v>
      </c>
      <c r="I4" s="126">
        <v>1728.1</v>
      </c>
      <c r="J4" s="126" t="s">
        <v>11</v>
      </c>
      <c r="K4" s="126">
        <v>139.30000000000001</v>
      </c>
      <c r="L4" s="126" t="s">
        <v>11</v>
      </c>
      <c r="M4" s="126">
        <v>149.4</v>
      </c>
      <c r="N4" s="126" t="s">
        <v>11</v>
      </c>
      <c r="O4" s="126">
        <v>452.1</v>
      </c>
    </row>
    <row r="5" spans="1:15" s="127" customFormat="1">
      <c r="A5" s="127" t="s">
        <v>13</v>
      </c>
      <c r="B5" s="127">
        <v>1224.5</v>
      </c>
      <c r="C5" s="127">
        <v>830.9</v>
      </c>
      <c r="D5" s="127" t="s">
        <v>13</v>
      </c>
      <c r="E5" s="127">
        <v>393.6</v>
      </c>
      <c r="F5" s="127" t="s">
        <v>13</v>
      </c>
      <c r="G5" s="127">
        <v>811.6</v>
      </c>
      <c r="H5" s="127" t="s">
        <v>13</v>
      </c>
      <c r="I5" s="127">
        <v>380.3</v>
      </c>
      <c r="J5" s="127" t="s">
        <v>41</v>
      </c>
      <c r="K5" s="127">
        <v>13.1</v>
      </c>
      <c r="N5" s="127" t="s">
        <v>13</v>
      </c>
      <c r="O5" s="127">
        <v>15.2</v>
      </c>
    </row>
    <row r="6" spans="1:15" s="127" customFormat="1">
      <c r="A6" s="127" t="s">
        <v>15</v>
      </c>
      <c r="B6" s="127">
        <v>1527.8</v>
      </c>
      <c r="C6" s="127">
        <v>711</v>
      </c>
      <c r="D6" s="127" t="s">
        <v>15</v>
      </c>
      <c r="E6" s="127">
        <v>816.8</v>
      </c>
      <c r="F6" s="127" t="s">
        <v>15</v>
      </c>
      <c r="G6" s="127">
        <v>647.5</v>
      </c>
      <c r="H6" s="127" t="s">
        <v>15</v>
      </c>
      <c r="I6" s="127">
        <v>597.29999999999995</v>
      </c>
      <c r="J6" s="127" t="s">
        <v>43</v>
      </c>
      <c r="K6" s="127">
        <v>97.8</v>
      </c>
      <c r="L6" s="127" t="s">
        <v>43</v>
      </c>
      <c r="M6" s="127">
        <v>120.3</v>
      </c>
      <c r="N6" s="127" t="s">
        <v>15</v>
      </c>
      <c r="O6" s="127">
        <v>55.6</v>
      </c>
    </row>
    <row r="7" spans="1:15">
      <c r="A7" s="126" t="s">
        <v>75</v>
      </c>
      <c r="B7" s="126">
        <v>127</v>
      </c>
      <c r="C7" s="126">
        <v>112.9</v>
      </c>
      <c r="F7" s="126" t="s">
        <v>75</v>
      </c>
      <c r="G7" s="126">
        <v>107.2</v>
      </c>
    </row>
    <row r="8" spans="1:15">
      <c r="A8" s="126" t="s">
        <v>77</v>
      </c>
      <c r="B8" s="126">
        <v>119.5</v>
      </c>
      <c r="C8" s="126">
        <v>83.2</v>
      </c>
      <c r="F8" s="126" t="s">
        <v>77</v>
      </c>
      <c r="G8" s="126">
        <v>78.8</v>
      </c>
    </row>
    <row r="9" spans="1:15">
      <c r="A9" s="126" t="s">
        <v>79</v>
      </c>
      <c r="B9" s="126">
        <v>550.29999999999995</v>
      </c>
      <c r="C9" s="126">
        <v>254.6</v>
      </c>
      <c r="D9" s="126" t="s">
        <v>17</v>
      </c>
      <c r="E9" s="126">
        <v>295.7</v>
      </c>
      <c r="F9" s="126" t="s">
        <v>79</v>
      </c>
      <c r="G9" s="126">
        <v>232.2</v>
      </c>
      <c r="H9" s="126" t="s">
        <v>17</v>
      </c>
      <c r="I9" s="126">
        <v>255.6</v>
      </c>
      <c r="J9" s="126" t="s">
        <v>45</v>
      </c>
      <c r="K9" s="126">
        <v>40</v>
      </c>
    </row>
    <row r="10" spans="1:15">
      <c r="A10" s="126" t="s">
        <v>81</v>
      </c>
      <c r="B10" s="126">
        <v>676.7</v>
      </c>
      <c r="C10" s="126">
        <v>233.1</v>
      </c>
      <c r="D10" s="126" t="s">
        <v>19</v>
      </c>
      <c r="E10" s="126">
        <v>443.6</v>
      </c>
      <c r="F10" s="126" t="s">
        <v>81</v>
      </c>
      <c r="G10" s="126">
        <v>204</v>
      </c>
      <c r="H10" s="126" t="s">
        <v>19</v>
      </c>
      <c r="I10" s="126">
        <v>315.39999999999998</v>
      </c>
      <c r="J10" s="126" t="s">
        <v>47</v>
      </c>
      <c r="K10" s="126">
        <v>46.2</v>
      </c>
      <c r="L10" s="126" t="s">
        <v>57</v>
      </c>
      <c r="M10" s="126">
        <v>81.2</v>
      </c>
      <c r="N10" s="126" t="s">
        <v>62</v>
      </c>
      <c r="O10" s="126">
        <v>26.7</v>
      </c>
    </row>
    <row r="11" spans="1:15">
      <c r="A11" s="126" t="s">
        <v>83</v>
      </c>
      <c r="B11" s="126">
        <v>54.4</v>
      </c>
      <c r="C11" s="126">
        <v>27.3</v>
      </c>
      <c r="F11" s="126" t="s">
        <v>83</v>
      </c>
      <c r="G11" s="126">
        <v>25.3</v>
      </c>
      <c r="L11" s="126" t="s">
        <v>59</v>
      </c>
      <c r="M11" s="126">
        <v>24.2</v>
      </c>
    </row>
    <row r="12" spans="1:15" s="127" customFormat="1">
      <c r="A12" s="127" t="s">
        <v>21</v>
      </c>
      <c r="B12" s="127">
        <v>1108.5</v>
      </c>
      <c r="C12" s="127">
        <v>828.6</v>
      </c>
      <c r="D12" s="127" t="s">
        <v>21</v>
      </c>
      <c r="E12" s="127">
        <v>280</v>
      </c>
      <c r="F12" s="127" t="s">
        <v>21</v>
      </c>
      <c r="G12" s="127">
        <v>742.9</v>
      </c>
      <c r="H12" s="127" t="s">
        <v>21</v>
      </c>
      <c r="I12" s="127">
        <v>233.1</v>
      </c>
      <c r="J12" s="127" t="s">
        <v>49</v>
      </c>
      <c r="K12" s="127">
        <v>18.899999999999999</v>
      </c>
      <c r="L12" s="127" t="s">
        <v>49</v>
      </c>
      <c r="M12" s="127">
        <v>27.8</v>
      </c>
      <c r="N12" s="127" t="s">
        <v>21</v>
      </c>
      <c r="O12" s="127">
        <v>77.099999999999994</v>
      </c>
    </row>
    <row r="13" spans="1:15">
      <c r="A13" s="126" t="s">
        <v>85</v>
      </c>
      <c r="B13" s="126">
        <v>607.9</v>
      </c>
      <c r="C13" s="126">
        <v>537</v>
      </c>
      <c r="D13" s="126" t="s">
        <v>23</v>
      </c>
      <c r="E13" s="126">
        <v>70.900000000000006</v>
      </c>
      <c r="F13" s="126" t="s">
        <v>85</v>
      </c>
      <c r="G13" s="126">
        <v>468.5</v>
      </c>
      <c r="H13" s="126" t="s">
        <v>23</v>
      </c>
      <c r="I13" s="126">
        <v>24.3</v>
      </c>
      <c r="L13" s="126" t="s">
        <v>108</v>
      </c>
      <c r="M13" s="126">
        <v>27.8</v>
      </c>
      <c r="N13" s="126" t="s">
        <v>109</v>
      </c>
      <c r="O13" s="126">
        <v>61.8</v>
      </c>
    </row>
    <row r="14" spans="1:15">
      <c r="A14" s="126" t="s">
        <v>87</v>
      </c>
      <c r="B14" s="126">
        <v>500.6</v>
      </c>
      <c r="C14" s="126">
        <v>291.60000000000002</v>
      </c>
      <c r="D14" s="126" t="s">
        <v>25</v>
      </c>
      <c r="E14" s="126">
        <v>209</v>
      </c>
      <c r="F14" s="126" t="s">
        <v>87</v>
      </c>
      <c r="G14" s="126">
        <v>274.39999999999998</v>
      </c>
      <c r="H14" s="126" t="s">
        <v>25</v>
      </c>
      <c r="I14" s="126">
        <v>208.7</v>
      </c>
    </row>
    <row r="15" spans="1:15" s="127" customFormat="1">
      <c r="A15" s="127" t="s">
        <v>27</v>
      </c>
      <c r="B15" s="127">
        <v>2326</v>
      </c>
      <c r="C15" s="127">
        <v>2133.8000000000002</v>
      </c>
      <c r="D15" s="127" t="s">
        <v>27</v>
      </c>
      <c r="E15" s="127">
        <v>192.1</v>
      </c>
      <c r="F15" s="127" t="s">
        <v>27</v>
      </c>
      <c r="G15" s="127">
        <v>2015.9</v>
      </c>
      <c r="H15" s="127" t="s">
        <v>27</v>
      </c>
      <c r="I15" s="127">
        <v>187.2</v>
      </c>
      <c r="J15" s="127" t="s">
        <v>51</v>
      </c>
      <c r="K15" s="127">
        <v>4.7</v>
      </c>
      <c r="N15" s="127" t="s">
        <v>27</v>
      </c>
      <c r="O15" s="127">
        <v>110.3</v>
      </c>
    </row>
    <row r="16" spans="1:15">
      <c r="A16" s="126" t="s">
        <v>89</v>
      </c>
      <c r="B16" s="126">
        <v>505.8</v>
      </c>
      <c r="C16" s="126">
        <v>399.8</v>
      </c>
      <c r="D16" s="126" t="s">
        <v>29</v>
      </c>
      <c r="E16" s="126">
        <v>106.1</v>
      </c>
      <c r="F16" s="126" t="s">
        <v>89</v>
      </c>
      <c r="G16" s="126">
        <v>371.5</v>
      </c>
      <c r="H16" s="126" t="s">
        <v>29</v>
      </c>
      <c r="I16" s="126">
        <v>105.9</v>
      </c>
      <c r="N16" s="126" t="s">
        <v>64</v>
      </c>
      <c r="O16" s="126">
        <v>26.5</v>
      </c>
    </row>
    <row r="17" spans="1:15">
      <c r="A17" s="126" t="s">
        <v>91</v>
      </c>
      <c r="B17" s="126">
        <v>803</v>
      </c>
      <c r="C17" s="126">
        <v>762.5</v>
      </c>
      <c r="F17" s="126" t="s">
        <v>91</v>
      </c>
      <c r="G17" s="126">
        <v>728.4</v>
      </c>
      <c r="N17" s="126" t="s">
        <v>66</v>
      </c>
      <c r="O17" s="126">
        <v>32.1</v>
      </c>
    </row>
    <row r="18" spans="1:15">
      <c r="A18" s="126" t="s">
        <v>93</v>
      </c>
      <c r="B18" s="126">
        <v>376.1</v>
      </c>
      <c r="C18" s="126">
        <v>331.7</v>
      </c>
      <c r="F18" s="126" t="s">
        <v>93</v>
      </c>
      <c r="G18" s="126">
        <v>316.7</v>
      </c>
    </row>
    <row r="19" spans="1:15">
      <c r="A19" s="126" t="s">
        <v>95</v>
      </c>
      <c r="B19" s="126">
        <v>641.1</v>
      </c>
      <c r="C19" s="126">
        <v>639.9</v>
      </c>
      <c r="F19" s="126" t="s">
        <v>95</v>
      </c>
      <c r="G19" s="126">
        <v>599.29999999999995</v>
      </c>
      <c r="N19" s="126" t="s">
        <v>68</v>
      </c>
      <c r="O19" s="126">
        <v>38.4</v>
      </c>
    </row>
    <row r="20" spans="1:15" s="127" customFormat="1">
      <c r="A20" s="127" t="s">
        <v>31</v>
      </c>
      <c r="B20" s="127">
        <v>1494.3</v>
      </c>
      <c r="C20" s="127">
        <v>1468.6</v>
      </c>
      <c r="D20" s="127" t="s">
        <v>31</v>
      </c>
      <c r="E20" s="127">
        <v>25.7</v>
      </c>
      <c r="F20" s="127" t="s">
        <v>31</v>
      </c>
      <c r="G20" s="127">
        <v>1370.3</v>
      </c>
      <c r="H20" s="127" t="s">
        <v>31</v>
      </c>
      <c r="I20" s="127">
        <v>21.5</v>
      </c>
      <c r="J20" s="127" t="s">
        <v>53</v>
      </c>
      <c r="K20" s="127">
        <v>3.9</v>
      </c>
      <c r="N20" s="127" t="s">
        <v>31</v>
      </c>
      <c r="O20" s="127">
        <v>88.5</v>
      </c>
    </row>
    <row r="21" spans="1:15" s="127" customFormat="1">
      <c r="A21" s="127" t="s">
        <v>33</v>
      </c>
      <c r="B21" s="127">
        <v>1404.3</v>
      </c>
      <c r="C21" s="127">
        <v>1095.2</v>
      </c>
      <c r="D21" s="127" t="s">
        <v>33</v>
      </c>
      <c r="E21" s="127">
        <v>309.10000000000002</v>
      </c>
      <c r="F21" s="127" t="s">
        <v>33</v>
      </c>
      <c r="G21" s="127">
        <v>991.7</v>
      </c>
      <c r="H21" s="127" t="s">
        <v>33</v>
      </c>
      <c r="I21" s="127">
        <v>308</v>
      </c>
      <c r="N21" s="127" t="s">
        <v>33</v>
      </c>
      <c r="O21" s="127">
        <v>96.9</v>
      </c>
    </row>
    <row r="22" spans="1:15">
      <c r="A22" s="126" t="s">
        <v>70</v>
      </c>
      <c r="B22" s="126">
        <v>585.9</v>
      </c>
      <c r="C22" s="126">
        <v>584.29999999999995</v>
      </c>
      <c r="F22" s="126" t="s">
        <v>70</v>
      </c>
      <c r="G22" s="126">
        <v>529.79999999999995</v>
      </c>
      <c r="N22" s="126" t="s">
        <v>70</v>
      </c>
      <c r="O22" s="126">
        <v>51.5</v>
      </c>
    </row>
    <row r="23" spans="1:15">
      <c r="A23" s="126" t="s">
        <v>72</v>
      </c>
      <c r="B23" s="126">
        <v>818.4</v>
      </c>
      <c r="C23" s="126">
        <v>511</v>
      </c>
      <c r="D23" s="126" t="s">
        <v>129</v>
      </c>
      <c r="E23" s="126">
        <v>307.5</v>
      </c>
      <c r="F23" s="126" t="s">
        <v>72</v>
      </c>
      <c r="G23" s="126">
        <v>461.9</v>
      </c>
      <c r="H23" s="126" t="s">
        <v>35</v>
      </c>
      <c r="I23" s="126">
        <v>306.39999999999998</v>
      </c>
      <c r="N23" s="126" t="s">
        <v>72</v>
      </c>
      <c r="O23" s="126">
        <v>45.4</v>
      </c>
    </row>
    <row r="24" spans="1:15">
      <c r="A24" s="126" t="s">
        <v>119</v>
      </c>
      <c r="B24" s="126">
        <v>472</v>
      </c>
      <c r="C24" s="126">
        <v>471</v>
      </c>
      <c r="F24" s="126" t="s">
        <v>119</v>
      </c>
      <c r="G24" s="126">
        <v>462</v>
      </c>
    </row>
    <row r="49" spans="1:1">
      <c r="A49" s="126" t="s">
        <v>3</v>
      </c>
    </row>
    <row r="87" spans="1:1">
      <c r="A87" s="126"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588A-C06E-4660-B457-5B97DF3AD98A}">
  <dimension ref="A1:M157"/>
  <sheetViews>
    <sheetView zoomScale="91" workbookViewId="0">
      <pane xSplit="1" topLeftCell="B1" activePane="topRight" state="frozen"/>
      <selection pane="topRight" activeCell="E27" sqref="E27"/>
    </sheetView>
  </sheetViews>
  <sheetFormatPr defaultRowHeight="15.6"/>
  <cols>
    <col min="1" max="1" width="21.1640625" style="126" customWidth="1"/>
    <col min="2" max="2" width="8.6640625" style="126"/>
    <col min="3" max="3" width="8.6640625" style="126" customWidth="1"/>
    <col min="4" max="5" width="8.6640625" style="126"/>
    <col min="8" max="16384" width="8.6640625" style="126"/>
  </cols>
  <sheetData>
    <row r="1" spans="1:13">
      <c r="A1" s="126" t="s">
        <v>153</v>
      </c>
      <c r="F1" s="126"/>
      <c r="G1" s="126"/>
    </row>
    <row r="2" spans="1:13">
      <c r="A2" s="126" t="s">
        <v>1</v>
      </c>
      <c r="F2" s="126"/>
      <c r="G2" s="126"/>
    </row>
    <row r="3" spans="1:13" s="129" customFormat="1">
      <c r="A3" s="129" t="s">
        <v>154</v>
      </c>
      <c r="B3" s="129" t="s">
        <v>6</v>
      </c>
      <c r="C3" s="130" t="s">
        <v>155</v>
      </c>
      <c r="D3" s="130" t="s">
        <v>156</v>
      </c>
      <c r="E3" s="129" t="s">
        <v>157</v>
      </c>
      <c r="F3" s="129" t="s">
        <v>161</v>
      </c>
      <c r="G3" s="129" t="s">
        <v>163</v>
      </c>
      <c r="H3" s="129" t="s">
        <v>162</v>
      </c>
      <c r="I3" s="129" t="s">
        <v>159</v>
      </c>
      <c r="J3" s="129" t="s">
        <v>160</v>
      </c>
    </row>
    <row r="4" spans="1:13">
      <c r="A4" s="129" t="s">
        <v>110</v>
      </c>
      <c r="B4" s="129">
        <v>9557.5</v>
      </c>
      <c r="C4" s="126">
        <v>7539.2</v>
      </c>
      <c r="D4" s="126">
        <v>2018.3</v>
      </c>
      <c r="E4" s="126">
        <v>7042</v>
      </c>
      <c r="F4" s="126">
        <v>452.1</v>
      </c>
      <c r="G4" s="126">
        <v>46.600000000000364</v>
      </c>
      <c r="H4" s="126">
        <v>1728.1</v>
      </c>
      <c r="I4" s="126">
        <v>139.30000000000001</v>
      </c>
      <c r="J4" s="126">
        <v>149.4</v>
      </c>
    </row>
    <row r="5" spans="1:13" s="127" customFormat="1">
      <c r="A5" s="131" t="s">
        <v>13</v>
      </c>
      <c r="B5" s="131">
        <v>1224.5</v>
      </c>
      <c r="C5" s="127">
        <v>830.9</v>
      </c>
      <c r="D5" s="127">
        <v>393.6</v>
      </c>
      <c r="E5" s="127">
        <v>811.6</v>
      </c>
      <c r="F5" s="127">
        <v>15.2</v>
      </c>
      <c r="G5" s="127">
        <v>4.2999999999999545</v>
      </c>
      <c r="H5" s="127">
        <v>380.3</v>
      </c>
      <c r="I5" s="127">
        <v>13.1</v>
      </c>
    </row>
    <row r="6" spans="1:13" s="127" customFormat="1">
      <c r="A6" s="127" t="s">
        <v>15</v>
      </c>
      <c r="B6" s="131">
        <v>1527.8</v>
      </c>
      <c r="C6" s="127">
        <v>711</v>
      </c>
      <c r="D6" s="127">
        <v>816.8</v>
      </c>
      <c r="E6" s="127">
        <v>647.5</v>
      </c>
      <c r="F6" s="127">
        <v>55.6</v>
      </c>
      <c r="G6" s="127">
        <v>9.3000000000001819</v>
      </c>
      <c r="H6" s="127">
        <v>597.29999999999995</v>
      </c>
      <c r="I6" s="127">
        <v>97.8</v>
      </c>
      <c r="J6" s="127">
        <v>120.3</v>
      </c>
    </row>
    <row r="7" spans="1:13">
      <c r="A7" s="126" t="s">
        <v>75</v>
      </c>
      <c r="B7" s="129">
        <v>127</v>
      </c>
      <c r="C7" s="126">
        <v>112.9</v>
      </c>
      <c r="D7" s="133">
        <v>14.099999999999994</v>
      </c>
      <c r="E7" s="126">
        <v>107.2</v>
      </c>
      <c r="F7" s="134">
        <v>4.7</v>
      </c>
      <c r="G7" s="134">
        <v>1.2</v>
      </c>
      <c r="H7" s="134">
        <v>6.7</v>
      </c>
      <c r="I7" s="134">
        <v>3</v>
      </c>
      <c r="J7" s="134">
        <v>4.2</v>
      </c>
    </row>
    <row r="8" spans="1:13">
      <c r="A8" s="126" t="s">
        <v>77</v>
      </c>
      <c r="B8" s="129">
        <v>119.5</v>
      </c>
      <c r="C8" s="126">
        <v>83.2</v>
      </c>
      <c r="D8" s="133">
        <v>36.299999999999997</v>
      </c>
      <c r="E8" s="126">
        <v>78.8</v>
      </c>
      <c r="F8" s="134">
        <v>3.7</v>
      </c>
      <c r="G8" s="134">
        <v>1</v>
      </c>
      <c r="H8" s="134">
        <v>17.100000000000001</v>
      </c>
      <c r="I8" s="134">
        <v>8.1999999999999993</v>
      </c>
      <c r="J8" s="134">
        <v>10.7</v>
      </c>
    </row>
    <row r="9" spans="1:13">
      <c r="A9" s="126" t="s">
        <v>79</v>
      </c>
      <c r="B9" s="129">
        <v>550.29999999999995</v>
      </c>
      <c r="C9" s="126">
        <v>254.6</v>
      </c>
      <c r="D9" s="126">
        <v>295.7</v>
      </c>
      <c r="E9" s="126">
        <v>232.2</v>
      </c>
      <c r="F9" s="134">
        <v>18.5</v>
      </c>
      <c r="G9" s="134">
        <v>3.9</v>
      </c>
      <c r="H9" s="126">
        <v>255.6</v>
      </c>
      <c r="I9" s="126">
        <v>40</v>
      </c>
      <c r="L9" s="129"/>
      <c r="M9" s="129"/>
    </row>
    <row r="10" spans="1:13">
      <c r="A10" s="129" t="s">
        <v>81</v>
      </c>
      <c r="B10" s="129">
        <v>676.7</v>
      </c>
      <c r="C10" s="126">
        <v>233.1</v>
      </c>
      <c r="D10" s="126">
        <v>443.6</v>
      </c>
      <c r="E10" s="126">
        <v>204</v>
      </c>
      <c r="F10" s="126">
        <v>26.7</v>
      </c>
      <c r="G10" s="126">
        <v>3.2</v>
      </c>
      <c r="H10" s="126">
        <v>315.39999999999998</v>
      </c>
      <c r="I10" s="126">
        <v>46.2</v>
      </c>
      <c r="J10" s="126">
        <v>81.2</v>
      </c>
    </row>
    <row r="11" spans="1:13">
      <c r="A11" s="129" t="s">
        <v>83</v>
      </c>
      <c r="B11" s="129">
        <v>54.4</v>
      </c>
      <c r="C11" s="126">
        <v>27.3</v>
      </c>
      <c r="D11" s="133">
        <v>27.099999999999998</v>
      </c>
      <c r="E11" s="126">
        <v>25.3</v>
      </c>
      <c r="F11" s="134">
        <v>2</v>
      </c>
      <c r="G11" s="134"/>
      <c r="H11" s="134">
        <v>2.5</v>
      </c>
      <c r="I11" s="134">
        <v>0.4</v>
      </c>
      <c r="J11" s="126">
        <v>24.2</v>
      </c>
    </row>
    <row r="12" spans="1:13" s="127" customFormat="1">
      <c r="A12" s="131" t="s">
        <v>21</v>
      </c>
      <c r="B12" s="131">
        <v>1108.5</v>
      </c>
      <c r="C12" s="127">
        <v>828.6</v>
      </c>
      <c r="D12" s="127">
        <v>280</v>
      </c>
      <c r="E12" s="127">
        <v>742.9</v>
      </c>
      <c r="F12" s="127">
        <v>77.099999999999994</v>
      </c>
      <c r="G12" s="127">
        <v>8.7000000000000455</v>
      </c>
      <c r="H12" s="127">
        <v>233.1</v>
      </c>
      <c r="I12" s="127">
        <v>18.899999999999999</v>
      </c>
      <c r="J12" s="127">
        <v>27.8</v>
      </c>
    </row>
    <row r="13" spans="1:13">
      <c r="A13" s="129" t="s">
        <v>85</v>
      </c>
      <c r="B13" s="129">
        <v>607.9</v>
      </c>
      <c r="C13" s="126">
        <v>537</v>
      </c>
      <c r="D13" s="126">
        <v>70.900000000000006</v>
      </c>
      <c r="E13" s="126">
        <v>468.5</v>
      </c>
      <c r="F13" s="126">
        <v>61.8</v>
      </c>
      <c r="G13" s="126">
        <v>6.6</v>
      </c>
      <c r="H13" s="126">
        <v>24.3</v>
      </c>
      <c r="I13" s="133">
        <v>18.899999999999999</v>
      </c>
      <c r="J13" s="126">
        <v>27.8</v>
      </c>
    </row>
    <row r="14" spans="1:13">
      <c r="A14" s="129" t="s">
        <v>87</v>
      </c>
      <c r="B14" s="129">
        <v>500.6</v>
      </c>
      <c r="C14" s="126">
        <v>291.60000000000002</v>
      </c>
      <c r="D14" s="126">
        <v>209</v>
      </c>
      <c r="E14" s="126">
        <v>274.39999999999998</v>
      </c>
      <c r="F14" s="133">
        <v>15.3</v>
      </c>
      <c r="G14" s="126">
        <v>2.1</v>
      </c>
      <c r="H14" s="126">
        <v>208.7</v>
      </c>
    </row>
    <row r="15" spans="1:13" s="127" customFormat="1">
      <c r="A15" s="127" t="s">
        <v>27</v>
      </c>
      <c r="B15" s="131">
        <v>2326</v>
      </c>
      <c r="C15" s="127">
        <v>2133.8000000000002</v>
      </c>
      <c r="D15" s="127">
        <v>192.1</v>
      </c>
      <c r="E15" s="127">
        <v>2015.9</v>
      </c>
      <c r="F15" s="127">
        <v>110.3</v>
      </c>
      <c r="G15" s="127">
        <v>7.9000000000000909</v>
      </c>
      <c r="H15" s="127">
        <v>187.2</v>
      </c>
      <c r="I15" s="127">
        <v>4.7</v>
      </c>
    </row>
    <row r="16" spans="1:13">
      <c r="A16" s="129" t="s">
        <v>89</v>
      </c>
      <c r="B16" s="129">
        <v>505.8</v>
      </c>
      <c r="C16" s="126">
        <v>399.8</v>
      </c>
      <c r="D16" s="126">
        <v>106.1</v>
      </c>
      <c r="E16" s="126">
        <v>371.5</v>
      </c>
      <c r="F16" s="126">
        <v>26.5</v>
      </c>
      <c r="G16" s="126">
        <v>1.9</v>
      </c>
      <c r="H16" s="126">
        <v>105.9</v>
      </c>
    </row>
    <row r="17" spans="1:9">
      <c r="A17" s="126" t="s">
        <v>91</v>
      </c>
      <c r="B17" s="129">
        <v>803</v>
      </c>
      <c r="C17" s="126">
        <v>762.5</v>
      </c>
      <c r="D17" s="133">
        <v>40.5</v>
      </c>
      <c r="E17" s="126">
        <v>728.4</v>
      </c>
      <c r="F17" s="126">
        <v>32.1</v>
      </c>
      <c r="G17" s="134">
        <v>2.1</v>
      </c>
      <c r="H17" s="134">
        <v>38.200000000000003</v>
      </c>
      <c r="I17" s="134">
        <v>2.2000000000000028</v>
      </c>
    </row>
    <row r="18" spans="1:9">
      <c r="A18" s="126" t="s">
        <v>93</v>
      </c>
      <c r="B18" s="129">
        <v>376.1</v>
      </c>
      <c r="C18" s="126">
        <v>331.7</v>
      </c>
      <c r="D18" s="133">
        <v>44.4</v>
      </c>
      <c r="E18" s="126">
        <v>316.7</v>
      </c>
      <c r="F18" s="133">
        <v>13.3</v>
      </c>
      <c r="G18" s="134">
        <v>1.7</v>
      </c>
      <c r="H18" s="134">
        <v>42.1</v>
      </c>
      <c r="I18" s="134">
        <v>2.2999999999999972</v>
      </c>
    </row>
    <row r="19" spans="1:9">
      <c r="A19" s="126" t="s">
        <v>95</v>
      </c>
      <c r="B19" s="129">
        <v>641.1</v>
      </c>
      <c r="C19" s="126">
        <v>639.9</v>
      </c>
      <c r="D19" s="133">
        <v>1.2</v>
      </c>
      <c r="E19" s="126">
        <v>599.29999999999995</v>
      </c>
      <c r="F19" s="126">
        <v>38.4</v>
      </c>
      <c r="G19" s="134">
        <v>2.2000000000000002</v>
      </c>
      <c r="H19" s="134">
        <v>1</v>
      </c>
      <c r="I19" s="134">
        <v>0.19999999999999996</v>
      </c>
    </row>
    <row r="20" spans="1:9" s="127" customFormat="1">
      <c r="A20" s="131" t="s">
        <v>31</v>
      </c>
      <c r="B20" s="131">
        <v>1494.3</v>
      </c>
      <c r="C20" s="127">
        <v>1468.6</v>
      </c>
      <c r="D20" s="127">
        <v>25.7</v>
      </c>
      <c r="E20" s="127">
        <v>1370.3</v>
      </c>
      <c r="F20" s="127">
        <v>88.5</v>
      </c>
      <c r="G20" s="127">
        <v>10.099999999999909</v>
      </c>
      <c r="H20" s="127">
        <v>21.5</v>
      </c>
      <c r="I20" s="127">
        <v>3.9</v>
      </c>
    </row>
    <row r="21" spans="1:9" s="127" customFormat="1">
      <c r="A21" s="131" t="s">
        <v>33</v>
      </c>
      <c r="B21" s="131">
        <v>1404.3</v>
      </c>
      <c r="C21" s="127">
        <v>1095.2</v>
      </c>
      <c r="D21" s="127">
        <v>309.10000000000002</v>
      </c>
      <c r="E21" s="127">
        <v>991.7</v>
      </c>
      <c r="F21" s="127">
        <v>96.9</v>
      </c>
      <c r="G21" s="127">
        <v>7.6999999999998181</v>
      </c>
      <c r="H21" s="127">
        <v>308</v>
      </c>
    </row>
    <row r="22" spans="1:9">
      <c r="A22" s="129" t="s">
        <v>70</v>
      </c>
      <c r="B22" s="129">
        <v>585.9</v>
      </c>
      <c r="C22" s="126">
        <v>584.29999999999995</v>
      </c>
      <c r="D22" s="133">
        <v>1.6</v>
      </c>
      <c r="E22" s="126">
        <v>529.79999999999995</v>
      </c>
      <c r="F22" s="126">
        <v>51.5</v>
      </c>
      <c r="G22" s="126">
        <v>3</v>
      </c>
      <c r="H22" s="133">
        <v>1.6</v>
      </c>
    </row>
    <row r="23" spans="1:9">
      <c r="A23" s="129" t="s">
        <v>72</v>
      </c>
      <c r="B23" s="129">
        <v>818.4</v>
      </c>
      <c r="C23" s="126">
        <v>511</v>
      </c>
      <c r="D23" s="126">
        <v>307.5</v>
      </c>
      <c r="E23" s="126">
        <v>461.9</v>
      </c>
      <c r="F23" s="126">
        <v>45.4</v>
      </c>
      <c r="G23" s="126">
        <v>4.7000000000000455</v>
      </c>
      <c r="H23" s="126">
        <v>306.39999999999998</v>
      </c>
    </row>
    <row r="24" spans="1:9" s="128" customFormat="1">
      <c r="A24" s="132" t="s">
        <v>119</v>
      </c>
      <c r="B24" s="132">
        <v>472</v>
      </c>
      <c r="C24" s="128">
        <v>471</v>
      </c>
      <c r="E24" s="128">
        <v>462</v>
      </c>
      <c r="G24" s="128">
        <v>10</v>
      </c>
    </row>
    <row r="25" spans="1:9">
      <c r="F25" s="126"/>
      <c r="G25" s="126"/>
    </row>
    <row r="26" spans="1:9">
      <c r="E26" s="126">
        <f>E4-E24</f>
        <v>6580</v>
      </c>
      <c r="F26" s="126"/>
      <c r="G26" s="126"/>
    </row>
    <row r="27" spans="1:9">
      <c r="F27" s="126"/>
      <c r="G27" s="126"/>
    </row>
    <row r="28" spans="1:9">
      <c r="F28" s="126"/>
      <c r="G28" s="126"/>
    </row>
    <row r="29" spans="1:9">
      <c r="F29" s="126"/>
      <c r="G29" s="126"/>
    </row>
    <row r="30" spans="1:9">
      <c r="F30" s="126"/>
      <c r="G30" s="126"/>
    </row>
    <row r="31" spans="1:9">
      <c r="F31" s="126"/>
      <c r="G31" s="126"/>
    </row>
    <row r="32" spans="1:9">
      <c r="F32" s="126"/>
      <c r="G32" s="126"/>
    </row>
    <row r="33" s="126" customFormat="1"/>
    <row r="34" s="126" customFormat="1"/>
    <row r="35" s="126" customFormat="1"/>
    <row r="36" s="126" customFormat="1"/>
    <row r="37" s="126" customFormat="1"/>
    <row r="38" s="126" customFormat="1"/>
    <row r="39" s="126" customFormat="1"/>
    <row r="40" s="126" customFormat="1"/>
    <row r="41" s="126" customFormat="1"/>
    <row r="42" s="126" customFormat="1"/>
    <row r="43" s="126" customFormat="1"/>
    <row r="44" s="126" customFormat="1"/>
    <row r="45" s="126" customFormat="1"/>
    <row r="46" s="126" customFormat="1"/>
    <row r="47" s="126" customFormat="1"/>
    <row r="48" s="126" customFormat="1"/>
    <row r="49" spans="1:7">
      <c r="A49" s="126" t="s">
        <v>3</v>
      </c>
      <c r="F49" s="126"/>
      <c r="G49" s="126"/>
    </row>
    <row r="50" spans="1:7">
      <c r="F50" s="126"/>
      <c r="G50" s="126"/>
    </row>
    <row r="51" spans="1:7">
      <c r="F51" s="126"/>
      <c r="G51" s="126"/>
    </row>
    <row r="52" spans="1:7">
      <c r="F52" s="126"/>
      <c r="G52" s="126"/>
    </row>
    <row r="53" spans="1:7">
      <c r="F53" s="126"/>
      <c r="G53" s="126"/>
    </row>
    <row r="54" spans="1:7">
      <c r="F54" s="126"/>
      <c r="G54" s="126"/>
    </row>
    <row r="55" spans="1:7">
      <c r="F55" s="126"/>
      <c r="G55" s="126"/>
    </row>
    <row r="56" spans="1:7">
      <c r="F56" s="126"/>
      <c r="G56" s="126"/>
    </row>
    <row r="57" spans="1:7">
      <c r="F57" s="126"/>
      <c r="G57" s="126"/>
    </row>
    <row r="58" spans="1:7">
      <c r="F58" s="126"/>
      <c r="G58" s="126"/>
    </row>
    <row r="59" spans="1:7">
      <c r="F59" s="126"/>
      <c r="G59" s="126"/>
    </row>
    <row r="60" spans="1:7">
      <c r="F60" s="126"/>
      <c r="G60" s="126"/>
    </row>
    <row r="61" spans="1:7">
      <c r="F61" s="126"/>
      <c r="G61" s="126"/>
    </row>
    <row r="62" spans="1:7">
      <c r="F62" s="126"/>
      <c r="G62" s="126"/>
    </row>
    <row r="63" spans="1:7">
      <c r="F63" s="126"/>
      <c r="G63" s="126"/>
    </row>
    <row r="64" spans="1:7">
      <c r="F64" s="126"/>
      <c r="G64" s="126"/>
    </row>
    <row r="65" s="126" customFormat="1"/>
    <row r="66" s="126" customFormat="1"/>
    <row r="67" s="126" customFormat="1"/>
    <row r="68" s="126" customFormat="1"/>
    <row r="69" s="126" customFormat="1"/>
    <row r="70" s="126" customFormat="1"/>
    <row r="71" s="126" customFormat="1"/>
    <row r="72" s="126" customFormat="1"/>
    <row r="73" s="126" customFormat="1"/>
    <row r="74" s="126" customFormat="1"/>
    <row r="75" s="126" customFormat="1"/>
    <row r="76" s="126" customFormat="1"/>
    <row r="77" s="126" customFormat="1"/>
    <row r="78" s="126" customFormat="1"/>
    <row r="79" s="126" customFormat="1"/>
    <row r="80" s="126" customFormat="1"/>
    <row r="81" spans="1:7">
      <c r="F81" s="126"/>
      <c r="G81" s="126"/>
    </row>
    <row r="82" spans="1:7">
      <c r="F82" s="126"/>
      <c r="G82" s="126"/>
    </row>
    <row r="83" spans="1:7">
      <c r="F83" s="126"/>
      <c r="G83" s="126"/>
    </row>
    <row r="84" spans="1:7">
      <c r="F84" s="126"/>
      <c r="G84" s="126"/>
    </row>
    <row r="85" spans="1:7">
      <c r="F85" s="126"/>
      <c r="G85" s="126"/>
    </row>
    <row r="86" spans="1:7">
      <c r="F86" s="126"/>
      <c r="G86" s="126"/>
    </row>
    <row r="87" spans="1:7">
      <c r="A87" s="126" t="s">
        <v>3</v>
      </c>
      <c r="F87" s="126"/>
      <c r="G87" s="126"/>
    </row>
    <row r="88" spans="1:7">
      <c r="F88" s="126"/>
      <c r="G88" s="126"/>
    </row>
    <row r="89" spans="1:7">
      <c r="F89" s="126"/>
      <c r="G89" s="126"/>
    </row>
    <row r="90" spans="1:7">
      <c r="F90" s="126"/>
      <c r="G90" s="126"/>
    </row>
    <row r="91" spans="1:7">
      <c r="F91" s="126"/>
      <c r="G91" s="126"/>
    </row>
    <row r="92" spans="1:7">
      <c r="F92" s="126"/>
      <c r="G92" s="126"/>
    </row>
    <row r="93" spans="1:7">
      <c r="F93" s="126"/>
      <c r="G93" s="126"/>
    </row>
    <row r="94" spans="1:7">
      <c r="F94" s="126"/>
      <c r="G94" s="126"/>
    </row>
    <row r="95" spans="1:7">
      <c r="F95" s="126"/>
      <c r="G95" s="126"/>
    </row>
    <row r="96" spans="1:7">
      <c r="F96" s="126"/>
      <c r="G96" s="126"/>
    </row>
    <row r="97" s="126" customFormat="1"/>
    <row r="98" s="126" customFormat="1"/>
    <row r="99" s="126" customFormat="1"/>
    <row r="100" s="126" customFormat="1"/>
    <row r="101" s="126" customFormat="1"/>
    <row r="102" s="126" customFormat="1"/>
    <row r="103" s="126" customFormat="1"/>
    <row r="104" s="126" customFormat="1"/>
    <row r="105" s="126" customFormat="1"/>
    <row r="106" s="126" customFormat="1"/>
    <row r="107" s="126" customFormat="1"/>
    <row r="108" s="126" customFormat="1"/>
    <row r="109" s="126" customFormat="1"/>
    <row r="110" s="126" customFormat="1"/>
    <row r="111" s="126" customFormat="1"/>
    <row r="112" s="126" customFormat="1"/>
    <row r="113" s="126" customFormat="1"/>
    <row r="114" s="126" customFormat="1"/>
    <row r="115" s="126" customFormat="1"/>
    <row r="116" s="126" customFormat="1"/>
    <row r="117" s="126" customFormat="1"/>
    <row r="118" s="126" customFormat="1"/>
    <row r="119" s="126" customFormat="1"/>
    <row r="120" s="126" customFormat="1"/>
    <row r="121" s="126" customFormat="1"/>
    <row r="122" s="126" customFormat="1"/>
    <row r="123" s="126" customFormat="1"/>
    <row r="124" s="126" customFormat="1"/>
    <row r="125" s="126" customFormat="1"/>
    <row r="126" s="126" customFormat="1"/>
    <row r="127" s="126" customFormat="1"/>
    <row r="128" s="126" customFormat="1"/>
    <row r="129" s="126" customFormat="1"/>
    <row r="130" s="126" customFormat="1"/>
    <row r="131" s="126" customFormat="1"/>
    <row r="132" s="126" customFormat="1"/>
    <row r="133" s="126" customFormat="1"/>
    <row r="134" s="126" customFormat="1"/>
    <row r="135" s="126" customFormat="1"/>
    <row r="136" s="126" customFormat="1"/>
    <row r="137" s="126" customFormat="1"/>
    <row r="138" s="126" customFormat="1"/>
    <row r="139" s="126" customFormat="1"/>
    <row r="140" s="126" customFormat="1"/>
    <row r="141" s="126" customFormat="1"/>
    <row r="142" s="126" customFormat="1"/>
    <row r="143" s="126" customFormat="1"/>
    <row r="144" s="126" customFormat="1"/>
    <row r="145" s="126" customFormat="1"/>
    <row r="146" s="126" customFormat="1"/>
    <row r="147" s="126" customFormat="1"/>
    <row r="148" s="126" customFormat="1"/>
    <row r="149" s="126" customFormat="1"/>
    <row r="150" s="126" customFormat="1"/>
    <row r="151" s="126" customFormat="1"/>
    <row r="152" s="126" customFormat="1"/>
    <row r="153" s="126" customFormat="1"/>
    <row r="154" s="126" customFormat="1"/>
    <row r="155" s="126" customFormat="1"/>
    <row r="156" s="126" customFormat="1"/>
    <row r="157" s="126"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8F23-6648-4850-BA80-5EE1ACF5BE5E}">
  <dimension ref="A1:L150"/>
  <sheetViews>
    <sheetView zoomScale="91" workbookViewId="0">
      <pane xSplit="1" topLeftCell="B1" activePane="topRight" state="frozen"/>
      <selection pane="topRight" activeCell="F18" sqref="F18"/>
    </sheetView>
  </sheetViews>
  <sheetFormatPr defaultRowHeight="15.6"/>
  <cols>
    <col min="1" max="2" width="21.1640625" style="126" customWidth="1"/>
    <col min="3" max="4" width="8.6640625" style="126"/>
    <col min="7" max="16384" width="8.6640625" style="126"/>
  </cols>
  <sheetData>
    <row r="1" spans="1:12">
      <c r="A1" s="129" t="s">
        <v>154</v>
      </c>
      <c r="B1" s="129" t="s">
        <v>164</v>
      </c>
      <c r="C1" s="129" t="s">
        <v>6</v>
      </c>
      <c r="D1" s="129" t="s">
        <v>157</v>
      </c>
      <c r="E1" s="129" t="s">
        <v>161</v>
      </c>
      <c r="F1" s="129" t="s">
        <v>163</v>
      </c>
      <c r="G1" s="129" t="s">
        <v>162</v>
      </c>
      <c r="H1" s="129" t="s">
        <v>159</v>
      </c>
      <c r="I1" s="129" t="s">
        <v>160</v>
      </c>
      <c r="J1" s="129" t="s">
        <v>322</v>
      </c>
      <c r="K1" s="129" t="s">
        <v>323</v>
      </c>
    </row>
    <row r="2" spans="1:12" s="127" customFormat="1">
      <c r="A2" s="126" t="s">
        <v>91</v>
      </c>
      <c r="B2" s="127" t="s">
        <v>27</v>
      </c>
      <c r="C2" s="129">
        <v>803</v>
      </c>
      <c r="D2" s="126">
        <v>728.4</v>
      </c>
      <c r="E2" s="126">
        <v>32.1</v>
      </c>
      <c r="F2" s="134">
        <v>2.1</v>
      </c>
      <c r="G2" s="134">
        <v>38.200000000000003</v>
      </c>
      <c r="H2" s="134">
        <v>2.2000000000000028</v>
      </c>
      <c r="I2" s="126"/>
      <c r="J2" s="127">
        <f>SUM(Table1[[#This Row],[Jews]:[Druze]])</f>
        <v>803.00000000000011</v>
      </c>
      <c r="K2" s="127">
        <f>Table1[[#This Row],[Column2]]-Table1[[#This Row],[Total]]</f>
        <v>0</v>
      </c>
      <c r="L2" s="127">
        <f>SUM(F2:F4,F10:F13)</f>
        <v>12.1</v>
      </c>
    </row>
    <row r="3" spans="1:12">
      <c r="A3" s="126" t="s">
        <v>93</v>
      </c>
      <c r="B3" s="127" t="s">
        <v>27</v>
      </c>
      <c r="C3" s="129">
        <v>376.1</v>
      </c>
      <c r="D3" s="126">
        <v>316.7</v>
      </c>
      <c r="E3" s="133">
        <v>13.3</v>
      </c>
      <c r="F3" s="134">
        <v>1.7</v>
      </c>
      <c r="G3" s="134">
        <v>42.1</v>
      </c>
      <c r="H3" s="134">
        <v>2.2999999999999972</v>
      </c>
      <c r="J3" s="126">
        <f>SUM(Table1[[#This Row],[Jews]:[Druze]])</f>
        <v>376.1</v>
      </c>
      <c r="K3" s="126">
        <f>Table1[[#This Row],[Column2]]-Table1[[#This Row],[Total]]</f>
        <v>0</v>
      </c>
    </row>
    <row r="4" spans="1:12">
      <c r="A4" s="126" t="s">
        <v>95</v>
      </c>
      <c r="B4" s="127" t="s">
        <v>27</v>
      </c>
      <c r="C4" s="129">
        <v>641.1</v>
      </c>
      <c r="D4" s="126">
        <v>599.29999999999995</v>
      </c>
      <c r="E4" s="126">
        <v>38.4</v>
      </c>
      <c r="F4" s="134">
        <v>2.2000000000000002</v>
      </c>
      <c r="G4" s="134">
        <v>1</v>
      </c>
      <c r="H4" s="134">
        <v>0.19999999999999996</v>
      </c>
      <c r="J4" s="126">
        <f>SUM(Table1[[#This Row],[Jews]:[Druze]])</f>
        <v>641.1</v>
      </c>
      <c r="K4" s="126">
        <f>Table1[[#This Row],[Column2]]-Table1[[#This Row],[Total]]</f>
        <v>0</v>
      </c>
    </row>
    <row r="5" spans="1:12">
      <c r="A5" s="126" t="s">
        <v>89</v>
      </c>
      <c r="B5" s="127" t="s">
        <v>27</v>
      </c>
      <c r="C5" s="129">
        <v>505.8</v>
      </c>
      <c r="D5" s="126">
        <v>371.5</v>
      </c>
      <c r="E5" s="126">
        <v>26.5</v>
      </c>
      <c r="F5" s="126">
        <v>1.9</v>
      </c>
      <c r="G5" s="126">
        <v>105.9</v>
      </c>
      <c r="J5" s="126">
        <f>SUM(Table1[[#This Row],[Jews]:[Druze]])</f>
        <v>505.79999999999995</v>
      </c>
      <c r="K5" s="129">
        <f>Table1[[#This Row],[Column2]]-Table1[[#This Row],[Total]]</f>
        <v>0</v>
      </c>
      <c r="L5" s="129"/>
    </row>
    <row r="6" spans="1:12">
      <c r="A6" s="126" t="s">
        <v>87</v>
      </c>
      <c r="B6" s="127" t="s">
        <v>21</v>
      </c>
      <c r="C6" s="129">
        <v>500.6</v>
      </c>
      <c r="D6" s="126">
        <v>274.39999999999998</v>
      </c>
      <c r="E6" s="133">
        <v>15.3</v>
      </c>
      <c r="F6" s="126">
        <v>2.1</v>
      </c>
      <c r="G6" s="126">
        <v>208.7</v>
      </c>
      <c r="J6" s="126">
        <f>SUM(Table1[[#This Row],[Jews]:[Druze]])</f>
        <v>500.5</v>
      </c>
      <c r="K6" s="126">
        <f>Table1[[#This Row],[Column2]]-Table1[[#This Row],[Total]]</f>
        <v>-0.10000000000002274</v>
      </c>
    </row>
    <row r="7" spans="1:12">
      <c r="A7" s="126" t="s">
        <v>85</v>
      </c>
      <c r="B7" s="127" t="s">
        <v>21</v>
      </c>
      <c r="C7" s="129">
        <v>607.9</v>
      </c>
      <c r="D7" s="126">
        <v>468.5</v>
      </c>
      <c r="E7" s="126">
        <v>61.8</v>
      </c>
      <c r="F7" s="126">
        <v>6.6</v>
      </c>
      <c r="G7" s="126">
        <v>24.3</v>
      </c>
      <c r="H7" s="133">
        <v>18.899999999999999</v>
      </c>
      <c r="I7" s="126">
        <v>27.8</v>
      </c>
      <c r="J7" s="126">
        <f>SUM(Table1[[#This Row],[Jews]:[Druze]])</f>
        <v>607.89999999999986</v>
      </c>
      <c r="K7" s="126">
        <f>Table1[[#This Row],[Column2]]-Table1[[#This Row],[Total]]</f>
        <v>0</v>
      </c>
    </row>
    <row r="8" spans="1:12" s="127" customFormat="1">
      <c r="A8" s="127" t="s">
        <v>165</v>
      </c>
      <c r="B8" s="127" t="s">
        <v>13</v>
      </c>
      <c r="C8" s="131">
        <v>1224.5</v>
      </c>
      <c r="D8" s="127">
        <v>811.6</v>
      </c>
      <c r="E8" s="127">
        <v>15.2</v>
      </c>
      <c r="F8" s="127">
        <v>4.2999999999999545</v>
      </c>
      <c r="G8" s="127">
        <v>380.3</v>
      </c>
      <c r="H8" s="127">
        <v>13.1</v>
      </c>
      <c r="J8" s="127">
        <f>SUM(Table1[[#This Row],[Jews]:[Druze]])</f>
        <v>1224.5</v>
      </c>
      <c r="K8" s="127">
        <f>Table1[[#This Row],[Column2]]-Table1[[#This Row],[Total]]</f>
        <v>0</v>
      </c>
    </row>
    <row r="9" spans="1:12">
      <c r="A9" s="126" t="s">
        <v>81</v>
      </c>
      <c r="B9" s="127" t="s">
        <v>15</v>
      </c>
      <c r="C9" s="129">
        <v>676.7</v>
      </c>
      <c r="D9" s="126">
        <v>204</v>
      </c>
      <c r="E9" s="126">
        <v>26.7</v>
      </c>
      <c r="F9" s="126">
        <v>3.2</v>
      </c>
      <c r="G9" s="126">
        <v>315.39999999999998</v>
      </c>
      <c r="H9" s="126">
        <v>46.2</v>
      </c>
      <c r="I9" s="126">
        <v>81.2</v>
      </c>
      <c r="J9" s="126">
        <f>SUM(Table1[[#This Row],[Jews]:[Druze]])</f>
        <v>676.7</v>
      </c>
      <c r="K9" s="126">
        <f>Table1[[#This Row],[Column2]]-Table1[[#This Row],[Total]]</f>
        <v>0</v>
      </c>
    </row>
    <row r="10" spans="1:12" s="127" customFormat="1">
      <c r="A10" s="126" t="s">
        <v>83</v>
      </c>
      <c r="B10" s="127" t="s">
        <v>15</v>
      </c>
      <c r="C10" s="129">
        <v>54.4</v>
      </c>
      <c r="D10" s="126">
        <v>25.3</v>
      </c>
      <c r="E10" s="134">
        <v>2</v>
      </c>
      <c r="F10" s="134"/>
      <c r="G10" s="134">
        <v>2.5</v>
      </c>
      <c r="H10" s="134">
        <v>0.4</v>
      </c>
      <c r="I10" s="126">
        <v>24.2</v>
      </c>
      <c r="J10" s="127">
        <f>SUM(Table1[[#This Row],[Jews]:[Druze]])</f>
        <v>54.4</v>
      </c>
      <c r="K10" s="127">
        <f>Table1[[#This Row],[Column2]]-Table1[[#This Row],[Total]]</f>
        <v>0</v>
      </c>
    </row>
    <row r="11" spans="1:12">
      <c r="A11" s="126" t="s">
        <v>77</v>
      </c>
      <c r="B11" s="127" t="s">
        <v>15</v>
      </c>
      <c r="C11" s="129">
        <v>119.5</v>
      </c>
      <c r="D11" s="126">
        <v>78.8</v>
      </c>
      <c r="E11" s="134">
        <v>3.7</v>
      </c>
      <c r="F11" s="134">
        <v>1</v>
      </c>
      <c r="G11" s="134">
        <v>17.100000000000001</v>
      </c>
      <c r="H11" s="134">
        <v>8.1999999999999993</v>
      </c>
      <c r="I11" s="134">
        <v>10.7</v>
      </c>
      <c r="J11" s="126">
        <f>SUM(Table1[[#This Row],[Jews]:[Druze]])</f>
        <v>119.5</v>
      </c>
      <c r="K11" s="126">
        <f>Table1[[#This Row],[Column2]]-Table1[[#This Row],[Total]]</f>
        <v>0</v>
      </c>
    </row>
    <row r="12" spans="1:12">
      <c r="A12" s="126" t="s">
        <v>79</v>
      </c>
      <c r="B12" s="127" t="s">
        <v>15</v>
      </c>
      <c r="C12" s="129">
        <v>550.29999999999995</v>
      </c>
      <c r="D12" s="126">
        <v>232.2</v>
      </c>
      <c r="E12" s="134">
        <v>18.5</v>
      </c>
      <c r="F12" s="134">
        <v>3.9</v>
      </c>
      <c r="G12" s="126">
        <v>255.6</v>
      </c>
      <c r="H12" s="126">
        <v>40</v>
      </c>
      <c r="J12" s="126">
        <f>SUM(Table1[[#This Row],[Jews]:[Druze]])</f>
        <v>550.20000000000005</v>
      </c>
      <c r="K12" s="126">
        <f>Table1[[#This Row],[Column2]]-Table1[[#This Row],[Total]]</f>
        <v>-9.9999999999909051E-2</v>
      </c>
    </row>
    <row r="13" spans="1:12">
      <c r="A13" s="126" t="s">
        <v>75</v>
      </c>
      <c r="B13" s="127" t="s">
        <v>15</v>
      </c>
      <c r="C13" s="129">
        <v>127</v>
      </c>
      <c r="D13" s="126">
        <v>107.2</v>
      </c>
      <c r="E13" s="134">
        <v>4.7</v>
      </c>
      <c r="F13" s="134">
        <v>1.2</v>
      </c>
      <c r="G13" s="134">
        <v>6.7</v>
      </c>
      <c r="H13" s="134">
        <v>3</v>
      </c>
      <c r="I13" s="134">
        <v>4.2</v>
      </c>
      <c r="J13" s="126">
        <f>SUM(Table1[[#This Row],[Jews]:[Druze]])</f>
        <v>127.00000000000001</v>
      </c>
      <c r="K13" s="126">
        <f>Table1[[#This Row],[Column2]]-Table1[[#This Row],[Total]]</f>
        <v>0</v>
      </c>
    </row>
    <row r="14" spans="1:12">
      <c r="A14" s="126" t="s">
        <v>70</v>
      </c>
      <c r="B14" s="127" t="s">
        <v>33</v>
      </c>
      <c r="C14" s="129">
        <v>585.9</v>
      </c>
      <c r="D14" s="126">
        <v>529.79999999999995</v>
      </c>
      <c r="E14" s="126">
        <v>51.5</v>
      </c>
      <c r="F14" s="126">
        <v>3</v>
      </c>
      <c r="G14" s="133">
        <v>1.6</v>
      </c>
      <c r="J14" s="126">
        <f>SUM(Table1[[#This Row],[Jews]:[Druze]])</f>
        <v>585.9</v>
      </c>
      <c r="K14" s="126">
        <f>Table1[[#This Row],[Column2]]-Table1[[#This Row],[Total]]</f>
        <v>0</v>
      </c>
    </row>
    <row r="15" spans="1:12">
      <c r="A15" s="126" t="s">
        <v>72</v>
      </c>
      <c r="B15" s="127" t="s">
        <v>33</v>
      </c>
      <c r="C15" s="129">
        <v>818.4</v>
      </c>
      <c r="D15" s="126">
        <v>461.9</v>
      </c>
      <c r="E15" s="126">
        <v>45.4</v>
      </c>
      <c r="F15" s="126">
        <v>4.7000000000000455</v>
      </c>
      <c r="G15" s="126">
        <v>306.39999999999998</v>
      </c>
      <c r="J15" s="126">
        <f>SUM(Table1[[#This Row],[Jews]:[Druze]])</f>
        <v>818.4</v>
      </c>
      <c r="K15" s="126">
        <f>Table1[[#This Row],[Column2]]-Table1[[#This Row],[Total]]</f>
        <v>0</v>
      </c>
    </row>
    <row r="16" spans="1:12">
      <c r="A16" s="127" t="s">
        <v>166</v>
      </c>
      <c r="B16" s="127" t="s">
        <v>31</v>
      </c>
      <c r="C16" s="131">
        <v>1494.3</v>
      </c>
      <c r="D16" s="127">
        <v>1370.3</v>
      </c>
      <c r="E16" s="127">
        <v>88.5</v>
      </c>
      <c r="F16" s="127">
        <v>10.099999999999909</v>
      </c>
      <c r="G16" s="127">
        <v>21.5</v>
      </c>
      <c r="H16" s="127">
        <v>3.9</v>
      </c>
      <c r="I16" s="127"/>
      <c r="J16" s="126">
        <f>SUM(Table1[[#This Row],[Jews]:[Druze]])</f>
        <v>1494.3</v>
      </c>
      <c r="K16" s="126">
        <f>Table1[[#This Row],[Column2]]-Table1[[#This Row],[Total]]</f>
        <v>0</v>
      </c>
    </row>
    <row r="17" spans="1:9">
      <c r="E17" s="126"/>
      <c r="F17" s="126"/>
    </row>
    <row r="18" spans="1:9">
      <c r="A18" s="135" t="s">
        <v>153</v>
      </c>
      <c r="B18" s="136"/>
      <c r="C18" s="136"/>
      <c r="D18" s="136"/>
      <c r="E18" s="136"/>
      <c r="F18" s="136"/>
      <c r="G18" s="136"/>
      <c r="H18" s="136"/>
      <c r="I18" s="137"/>
    </row>
    <row r="19" spans="1:9">
      <c r="A19" s="138" t="s">
        <v>1</v>
      </c>
      <c r="B19" s="139"/>
      <c r="C19" s="139"/>
      <c r="D19" s="139"/>
      <c r="E19" s="139"/>
      <c r="F19" s="139"/>
      <c r="G19" s="139"/>
      <c r="H19" s="139"/>
      <c r="I19" s="140"/>
    </row>
    <row r="20" spans="1:9" s="127" customFormat="1">
      <c r="A20" s="129" t="s">
        <v>110</v>
      </c>
      <c r="B20" s="129" t="s">
        <v>332</v>
      </c>
      <c r="C20" s="129">
        <v>9085.5</v>
      </c>
      <c r="D20" s="126">
        <v>6580</v>
      </c>
      <c r="E20" s="126">
        <v>452.1</v>
      </c>
      <c r="F20" s="126">
        <v>36.600000000000364</v>
      </c>
      <c r="G20" s="126">
        <v>1728.1</v>
      </c>
      <c r="H20" s="126">
        <v>139.30000000000001</v>
      </c>
      <c r="I20" s="126">
        <v>149.4</v>
      </c>
    </row>
    <row r="21" spans="1:9">
      <c r="E21" s="126"/>
      <c r="F21" s="126"/>
    </row>
    <row r="22" spans="1:9">
      <c r="C22" s="126">
        <f>SUM(Table1[Total])</f>
        <v>9085.4999999999982</v>
      </c>
      <c r="D22" s="126">
        <f>SUM(Table1[Jews])</f>
        <v>6579.9</v>
      </c>
      <c r="E22" s="126">
        <f>SUM(Table1[No religion classification])</f>
        <v>443.59999999999997</v>
      </c>
      <c r="F22" s="126">
        <f>SUM(Table1[Others])</f>
        <v>47.999999999999908</v>
      </c>
      <c r="G22" s="126">
        <f>SUM(Table1[Arab Muslims])</f>
        <v>1727.2999999999997</v>
      </c>
      <c r="H22" s="126">
        <f>SUM(Table1[Arab Christians])</f>
        <v>138.4</v>
      </c>
      <c r="I22" s="126">
        <f>SUM(Table1[Druze])</f>
        <v>148.09999999999997</v>
      </c>
    </row>
    <row r="23" spans="1:9">
      <c r="C23" s="126">
        <f>C20-C22</f>
        <v>0</v>
      </c>
      <c r="D23" s="126">
        <f t="shared" ref="D23:I23" si="0">D20-D22</f>
        <v>0.1000000000003638</v>
      </c>
      <c r="E23" s="126">
        <f t="shared" si="0"/>
        <v>8.5000000000000568</v>
      </c>
      <c r="F23" s="126">
        <f t="shared" si="0"/>
        <v>-11.399999999999544</v>
      </c>
      <c r="G23" s="126">
        <f t="shared" si="0"/>
        <v>0.8000000000001819</v>
      </c>
      <c r="H23" s="126">
        <f t="shared" si="0"/>
        <v>0.90000000000000568</v>
      </c>
      <c r="I23" s="126">
        <f t="shared" si="0"/>
        <v>1.3000000000000398</v>
      </c>
    </row>
    <row r="24" spans="1:9">
      <c r="E24" s="126"/>
      <c r="F24" s="126"/>
    </row>
    <row r="25" spans="1:9">
      <c r="A25" s="138"/>
      <c r="B25" s="177" t="s">
        <v>167</v>
      </c>
      <c r="C25" s="178">
        <v>472</v>
      </c>
      <c r="D25" s="177">
        <v>462</v>
      </c>
      <c r="E25" s="177"/>
      <c r="F25" s="177">
        <v>10</v>
      </c>
    </row>
    <row r="26" spans="1:9">
      <c r="E26" s="126"/>
      <c r="F26" s="126"/>
    </row>
    <row r="27" spans="1:9">
      <c r="E27" s="126"/>
      <c r="F27" s="126"/>
    </row>
    <row r="28" spans="1:9">
      <c r="E28" s="126"/>
      <c r="F28" s="126"/>
    </row>
    <row r="29" spans="1:9">
      <c r="E29" s="126"/>
      <c r="F29" s="126"/>
    </row>
    <row r="30" spans="1:9">
      <c r="E30" s="126"/>
      <c r="F30" s="126"/>
    </row>
    <row r="31" spans="1:9">
      <c r="E31" s="126"/>
      <c r="F31" s="126"/>
    </row>
    <row r="32" spans="1:9">
      <c r="E32" s="126"/>
      <c r="F32" s="126"/>
    </row>
    <row r="33" spans="1:6">
      <c r="E33" s="126"/>
      <c r="F33" s="126"/>
    </row>
    <row r="34" spans="1:6">
      <c r="E34" s="126"/>
      <c r="F34" s="126"/>
    </row>
    <row r="35" spans="1:6">
      <c r="E35" s="126"/>
      <c r="F35" s="126"/>
    </row>
    <row r="36" spans="1:6">
      <c r="E36" s="126"/>
      <c r="F36" s="126"/>
    </row>
    <row r="37" spans="1:6">
      <c r="E37" s="126"/>
      <c r="F37" s="126"/>
    </row>
    <row r="38" spans="1:6">
      <c r="E38" s="126"/>
      <c r="F38" s="126"/>
    </row>
    <row r="39" spans="1:6">
      <c r="E39" s="126"/>
      <c r="F39" s="126"/>
    </row>
    <row r="40" spans="1:6">
      <c r="E40" s="126"/>
      <c r="F40" s="126"/>
    </row>
    <row r="41" spans="1:6">
      <c r="E41" s="126"/>
      <c r="F41" s="126"/>
    </row>
    <row r="42" spans="1:6">
      <c r="A42" s="126" t="s">
        <v>3</v>
      </c>
      <c r="E42" s="126"/>
      <c r="F42" s="126"/>
    </row>
    <row r="43" spans="1:6">
      <c r="E43" s="126"/>
      <c r="F43" s="126"/>
    </row>
    <row r="44" spans="1:6">
      <c r="E44" s="126"/>
      <c r="F44" s="126"/>
    </row>
    <row r="45" spans="1:6">
      <c r="E45" s="126"/>
      <c r="F45" s="126"/>
    </row>
    <row r="46" spans="1:6">
      <c r="E46" s="126"/>
      <c r="F46" s="126"/>
    </row>
    <row r="47" spans="1:6">
      <c r="E47" s="126"/>
      <c r="F47" s="126"/>
    </row>
    <row r="48" spans="1:6">
      <c r="E48" s="126"/>
      <c r="F48" s="126"/>
    </row>
    <row r="49" s="126" customFormat="1"/>
    <row r="50" s="126" customFormat="1"/>
    <row r="51" s="126" customFormat="1"/>
    <row r="52" s="126" customFormat="1"/>
    <row r="53" s="126" customFormat="1"/>
    <row r="54" s="126" customFormat="1"/>
    <row r="55" s="126" customFormat="1"/>
    <row r="56" s="126" customFormat="1"/>
    <row r="57" s="126" customFormat="1"/>
    <row r="58" s="126" customFormat="1"/>
    <row r="59" s="126" customFormat="1"/>
    <row r="60" s="126" customFormat="1"/>
    <row r="61" s="126" customFormat="1"/>
    <row r="62" s="126" customFormat="1"/>
    <row r="63" s="126" customFormat="1"/>
    <row r="64" s="126" customFormat="1"/>
    <row r="65" spans="1:6">
      <c r="E65" s="126"/>
      <c r="F65" s="126"/>
    </row>
    <row r="66" spans="1:6">
      <c r="E66" s="126"/>
      <c r="F66" s="126"/>
    </row>
    <row r="67" spans="1:6">
      <c r="E67" s="126"/>
      <c r="F67" s="126"/>
    </row>
    <row r="68" spans="1:6">
      <c r="E68" s="126"/>
      <c r="F68" s="126"/>
    </row>
    <row r="69" spans="1:6">
      <c r="E69" s="126"/>
      <c r="F69" s="126"/>
    </row>
    <row r="70" spans="1:6">
      <c r="E70" s="126"/>
      <c r="F70" s="126"/>
    </row>
    <row r="71" spans="1:6">
      <c r="E71" s="126"/>
      <c r="F71" s="126"/>
    </row>
    <row r="72" spans="1:6">
      <c r="E72" s="126"/>
      <c r="F72" s="126"/>
    </row>
    <row r="73" spans="1:6">
      <c r="E73" s="126"/>
      <c r="F73" s="126"/>
    </row>
    <row r="74" spans="1:6">
      <c r="E74" s="126"/>
      <c r="F74" s="126"/>
    </row>
    <row r="75" spans="1:6">
      <c r="E75" s="126"/>
      <c r="F75" s="126"/>
    </row>
    <row r="76" spans="1:6">
      <c r="E76" s="126"/>
      <c r="F76" s="126"/>
    </row>
    <row r="77" spans="1:6">
      <c r="E77" s="126"/>
      <c r="F77" s="126"/>
    </row>
    <row r="78" spans="1:6">
      <c r="E78" s="126"/>
      <c r="F78" s="126"/>
    </row>
    <row r="79" spans="1:6">
      <c r="E79" s="126"/>
      <c r="F79" s="126"/>
    </row>
    <row r="80" spans="1:6">
      <c r="A80" s="126" t="s">
        <v>3</v>
      </c>
      <c r="E80" s="126"/>
      <c r="F80" s="126"/>
    </row>
    <row r="81" s="126" customFormat="1"/>
    <row r="82" s="126" customFormat="1"/>
    <row r="83" s="126" customFormat="1"/>
    <row r="84" s="126" customFormat="1"/>
    <row r="85" s="126" customFormat="1"/>
    <row r="86" s="126" customFormat="1"/>
    <row r="87" s="126" customFormat="1"/>
    <row r="88" s="126" customFormat="1"/>
    <row r="89" s="126" customFormat="1"/>
    <row r="90" s="126" customFormat="1"/>
    <row r="91" s="126" customFormat="1"/>
    <row r="92" s="126" customFormat="1"/>
    <row r="93" s="126" customFormat="1"/>
    <row r="94" s="126" customFormat="1"/>
    <row r="95" s="126" customFormat="1"/>
    <row r="96" s="126" customFormat="1"/>
    <row r="97" s="126" customFormat="1"/>
    <row r="98" s="126" customFormat="1"/>
    <row r="99" s="126" customFormat="1"/>
    <row r="100" s="126" customFormat="1"/>
    <row r="101" s="126" customFormat="1"/>
    <row r="102" s="126" customFormat="1"/>
    <row r="103" s="126" customFormat="1"/>
    <row r="104" s="126" customFormat="1"/>
    <row r="105" s="126" customFormat="1"/>
    <row r="106" s="126" customFormat="1"/>
    <row r="107" s="126" customFormat="1"/>
    <row r="108" s="126" customFormat="1"/>
    <row r="109" s="126" customFormat="1"/>
    <row r="110" s="126" customFormat="1"/>
    <row r="111" s="126" customFormat="1"/>
    <row r="112" s="126" customFormat="1"/>
    <row r="113" s="126" customFormat="1"/>
    <row r="114" s="126" customFormat="1"/>
    <row r="115" s="126" customFormat="1"/>
    <row r="116" s="126" customFormat="1"/>
    <row r="117" s="126" customFormat="1"/>
    <row r="118" s="126" customFormat="1"/>
    <row r="119" s="126" customFormat="1"/>
    <row r="120" s="126" customFormat="1"/>
    <row r="121" s="126" customFormat="1"/>
    <row r="122" s="126" customFormat="1"/>
    <row r="123" s="126" customFormat="1"/>
    <row r="124" s="126" customFormat="1"/>
    <row r="125" s="126" customFormat="1"/>
    <row r="126" s="126" customFormat="1"/>
    <row r="127" s="126" customFormat="1"/>
    <row r="128" s="126" customFormat="1"/>
    <row r="129" s="126" customFormat="1"/>
    <row r="130" s="126" customFormat="1"/>
    <row r="131" s="126" customFormat="1"/>
    <row r="132" s="126" customFormat="1"/>
    <row r="133" s="126" customFormat="1"/>
    <row r="134" s="126" customFormat="1"/>
    <row r="135" s="126" customFormat="1"/>
    <row r="136" s="126" customFormat="1"/>
    <row r="137" s="126" customFormat="1"/>
    <row r="138" s="126" customFormat="1"/>
    <row r="139" s="126" customFormat="1"/>
    <row r="140" s="126" customFormat="1"/>
    <row r="141" s="126" customFormat="1"/>
    <row r="142" s="126" customFormat="1"/>
    <row r="143" s="126" customFormat="1"/>
    <row r="144" s="126" customFormat="1"/>
    <row r="145" s="126" customFormat="1"/>
    <row r="146" s="126" customFormat="1"/>
    <row r="147" s="126" customFormat="1"/>
    <row r="148" s="126" customFormat="1"/>
    <row r="149" s="126" customFormat="1"/>
    <row r="150" s="126" customFormat="1"/>
  </sheetData>
  <phoneticPr fontId="4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92026-BECD-46AE-ACB3-310DEABA2349}">
  <dimension ref="A1:O150"/>
  <sheetViews>
    <sheetView topLeftCell="A21" zoomScale="91" workbookViewId="0">
      <pane xSplit="1" topLeftCell="B1" activePane="topRight" state="frozen"/>
      <selection pane="topRight" activeCell="H54" sqref="H54"/>
    </sheetView>
  </sheetViews>
  <sheetFormatPr defaultRowHeight="15.6"/>
  <cols>
    <col min="1" max="2" width="21.1640625" style="126" customWidth="1"/>
    <col min="3" max="4" width="8.6640625" style="126"/>
    <col min="7" max="16384" width="8.6640625" style="126"/>
  </cols>
  <sheetData>
    <row r="1" spans="1:14">
      <c r="A1" s="129" t="s">
        <v>154</v>
      </c>
      <c r="B1" s="129" t="s">
        <v>164</v>
      </c>
      <c r="C1" s="129" t="s">
        <v>6</v>
      </c>
      <c r="D1" s="129" t="s">
        <v>157</v>
      </c>
      <c r="E1" s="129" t="s">
        <v>161</v>
      </c>
      <c r="F1" s="129" t="s">
        <v>163</v>
      </c>
      <c r="G1" s="129" t="s">
        <v>162</v>
      </c>
      <c r="H1" s="129" t="s">
        <v>159</v>
      </c>
      <c r="I1" s="129" t="s">
        <v>160</v>
      </c>
      <c r="J1" s="129" t="s">
        <v>322</v>
      </c>
      <c r="K1" s="129" t="s">
        <v>323</v>
      </c>
    </row>
    <row r="2" spans="1:14" s="127" customFormat="1">
      <c r="A2" s="126" t="s">
        <v>91</v>
      </c>
      <c r="B2" s="127" t="s">
        <v>27</v>
      </c>
      <c r="C2" s="129">
        <v>803</v>
      </c>
      <c r="D2" s="126">
        <v>728.4</v>
      </c>
      <c r="E2" s="126">
        <v>32.1</v>
      </c>
      <c r="F2" s="134">
        <v>0.3</v>
      </c>
      <c r="G2" s="134">
        <v>38.549999999999997</v>
      </c>
      <c r="H2" s="134">
        <v>2.6</v>
      </c>
      <c r="I2" s="126"/>
      <c r="J2" s="127">
        <f>SUM(Table15[[#This Row],[Jews]:[Druze]])</f>
        <v>801.94999999999993</v>
      </c>
      <c r="K2" s="127">
        <f>Table15[[#This Row],[Column2]]-Table15[[#This Row],[Total]]</f>
        <v>-1.0500000000000682</v>
      </c>
      <c r="L2" s="127">
        <f>SUM(F2:F4,F10:F13)</f>
        <v>0.7</v>
      </c>
      <c r="M2" s="126">
        <f>Table15[[#This Row],[Total]]/SUM($C$2:$C$4)</f>
        <v>0.44116031205362055</v>
      </c>
      <c r="N2" s="127">
        <f>M2*$H$24</f>
        <v>0</v>
      </c>
    </row>
    <row r="3" spans="1:14">
      <c r="A3" s="126" t="s">
        <v>93</v>
      </c>
      <c r="B3" s="127" t="s">
        <v>27</v>
      </c>
      <c r="C3" s="129">
        <v>376.1</v>
      </c>
      <c r="D3" s="126">
        <v>316.7</v>
      </c>
      <c r="E3" s="133">
        <v>13.3</v>
      </c>
      <c r="F3" s="134">
        <v>0.15</v>
      </c>
      <c r="G3" s="134">
        <v>42.25</v>
      </c>
      <c r="H3" s="134">
        <v>2.5</v>
      </c>
      <c r="J3" s="126">
        <f>SUM(Table15[[#This Row],[Jews]:[Druze]])</f>
        <v>374.9</v>
      </c>
      <c r="K3" s="126">
        <f>Table15[[#This Row],[Column2]]-Table15[[#This Row],[Total]]</f>
        <v>-1.2000000000000455</v>
      </c>
      <c r="M3" s="126">
        <f>Table15[[#This Row],[Total]]/SUM($C$2:$C$4)</f>
        <v>0.20662564553345789</v>
      </c>
      <c r="N3" s="127">
        <f>M3*$H$24</f>
        <v>0</v>
      </c>
    </row>
    <row r="4" spans="1:14">
      <c r="A4" s="126" t="s">
        <v>95</v>
      </c>
      <c r="B4" s="127" t="s">
        <v>27</v>
      </c>
      <c r="C4" s="129">
        <v>641.1</v>
      </c>
      <c r="D4" s="126">
        <v>599.29999999999995</v>
      </c>
      <c r="E4" s="126">
        <v>38.4</v>
      </c>
      <c r="F4" s="134">
        <v>0.25</v>
      </c>
      <c r="G4" s="134">
        <v>1.3</v>
      </c>
      <c r="H4" s="134">
        <v>0.5</v>
      </c>
      <c r="J4" s="126">
        <f>SUM(Table15[[#This Row],[Jews]:[Druze]])</f>
        <v>639.74999999999989</v>
      </c>
      <c r="K4" s="126">
        <f>Table15[[#This Row],[Column2]]-Table15[[#This Row],[Total]]</f>
        <v>-1.3500000000001364</v>
      </c>
      <c r="M4" s="126">
        <f>Table15[[#This Row],[Total]]/SUM($C$2:$C$4)</f>
        <v>0.3522140424129217</v>
      </c>
      <c r="N4" s="127">
        <f>M4*$H$24</f>
        <v>0</v>
      </c>
    </row>
    <row r="5" spans="1:14">
      <c r="A5" s="126" t="s">
        <v>89</v>
      </c>
      <c r="B5" s="127" t="s">
        <v>27</v>
      </c>
      <c r="C5" s="129">
        <v>505.8</v>
      </c>
      <c r="D5" s="126">
        <v>371.5</v>
      </c>
      <c r="E5" s="126">
        <v>26.5</v>
      </c>
      <c r="F5" s="126">
        <v>1.9</v>
      </c>
      <c r="G5" s="126">
        <v>105.9</v>
      </c>
      <c r="J5" s="126">
        <f>SUM(Table15[[#This Row],[Jews]:[Druze]])</f>
        <v>505.79999999999995</v>
      </c>
      <c r="K5" s="129">
        <f>Table15[[#This Row],[Column2]]-Table15[[#This Row],[Total]]</f>
        <v>0</v>
      </c>
      <c r="L5" s="129"/>
    </row>
    <row r="6" spans="1:14">
      <c r="A6" s="126" t="s">
        <v>87</v>
      </c>
      <c r="B6" s="127" t="s">
        <v>21</v>
      </c>
      <c r="C6" s="129">
        <v>500.6</v>
      </c>
      <c r="D6" s="126">
        <v>274.39999999999998</v>
      </c>
      <c r="E6" s="133">
        <v>15.3</v>
      </c>
      <c r="F6" s="126">
        <v>2.1</v>
      </c>
      <c r="G6" s="126">
        <v>208.7</v>
      </c>
      <c r="J6" s="126">
        <f>SUM(Table15[[#This Row],[Jews]:[Druze]])</f>
        <v>500.5</v>
      </c>
      <c r="K6" s="126">
        <f>Table15[[#This Row],[Column2]]-Table15[[#This Row],[Total]]</f>
        <v>-0.10000000000002274</v>
      </c>
    </row>
    <row r="7" spans="1:14">
      <c r="A7" s="126" t="s">
        <v>85</v>
      </c>
      <c r="B7" s="127" t="s">
        <v>21</v>
      </c>
      <c r="C7" s="129">
        <v>607.9</v>
      </c>
      <c r="D7" s="126">
        <v>468.5</v>
      </c>
      <c r="E7" s="126">
        <v>61.8</v>
      </c>
      <c r="F7" s="126">
        <v>6.6</v>
      </c>
      <c r="G7" s="126">
        <v>24.3</v>
      </c>
      <c r="H7" s="133">
        <v>18.899999999999999</v>
      </c>
      <c r="I7" s="126">
        <v>27.8</v>
      </c>
      <c r="J7" s="126">
        <f>SUM(Table15[[#This Row],[Jews]:[Druze]])</f>
        <v>607.89999999999986</v>
      </c>
      <c r="K7" s="126">
        <f>Table15[[#This Row],[Column2]]-Table15[[#This Row],[Total]]</f>
        <v>0</v>
      </c>
    </row>
    <row r="8" spans="1:14" s="127" customFormat="1">
      <c r="A8" s="127" t="s">
        <v>165</v>
      </c>
      <c r="B8" s="127" t="s">
        <v>13</v>
      </c>
      <c r="C8" s="131">
        <v>1224.5</v>
      </c>
      <c r="D8" s="127">
        <v>811.6</v>
      </c>
      <c r="E8" s="127">
        <v>15.2</v>
      </c>
      <c r="F8" s="127">
        <v>4.2999999999999545</v>
      </c>
      <c r="G8" s="127">
        <v>380.3</v>
      </c>
      <c r="H8" s="127">
        <v>13.1</v>
      </c>
      <c r="J8" s="127">
        <f>SUM(Table15[[#This Row],[Jews]:[Druze]])</f>
        <v>1224.5</v>
      </c>
      <c r="K8" s="127">
        <f>Table15[[#This Row],[Column2]]-Table15[[#This Row],[Total]]</f>
        <v>0</v>
      </c>
      <c r="M8" s="126"/>
    </row>
    <row r="9" spans="1:14">
      <c r="A9" s="126" t="s">
        <v>81</v>
      </c>
      <c r="B9" s="127" t="s">
        <v>15</v>
      </c>
      <c r="C9" s="129">
        <v>676.7</v>
      </c>
      <c r="D9" s="126">
        <v>204</v>
      </c>
      <c r="E9" s="126">
        <v>26.7</v>
      </c>
      <c r="F9" s="126">
        <v>3.2</v>
      </c>
      <c r="G9" s="126">
        <v>315.39999999999998</v>
      </c>
      <c r="H9" s="126">
        <v>46.2</v>
      </c>
      <c r="I9" s="126">
        <v>81.2</v>
      </c>
      <c r="J9" s="126">
        <f>SUM(Table15[[#This Row],[Jews]:[Druze]])</f>
        <v>676.7</v>
      </c>
      <c r="K9" s="126">
        <f>Table15[[#This Row],[Column2]]-Table15[[#This Row],[Total]]</f>
        <v>0</v>
      </c>
    </row>
    <row r="10" spans="1:14" s="127" customFormat="1">
      <c r="A10" s="126" t="s">
        <v>83</v>
      </c>
      <c r="B10" s="127" t="s">
        <v>15</v>
      </c>
      <c r="C10" s="129">
        <v>54.4</v>
      </c>
      <c r="D10" s="126">
        <v>25.3</v>
      </c>
      <c r="E10" s="134">
        <v>2.1</v>
      </c>
      <c r="F10" s="134"/>
      <c r="G10" s="134">
        <v>2.4</v>
      </c>
      <c r="H10" s="134">
        <v>0.4</v>
      </c>
      <c r="I10" s="126">
        <v>24.2</v>
      </c>
      <c r="J10" s="127">
        <f>SUM(Table15[[#This Row],[Jews]:[Druze]])</f>
        <v>54.4</v>
      </c>
      <c r="K10" s="127">
        <f>Table15[[#This Row],[Column2]]-Table15[[#This Row],[Total]]</f>
        <v>0</v>
      </c>
      <c r="M10" s="126"/>
      <c r="N10" s="126"/>
    </row>
    <row r="11" spans="1:14">
      <c r="A11" s="126" t="s">
        <v>77</v>
      </c>
      <c r="B11" s="127" t="s">
        <v>15</v>
      </c>
      <c r="C11" s="129">
        <v>119.5</v>
      </c>
      <c r="D11" s="126">
        <v>78.8</v>
      </c>
      <c r="E11" s="134">
        <v>5</v>
      </c>
      <c r="F11" s="134"/>
      <c r="G11" s="134">
        <v>17.100000000000001</v>
      </c>
      <c r="H11" s="134">
        <v>8.1999999999999993</v>
      </c>
      <c r="I11" s="134">
        <v>11.3</v>
      </c>
      <c r="J11" s="126">
        <f>SUM(Table15[[#This Row],[Jews]:[Druze]])</f>
        <v>120.4</v>
      </c>
      <c r="K11" s="126">
        <f>Table15[[#This Row],[Column2]]-Table15[[#This Row],[Total]]</f>
        <v>0.90000000000000568</v>
      </c>
    </row>
    <row r="12" spans="1:14">
      <c r="A12" s="126" t="s">
        <v>79</v>
      </c>
      <c r="B12" s="127" t="s">
        <v>15</v>
      </c>
      <c r="C12" s="129">
        <v>550.29999999999995</v>
      </c>
      <c r="D12" s="126">
        <v>232.2</v>
      </c>
      <c r="E12" s="134">
        <v>24</v>
      </c>
      <c r="F12" s="134"/>
      <c r="G12" s="126">
        <v>255.6</v>
      </c>
      <c r="H12" s="126">
        <v>40</v>
      </c>
      <c r="J12" s="126">
        <f>SUM(Table15[[#This Row],[Jews]:[Druze]])</f>
        <v>551.79999999999995</v>
      </c>
      <c r="K12" s="126">
        <f>Table15[[#This Row],[Column2]]-Table15[[#This Row],[Total]]</f>
        <v>1.5</v>
      </c>
    </row>
    <row r="13" spans="1:14">
      <c r="A13" s="126" t="s">
        <v>75</v>
      </c>
      <c r="B13" s="127" t="s">
        <v>15</v>
      </c>
      <c r="C13" s="129">
        <v>127</v>
      </c>
      <c r="D13" s="126">
        <v>107.2</v>
      </c>
      <c r="E13" s="134">
        <v>6.3</v>
      </c>
      <c r="F13" s="134"/>
      <c r="G13" s="134">
        <v>6.7</v>
      </c>
      <c r="H13" s="134">
        <v>3</v>
      </c>
      <c r="I13" s="134">
        <v>4.9000000000000004</v>
      </c>
      <c r="J13" s="126">
        <f>SUM(Table15[[#This Row],[Jews]:[Druze]])</f>
        <v>128.1</v>
      </c>
      <c r="K13" s="126">
        <f>Table15[[#This Row],[Column2]]-Table15[[#This Row],[Total]]</f>
        <v>1.0999999999999943</v>
      </c>
    </row>
    <row r="14" spans="1:14">
      <c r="A14" s="126" t="s">
        <v>70</v>
      </c>
      <c r="B14" s="127" t="s">
        <v>33</v>
      </c>
      <c r="C14" s="129">
        <v>585.9</v>
      </c>
      <c r="D14" s="126">
        <v>529.79999999999995</v>
      </c>
      <c r="E14" s="126">
        <v>51.5</v>
      </c>
      <c r="F14" s="126">
        <v>3</v>
      </c>
      <c r="G14" s="133">
        <v>1.6</v>
      </c>
      <c r="J14" s="126">
        <f>SUM(Table15[[#This Row],[Jews]:[Druze]])</f>
        <v>585.9</v>
      </c>
      <c r="K14" s="126">
        <f>Table15[[#This Row],[Column2]]-Table15[[#This Row],[Total]]</f>
        <v>0</v>
      </c>
    </row>
    <row r="15" spans="1:14">
      <c r="A15" s="126" t="s">
        <v>72</v>
      </c>
      <c r="B15" s="127" t="s">
        <v>33</v>
      </c>
      <c r="C15" s="129">
        <v>818.4</v>
      </c>
      <c r="D15" s="126">
        <v>461.9</v>
      </c>
      <c r="E15" s="126">
        <v>45.4</v>
      </c>
      <c r="F15" s="126">
        <v>4.7000000000000455</v>
      </c>
      <c r="G15" s="126">
        <v>306.39999999999998</v>
      </c>
      <c r="J15" s="126">
        <f>SUM(Table15[[#This Row],[Jews]:[Druze]])</f>
        <v>818.4</v>
      </c>
      <c r="K15" s="126">
        <f>Table15[[#This Row],[Column2]]-Table15[[#This Row],[Total]]</f>
        <v>0</v>
      </c>
    </row>
    <row r="16" spans="1:14">
      <c r="A16" s="127" t="s">
        <v>166</v>
      </c>
      <c r="B16" s="127" t="s">
        <v>31</v>
      </c>
      <c r="C16" s="131">
        <v>1494.3</v>
      </c>
      <c r="D16" s="127">
        <v>1370.3</v>
      </c>
      <c r="E16" s="127">
        <v>88.5</v>
      </c>
      <c r="F16" s="127">
        <v>10.099999999999909</v>
      </c>
      <c r="G16" s="127">
        <v>21.5</v>
      </c>
      <c r="H16" s="127">
        <v>3.9</v>
      </c>
      <c r="I16" s="127"/>
      <c r="J16" s="126">
        <f>SUM(Table15[[#This Row],[Jews]:[Druze]])</f>
        <v>1494.3</v>
      </c>
      <c r="K16" s="126">
        <f>Table15[[#This Row],[Column2]]-Table15[[#This Row],[Total]]</f>
        <v>0</v>
      </c>
    </row>
    <row r="17" spans="1:15">
      <c r="E17" s="126"/>
      <c r="F17" s="126"/>
    </row>
    <row r="18" spans="1:15">
      <c r="A18" s="135" t="s">
        <v>153</v>
      </c>
      <c r="B18" s="136"/>
      <c r="C18" s="136"/>
      <c r="D18" s="136"/>
      <c r="E18" s="136"/>
      <c r="F18" s="136"/>
      <c r="G18" s="136"/>
      <c r="H18" s="136"/>
      <c r="I18" s="137"/>
    </row>
    <row r="19" spans="1:15">
      <c r="A19" s="138" t="s">
        <v>1</v>
      </c>
      <c r="B19" s="139"/>
      <c r="C19" s="139"/>
      <c r="D19" s="139"/>
      <c r="E19" s="139"/>
      <c r="F19" s="139"/>
      <c r="G19" s="139"/>
      <c r="H19" s="139"/>
      <c r="I19" s="140"/>
    </row>
    <row r="20" spans="1:15" s="127" customFormat="1">
      <c r="A20" s="129" t="s">
        <v>110</v>
      </c>
      <c r="B20" s="129" t="s">
        <v>332</v>
      </c>
      <c r="C20" s="129">
        <v>9085.5</v>
      </c>
      <c r="D20" s="126">
        <v>6580</v>
      </c>
      <c r="E20" s="126">
        <v>452.1</v>
      </c>
      <c r="F20" s="126">
        <v>36.6</v>
      </c>
      <c r="G20" s="126">
        <v>1728.1</v>
      </c>
      <c r="H20" s="126">
        <v>139.30000000000001</v>
      </c>
      <c r="I20" s="126">
        <v>149.4</v>
      </c>
    </row>
    <row r="21" spans="1:15">
      <c r="E21" s="126"/>
      <c r="F21" s="126"/>
    </row>
    <row r="22" spans="1:15">
      <c r="C22" s="126">
        <f>SUM(Table15[Total])</f>
        <v>9085.4999999999982</v>
      </c>
      <c r="D22" s="126">
        <f>SUM(Table15[Jews])</f>
        <v>6579.9</v>
      </c>
      <c r="E22" s="126">
        <f>SUM(Table15[No religion classification])</f>
        <v>452.09999999999997</v>
      </c>
      <c r="F22" s="126">
        <f>SUM(Table15[Others])</f>
        <v>36.599999999999909</v>
      </c>
      <c r="G22" s="126">
        <f>SUM(Table15[Arab Muslims])</f>
        <v>1727.9999999999995</v>
      </c>
      <c r="H22" s="126">
        <f>SUM(Table15[Arab Christians])</f>
        <v>139.30000000000004</v>
      </c>
      <c r="I22" s="126">
        <f>SUM(Table15[Druze])</f>
        <v>149.4</v>
      </c>
    </row>
    <row r="23" spans="1:15">
      <c r="C23" s="126">
        <f>C20-C22</f>
        <v>0</v>
      </c>
      <c r="D23" s="126">
        <f t="shared" ref="D23:I23" si="0">D20-D22</f>
        <v>0.1000000000003638</v>
      </c>
      <c r="E23" s="126">
        <f t="shared" si="0"/>
        <v>0</v>
      </c>
      <c r="F23" s="126">
        <f>F20-F22</f>
        <v>9.2370555648813024E-14</v>
      </c>
      <c r="G23" s="126">
        <f t="shared" si="0"/>
        <v>0.1000000000003638</v>
      </c>
      <c r="H23" s="126">
        <f t="shared" si="0"/>
        <v>0</v>
      </c>
      <c r="I23" s="126">
        <f t="shared" si="0"/>
        <v>0</v>
      </c>
      <c r="K23" s="126">
        <f>I23/2</f>
        <v>0</v>
      </c>
    </row>
    <row r="24" spans="1:15">
      <c r="D24" s="126">
        <v>0.1000000000003638</v>
      </c>
      <c r="E24" s="126">
        <v>2.2999999999999998</v>
      </c>
      <c r="F24" s="126"/>
    </row>
    <row r="25" spans="1:15">
      <c r="A25" s="138"/>
      <c r="B25" s="177" t="s">
        <v>167</v>
      </c>
      <c r="C25" s="178">
        <v>472</v>
      </c>
      <c r="D25" s="177">
        <v>462</v>
      </c>
      <c r="E25" s="177"/>
      <c r="F25" s="177">
        <v>10</v>
      </c>
    </row>
    <row r="26" spans="1:15">
      <c r="E26" s="126"/>
      <c r="F26" s="126"/>
    </row>
    <row r="27" spans="1:15">
      <c r="A27" s="126" t="s">
        <v>154</v>
      </c>
      <c r="B27" s="126" t="s">
        <v>6</v>
      </c>
      <c r="C27" s="126" t="s">
        <v>155</v>
      </c>
      <c r="D27" s="126" t="s">
        <v>3</v>
      </c>
      <c r="E27" s="126" t="s">
        <v>156</v>
      </c>
      <c r="F27" s="126" t="s">
        <v>3</v>
      </c>
      <c r="G27" s="126" t="s">
        <v>157</v>
      </c>
      <c r="I27" s="126" t="s">
        <v>158</v>
      </c>
      <c r="K27" s="126" t="s">
        <v>159</v>
      </c>
      <c r="M27" s="126" t="s">
        <v>160</v>
      </c>
      <c r="O27" s="126" t="s">
        <v>161</v>
      </c>
    </row>
    <row r="28" spans="1:15">
      <c r="A28" s="126" t="s">
        <v>110</v>
      </c>
      <c r="B28" s="126">
        <v>9557.5</v>
      </c>
      <c r="C28" s="126">
        <v>7539.2</v>
      </c>
      <c r="D28" s="126" t="s">
        <v>11</v>
      </c>
      <c r="E28" s="126">
        <v>2018.3</v>
      </c>
      <c r="F28" s="126" t="s">
        <v>111</v>
      </c>
      <c r="G28" s="126">
        <v>7042</v>
      </c>
      <c r="H28" s="126" t="s">
        <v>11</v>
      </c>
      <c r="I28" s="126">
        <v>1728.1</v>
      </c>
      <c r="J28" s="126" t="s">
        <v>11</v>
      </c>
      <c r="K28" s="126">
        <v>139.30000000000001</v>
      </c>
      <c r="L28" s="126" t="s">
        <v>11</v>
      </c>
      <c r="M28" s="126">
        <v>149.4</v>
      </c>
      <c r="N28" s="126" t="s">
        <v>11</v>
      </c>
      <c r="O28" s="126">
        <v>452.1</v>
      </c>
    </row>
    <row r="29" spans="1:15" s="127" customFormat="1">
      <c r="A29" s="127" t="s">
        <v>13</v>
      </c>
      <c r="B29" s="127">
        <v>1224.5</v>
      </c>
      <c r="C29" s="127">
        <v>830.9</v>
      </c>
      <c r="D29" s="127" t="s">
        <v>13</v>
      </c>
      <c r="E29" s="127">
        <v>393.6</v>
      </c>
      <c r="F29" s="127" t="s">
        <v>13</v>
      </c>
      <c r="G29" s="127">
        <v>811.6</v>
      </c>
      <c r="H29" s="127" t="s">
        <v>13</v>
      </c>
      <c r="I29" s="127">
        <v>380.3</v>
      </c>
      <c r="J29" s="127" t="s">
        <v>41</v>
      </c>
      <c r="K29" s="127">
        <v>13.1</v>
      </c>
      <c r="N29" s="127" t="s">
        <v>13</v>
      </c>
      <c r="O29" s="127">
        <v>15.2</v>
      </c>
    </row>
    <row r="30" spans="1:15" s="127" customFormat="1">
      <c r="A30" s="127" t="s">
        <v>15</v>
      </c>
      <c r="B30" s="127">
        <v>1527.8</v>
      </c>
      <c r="C30" s="127">
        <v>711</v>
      </c>
      <c r="D30" s="127" t="s">
        <v>15</v>
      </c>
      <c r="E30" s="127">
        <v>816.8</v>
      </c>
      <c r="F30" s="127" t="s">
        <v>15</v>
      </c>
      <c r="G30" s="127">
        <v>647.5</v>
      </c>
      <c r="H30" s="127" t="s">
        <v>15</v>
      </c>
      <c r="I30" s="127">
        <v>597.29999999999995</v>
      </c>
      <c r="J30" s="127" t="s">
        <v>43</v>
      </c>
      <c r="K30" s="127">
        <v>97.8</v>
      </c>
      <c r="L30" s="127" t="s">
        <v>43</v>
      </c>
      <c r="M30" s="127">
        <v>120.3</v>
      </c>
      <c r="N30" s="127" t="s">
        <v>15</v>
      </c>
      <c r="O30" s="127">
        <v>55.6</v>
      </c>
    </row>
    <row r="31" spans="1:15">
      <c r="A31" s="126" t="s">
        <v>75</v>
      </c>
      <c r="B31" s="126">
        <v>127</v>
      </c>
      <c r="C31" s="126">
        <v>112.9</v>
      </c>
      <c r="E31" s="126"/>
      <c r="F31" s="126" t="s">
        <v>75</v>
      </c>
      <c r="G31" s="126">
        <v>107.2</v>
      </c>
    </row>
    <row r="32" spans="1:15">
      <c r="A32" s="126" t="s">
        <v>77</v>
      </c>
      <c r="B32" s="126">
        <v>119.5</v>
      </c>
      <c r="C32" s="126">
        <v>83.2</v>
      </c>
      <c r="E32" s="126"/>
      <c r="F32" s="126" t="s">
        <v>77</v>
      </c>
      <c r="G32" s="126">
        <v>78.8</v>
      </c>
    </row>
    <row r="33" spans="1:15">
      <c r="A33" s="126" t="s">
        <v>79</v>
      </c>
      <c r="B33" s="126">
        <v>550.29999999999995</v>
      </c>
      <c r="C33" s="126">
        <v>254.6</v>
      </c>
      <c r="D33" s="126" t="s">
        <v>17</v>
      </c>
      <c r="E33" s="126">
        <v>295.7</v>
      </c>
      <c r="F33" s="126" t="s">
        <v>79</v>
      </c>
      <c r="G33" s="126">
        <v>232.2</v>
      </c>
      <c r="H33" s="126" t="s">
        <v>17</v>
      </c>
      <c r="I33" s="126">
        <v>255.6</v>
      </c>
      <c r="J33" s="126" t="s">
        <v>45</v>
      </c>
      <c r="K33" s="126">
        <v>40</v>
      </c>
    </row>
    <row r="34" spans="1:15">
      <c r="A34" s="126" t="s">
        <v>81</v>
      </c>
      <c r="B34" s="126">
        <v>676.7</v>
      </c>
      <c r="C34" s="126">
        <v>233.1</v>
      </c>
      <c r="D34" s="126" t="s">
        <v>19</v>
      </c>
      <c r="E34" s="126">
        <v>443.6</v>
      </c>
      <c r="F34" s="126" t="s">
        <v>81</v>
      </c>
      <c r="G34" s="126">
        <v>204</v>
      </c>
      <c r="H34" s="126" t="s">
        <v>19</v>
      </c>
      <c r="I34" s="126">
        <v>315.39999999999998</v>
      </c>
      <c r="J34" s="126" t="s">
        <v>47</v>
      </c>
      <c r="K34" s="126">
        <v>46.2</v>
      </c>
      <c r="L34" s="126" t="s">
        <v>57</v>
      </c>
      <c r="M34" s="126">
        <v>81.2</v>
      </c>
      <c r="N34" s="126" t="s">
        <v>62</v>
      </c>
      <c r="O34" s="126">
        <v>26.7</v>
      </c>
    </row>
    <row r="35" spans="1:15">
      <c r="A35" s="126" t="s">
        <v>83</v>
      </c>
      <c r="B35" s="126">
        <v>54.4</v>
      </c>
      <c r="C35" s="126">
        <v>27.3</v>
      </c>
      <c r="E35" s="126"/>
      <c r="F35" s="126" t="s">
        <v>83</v>
      </c>
      <c r="G35" s="126">
        <v>25.3</v>
      </c>
      <c r="L35" s="126" t="s">
        <v>59</v>
      </c>
      <c r="M35" s="126">
        <v>24.2</v>
      </c>
    </row>
    <row r="36" spans="1:15" s="127" customFormat="1">
      <c r="A36" s="127" t="s">
        <v>21</v>
      </c>
      <c r="B36" s="127">
        <v>1108.5</v>
      </c>
      <c r="C36" s="127">
        <v>828.6</v>
      </c>
      <c r="D36" s="127" t="s">
        <v>21</v>
      </c>
      <c r="E36" s="127">
        <v>280</v>
      </c>
      <c r="F36" s="127" t="s">
        <v>21</v>
      </c>
      <c r="G36" s="127">
        <v>742.9</v>
      </c>
      <c r="H36" s="127" t="s">
        <v>21</v>
      </c>
      <c r="I36" s="127">
        <v>233.1</v>
      </c>
      <c r="J36" s="127" t="s">
        <v>49</v>
      </c>
      <c r="K36" s="127">
        <v>18.899999999999999</v>
      </c>
      <c r="L36" s="127" t="s">
        <v>49</v>
      </c>
      <c r="M36" s="127">
        <v>27.8</v>
      </c>
      <c r="N36" s="127" t="s">
        <v>21</v>
      </c>
      <c r="O36" s="127">
        <v>77.099999999999994</v>
      </c>
    </row>
    <row r="37" spans="1:15">
      <c r="A37" s="126" t="s">
        <v>85</v>
      </c>
      <c r="B37" s="126">
        <v>607.9</v>
      </c>
      <c r="C37" s="126">
        <v>537</v>
      </c>
      <c r="D37" s="126" t="s">
        <v>23</v>
      </c>
      <c r="E37" s="126">
        <v>70.900000000000006</v>
      </c>
      <c r="F37" s="126" t="s">
        <v>85</v>
      </c>
      <c r="G37" s="126">
        <v>468.5</v>
      </c>
      <c r="H37" s="126" t="s">
        <v>23</v>
      </c>
      <c r="I37" s="126">
        <v>24.3</v>
      </c>
      <c r="L37" s="126" t="s">
        <v>108</v>
      </c>
      <c r="M37" s="126">
        <v>27.8</v>
      </c>
      <c r="N37" s="126" t="s">
        <v>109</v>
      </c>
      <c r="O37" s="126">
        <v>61.8</v>
      </c>
    </row>
    <row r="38" spans="1:15">
      <c r="A38" s="126" t="s">
        <v>87</v>
      </c>
      <c r="B38" s="126">
        <v>500.6</v>
      </c>
      <c r="C38" s="126">
        <v>291.60000000000002</v>
      </c>
      <c r="D38" s="126" t="s">
        <v>25</v>
      </c>
      <c r="E38" s="126">
        <v>209</v>
      </c>
      <c r="F38" s="126" t="s">
        <v>87</v>
      </c>
      <c r="G38" s="126">
        <v>274.39999999999998</v>
      </c>
      <c r="H38" s="126" t="s">
        <v>25</v>
      </c>
      <c r="I38" s="126">
        <v>208.7</v>
      </c>
    </row>
    <row r="39" spans="1:15" s="127" customFormat="1">
      <c r="A39" s="127" t="s">
        <v>27</v>
      </c>
      <c r="B39" s="127">
        <v>2326</v>
      </c>
      <c r="C39" s="127">
        <v>2133.8000000000002</v>
      </c>
      <c r="D39" s="127" t="s">
        <v>27</v>
      </c>
      <c r="E39" s="127">
        <v>192.1</v>
      </c>
      <c r="F39" s="127" t="s">
        <v>27</v>
      </c>
      <c r="G39" s="127">
        <v>2015.9</v>
      </c>
      <c r="H39" s="127" t="s">
        <v>27</v>
      </c>
      <c r="I39" s="127">
        <v>187.2</v>
      </c>
      <c r="J39" s="127" t="s">
        <v>51</v>
      </c>
      <c r="K39" s="127">
        <v>4.7</v>
      </c>
      <c r="N39" s="127" t="s">
        <v>27</v>
      </c>
      <c r="O39" s="127">
        <v>110.3</v>
      </c>
    </row>
    <row r="40" spans="1:15">
      <c r="A40" s="126" t="s">
        <v>89</v>
      </c>
      <c r="B40" s="126">
        <v>505.8</v>
      </c>
      <c r="C40" s="126">
        <v>399.8</v>
      </c>
      <c r="D40" s="126" t="s">
        <v>29</v>
      </c>
      <c r="E40" s="126">
        <v>106.1</v>
      </c>
      <c r="F40" s="126" t="s">
        <v>89</v>
      </c>
      <c r="G40" s="126">
        <v>371.5</v>
      </c>
      <c r="H40" s="126" t="s">
        <v>29</v>
      </c>
      <c r="I40" s="126">
        <v>105.9</v>
      </c>
      <c r="N40" s="126" t="s">
        <v>64</v>
      </c>
      <c r="O40" s="126">
        <v>26.5</v>
      </c>
    </row>
    <row r="41" spans="1:15">
      <c r="A41" s="126" t="s">
        <v>91</v>
      </c>
      <c r="B41" s="126">
        <v>803</v>
      </c>
      <c r="C41" s="126">
        <v>762.5</v>
      </c>
      <c r="E41" s="126"/>
      <c r="F41" s="126" t="s">
        <v>91</v>
      </c>
      <c r="G41" s="126">
        <v>728.4</v>
      </c>
      <c r="N41" s="126" t="s">
        <v>66</v>
      </c>
      <c r="O41" s="126">
        <v>32.1</v>
      </c>
    </row>
    <row r="42" spans="1:15">
      <c r="A42" s="126" t="s">
        <v>93</v>
      </c>
      <c r="B42" s="126">
        <v>376.1</v>
      </c>
      <c r="C42" s="126">
        <v>331.7</v>
      </c>
      <c r="E42" s="126"/>
      <c r="F42" s="126" t="s">
        <v>93</v>
      </c>
      <c r="G42" s="126">
        <v>316.7</v>
      </c>
    </row>
    <row r="43" spans="1:15">
      <c r="A43" s="126" t="s">
        <v>95</v>
      </c>
      <c r="B43" s="126">
        <v>641.1</v>
      </c>
      <c r="C43" s="126">
        <v>639.9</v>
      </c>
      <c r="E43" s="126"/>
      <c r="F43" s="126" t="s">
        <v>95</v>
      </c>
      <c r="G43" s="126">
        <v>599.29999999999995</v>
      </c>
      <c r="N43" s="126" t="s">
        <v>68</v>
      </c>
      <c r="O43" s="126">
        <v>38.4</v>
      </c>
    </row>
    <row r="44" spans="1:15" s="127" customFormat="1">
      <c r="A44" s="127" t="s">
        <v>31</v>
      </c>
      <c r="B44" s="127">
        <v>1494.3</v>
      </c>
      <c r="C44" s="127">
        <v>1468.6</v>
      </c>
      <c r="D44" s="127" t="s">
        <v>31</v>
      </c>
      <c r="E44" s="127">
        <v>25.7</v>
      </c>
      <c r="F44" s="127" t="s">
        <v>31</v>
      </c>
      <c r="G44" s="127">
        <v>1370.3</v>
      </c>
      <c r="H44" s="127" t="s">
        <v>31</v>
      </c>
      <c r="I44" s="127">
        <v>21.5</v>
      </c>
      <c r="J44" s="127" t="s">
        <v>53</v>
      </c>
      <c r="K44" s="127">
        <v>3.9</v>
      </c>
      <c r="N44" s="127" t="s">
        <v>31</v>
      </c>
      <c r="O44" s="127">
        <v>88.5</v>
      </c>
    </row>
    <row r="45" spans="1:15" s="127" customFormat="1">
      <c r="A45" s="127" t="s">
        <v>33</v>
      </c>
      <c r="B45" s="127">
        <v>1404.3</v>
      </c>
      <c r="C45" s="127">
        <v>1095.2</v>
      </c>
      <c r="D45" s="127" t="s">
        <v>33</v>
      </c>
      <c r="E45" s="127">
        <v>309.10000000000002</v>
      </c>
      <c r="F45" s="127" t="s">
        <v>33</v>
      </c>
      <c r="G45" s="127">
        <v>991.7</v>
      </c>
      <c r="H45" s="127" t="s">
        <v>33</v>
      </c>
      <c r="I45" s="127">
        <v>308</v>
      </c>
      <c r="N45" s="127" t="s">
        <v>33</v>
      </c>
      <c r="O45" s="127">
        <v>96.9</v>
      </c>
    </row>
    <row r="46" spans="1:15">
      <c r="A46" s="126" t="s">
        <v>70</v>
      </c>
      <c r="B46" s="126">
        <v>585.9</v>
      </c>
      <c r="C46" s="126">
        <v>584.29999999999995</v>
      </c>
      <c r="E46" s="126"/>
      <c r="F46" s="126" t="s">
        <v>70</v>
      </c>
      <c r="G46" s="126">
        <v>529.79999999999995</v>
      </c>
      <c r="N46" s="126" t="s">
        <v>70</v>
      </c>
      <c r="O46" s="126">
        <v>51.5</v>
      </c>
    </row>
    <row r="47" spans="1:15">
      <c r="A47" s="126" t="s">
        <v>72</v>
      </c>
      <c r="B47" s="126">
        <v>818.4</v>
      </c>
      <c r="C47" s="126">
        <v>511</v>
      </c>
      <c r="D47" s="126" t="s">
        <v>129</v>
      </c>
      <c r="E47" s="126">
        <v>307.5</v>
      </c>
      <c r="F47" s="126" t="s">
        <v>72</v>
      </c>
      <c r="G47" s="126">
        <v>461.9</v>
      </c>
      <c r="H47" s="126" t="s">
        <v>35</v>
      </c>
      <c r="I47" s="126">
        <v>306.39999999999998</v>
      </c>
      <c r="N47" s="126" t="s">
        <v>72</v>
      </c>
      <c r="O47" s="126">
        <v>45.4</v>
      </c>
    </row>
    <row r="48" spans="1:15">
      <c r="A48" s="126" t="s">
        <v>119</v>
      </c>
      <c r="B48" s="126">
        <v>472</v>
      </c>
      <c r="C48" s="126">
        <v>471</v>
      </c>
      <c r="E48" s="126"/>
      <c r="F48" s="126" t="s">
        <v>119</v>
      </c>
      <c r="G48" s="126">
        <v>462</v>
      </c>
    </row>
    <row r="49" s="126" customFormat="1"/>
    <row r="50" s="126" customFormat="1"/>
    <row r="51" s="126" customFormat="1"/>
    <row r="52" s="126" customFormat="1"/>
    <row r="53" s="126" customFormat="1"/>
    <row r="54" s="126" customFormat="1"/>
    <row r="55" s="126" customFormat="1"/>
    <row r="56" s="126" customFormat="1"/>
    <row r="57" s="126" customFormat="1"/>
    <row r="58" s="126" customFormat="1"/>
    <row r="59" s="126" customFormat="1"/>
    <row r="60" s="126" customFormat="1"/>
    <row r="61" s="126" customFormat="1"/>
    <row r="62" s="126" customFormat="1"/>
    <row r="63" s="126" customFormat="1"/>
    <row r="64" s="126" customFormat="1"/>
    <row r="65" spans="1:6">
      <c r="E65" s="126"/>
      <c r="F65" s="126"/>
    </row>
    <row r="66" spans="1:6">
      <c r="E66" s="126"/>
      <c r="F66" s="126"/>
    </row>
    <row r="67" spans="1:6">
      <c r="E67" s="126"/>
      <c r="F67" s="126"/>
    </row>
    <row r="68" spans="1:6">
      <c r="E68" s="126"/>
      <c r="F68" s="126"/>
    </row>
    <row r="69" spans="1:6">
      <c r="E69" s="126"/>
      <c r="F69" s="126"/>
    </row>
    <row r="70" spans="1:6">
      <c r="E70" s="126"/>
      <c r="F70" s="126"/>
    </row>
    <row r="71" spans="1:6">
      <c r="E71" s="126"/>
      <c r="F71" s="126"/>
    </row>
    <row r="72" spans="1:6">
      <c r="E72" s="126"/>
      <c r="F72" s="126"/>
    </row>
    <row r="73" spans="1:6">
      <c r="E73" s="126"/>
      <c r="F73" s="126"/>
    </row>
    <row r="74" spans="1:6">
      <c r="E74" s="126"/>
      <c r="F74" s="126"/>
    </row>
    <row r="75" spans="1:6">
      <c r="E75" s="126"/>
      <c r="F75" s="126"/>
    </row>
    <row r="76" spans="1:6">
      <c r="E76" s="126"/>
      <c r="F76" s="126"/>
    </row>
    <row r="77" spans="1:6">
      <c r="E77" s="126"/>
      <c r="F77" s="126"/>
    </row>
    <row r="78" spans="1:6">
      <c r="E78" s="126"/>
      <c r="F78" s="126"/>
    </row>
    <row r="79" spans="1:6">
      <c r="E79" s="126"/>
      <c r="F79" s="126"/>
    </row>
    <row r="80" spans="1:6">
      <c r="A80" s="126" t="s">
        <v>3</v>
      </c>
      <c r="E80" s="126"/>
      <c r="F80" s="126"/>
    </row>
    <row r="81" s="126" customFormat="1"/>
    <row r="82" s="126" customFormat="1"/>
    <row r="83" s="126" customFormat="1"/>
    <row r="84" s="126" customFormat="1"/>
    <row r="85" s="126" customFormat="1"/>
    <row r="86" s="126" customFormat="1"/>
    <row r="87" s="126" customFormat="1"/>
    <row r="88" s="126" customFormat="1"/>
    <row r="89" s="126" customFormat="1"/>
    <row r="90" s="126" customFormat="1"/>
    <row r="91" s="126" customFormat="1"/>
    <row r="92" s="126" customFormat="1"/>
    <row r="93" s="126" customFormat="1"/>
    <row r="94" s="126" customFormat="1"/>
    <row r="95" s="126" customFormat="1"/>
    <row r="96" s="126" customFormat="1"/>
    <row r="97" s="126" customFormat="1"/>
    <row r="98" s="126" customFormat="1"/>
    <row r="99" s="126" customFormat="1"/>
    <row r="100" s="126" customFormat="1"/>
    <row r="101" s="126" customFormat="1"/>
    <row r="102" s="126" customFormat="1"/>
    <row r="103" s="126" customFormat="1"/>
    <row r="104" s="126" customFormat="1"/>
    <row r="105" s="126" customFormat="1"/>
    <row r="106" s="126" customFormat="1"/>
    <row r="107" s="126" customFormat="1"/>
    <row r="108" s="126" customFormat="1"/>
    <row r="109" s="126" customFormat="1"/>
    <row r="110" s="126" customFormat="1"/>
    <row r="111" s="126" customFormat="1"/>
    <row r="112" s="126" customFormat="1"/>
    <row r="113" s="126" customFormat="1"/>
    <row r="114" s="126" customFormat="1"/>
    <row r="115" s="126" customFormat="1"/>
    <row r="116" s="126" customFormat="1"/>
    <row r="117" s="126" customFormat="1"/>
    <row r="118" s="126" customFormat="1"/>
    <row r="119" s="126" customFormat="1"/>
    <row r="120" s="126" customFormat="1"/>
    <row r="121" s="126" customFormat="1"/>
    <row r="122" s="126" customFormat="1"/>
    <row r="123" s="126" customFormat="1"/>
    <row r="124" s="126" customFormat="1"/>
    <row r="125" s="126" customFormat="1"/>
    <row r="126" s="126" customFormat="1"/>
    <row r="127" s="126" customFormat="1"/>
    <row r="128" s="126" customFormat="1"/>
    <row r="129" s="126" customFormat="1"/>
    <row r="130" s="126" customFormat="1"/>
    <row r="131" s="126" customFormat="1"/>
    <row r="132" s="126" customFormat="1"/>
    <row r="133" s="126" customFormat="1"/>
    <row r="134" s="126" customFormat="1"/>
    <row r="135" s="126" customFormat="1"/>
    <row r="136" s="126" customFormat="1"/>
    <row r="137" s="126" customFormat="1"/>
    <row r="138" s="126" customFormat="1"/>
    <row r="139" s="126" customFormat="1"/>
    <row r="140" s="126" customFormat="1"/>
    <row r="141" s="126" customFormat="1"/>
    <row r="142" s="126" customFormat="1"/>
    <row r="143" s="126" customFormat="1"/>
    <row r="144" s="126" customFormat="1"/>
    <row r="145" s="126" customFormat="1"/>
    <row r="146" s="126" customFormat="1"/>
    <row r="147" s="126" customFormat="1"/>
    <row r="148" s="126" customFormat="1"/>
    <row r="149" s="126" customFormat="1"/>
    <row r="150" s="126"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4EEB-B7D3-4736-8D70-348CD7068FEB}">
  <dimension ref="A1:O137"/>
  <sheetViews>
    <sheetView topLeftCell="A20" zoomScale="67" workbookViewId="0">
      <pane xSplit="1" topLeftCell="B1" activePane="topRight" state="frozen"/>
      <selection pane="topRight" activeCell="A30" sqref="A28:M30"/>
    </sheetView>
  </sheetViews>
  <sheetFormatPr defaultRowHeight="15.6"/>
  <cols>
    <col min="1" max="2" width="21.1640625" style="126" customWidth="1"/>
    <col min="3" max="4" width="8.6640625" style="126"/>
    <col min="7" max="16384" width="8.6640625" style="126"/>
  </cols>
  <sheetData>
    <row r="1" spans="1:14">
      <c r="A1" s="129" t="s">
        <v>154</v>
      </c>
      <c r="B1" s="129" t="s">
        <v>164</v>
      </c>
      <c r="C1" s="129" t="s">
        <v>6</v>
      </c>
      <c r="D1" s="129" t="s">
        <v>157</v>
      </c>
      <c r="E1" s="129" t="s">
        <v>161</v>
      </c>
      <c r="F1" s="129" t="s">
        <v>163</v>
      </c>
      <c r="G1" s="129" t="s">
        <v>162</v>
      </c>
      <c r="H1" s="129" t="s">
        <v>159</v>
      </c>
      <c r="I1" s="129" t="s">
        <v>160</v>
      </c>
      <c r="J1" s="129" t="s">
        <v>322</v>
      </c>
      <c r="K1" s="129" t="s">
        <v>323</v>
      </c>
    </row>
    <row r="2" spans="1:14" s="127" customFormat="1">
      <c r="A2" s="126" t="s">
        <v>91</v>
      </c>
      <c r="B2" s="127" t="s">
        <v>27</v>
      </c>
      <c r="C2" s="129">
        <v>803</v>
      </c>
      <c r="D2" s="126">
        <v>728.4</v>
      </c>
      <c r="E2" s="126">
        <v>32.1</v>
      </c>
      <c r="F2" s="134"/>
      <c r="G2" s="134">
        <v>38.200000000000003</v>
      </c>
      <c r="H2" s="134">
        <v>2.2000000000000028</v>
      </c>
      <c r="I2" s="126"/>
      <c r="J2" s="127">
        <f>SUM(Table16[[#This Row],[Jews]:[Druze]])</f>
        <v>800.90000000000009</v>
      </c>
      <c r="K2" s="127">
        <f>Table16[[#This Row],[Column2]]-Table16[[#This Row],[Total]]</f>
        <v>-2.0999999999999091</v>
      </c>
      <c r="L2" s="127">
        <f>SUM(F2:F4,F10:F13)</f>
        <v>0</v>
      </c>
    </row>
    <row r="3" spans="1:14">
      <c r="A3" s="126" t="s">
        <v>93</v>
      </c>
      <c r="B3" s="127" t="s">
        <v>27</v>
      </c>
      <c r="C3" s="129">
        <v>376.1</v>
      </c>
      <c r="D3" s="126">
        <v>316.7</v>
      </c>
      <c r="E3" s="133">
        <v>13.3</v>
      </c>
      <c r="F3" s="134"/>
      <c r="G3" s="134">
        <v>42.1</v>
      </c>
      <c r="H3" s="134">
        <v>2.2999999999999972</v>
      </c>
      <c r="J3" s="126">
        <f>SUM(Table16[[#This Row],[Jews]:[Druze]])</f>
        <v>374.40000000000003</v>
      </c>
      <c r="K3" s="126">
        <f>Table16[[#This Row],[Column2]]-Table16[[#This Row],[Total]]</f>
        <v>-1.6999999999999886</v>
      </c>
    </row>
    <row r="4" spans="1:14">
      <c r="A4" s="126" t="s">
        <v>95</v>
      </c>
      <c r="B4" s="127" t="s">
        <v>27</v>
      </c>
      <c r="C4" s="129">
        <v>641.1</v>
      </c>
      <c r="D4" s="126">
        <v>599.29999999999995</v>
      </c>
      <c r="E4" s="126">
        <v>38.4</v>
      </c>
      <c r="F4" s="134"/>
      <c r="G4" s="134">
        <v>1</v>
      </c>
      <c r="H4" s="134">
        <v>0.19999999999999996</v>
      </c>
      <c r="J4" s="126">
        <f>SUM(Table16[[#This Row],[Jews]:[Druze]])</f>
        <v>638.9</v>
      </c>
      <c r="K4" s="126">
        <f>Table16[[#This Row],[Column2]]-Table16[[#This Row],[Total]]</f>
        <v>-2.2000000000000455</v>
      </c>
    </row>
    <row r="5" spans="1:14">
      <c r="A5" s="126" t="s">
        <v>89</v>
      </c>
      <c r="B5" s="127" t="s">
        <v>27</v>
      </c>
      <c r="C5" s="129">
        <v>505.8</v>
      </c>
      <c r="D5" s="126">
        <v>371.5</v>
      </c>
      <c r="E5" s="126">
        <v>26.5</v>
      </c>
      <c r="F5" s="126">
        <v>1.9</v>
      </c>
      <c r="G5" s="126">
        <v>105.9</v>
      </c>
      <c r="J5" s="126">
        <f>SUM(Table16[[#This Row],[Jews]:[Druze]])</f>
        <v>505.79999999999995</v>
      </c>
      <c r="K5" s="129">
        <f>Table16[[#This Row],[Column2]]-Table16[[#This Row],[Total]]</f>
        <v>0</v>
      </c>
      <c r="L5" s="129"/>
    </row>
    <row r="6" spans="1:14">
      <c r="A6" s="126" t="s">
        <v>87</v>
      </c>
      <c r="B6" s="127" t="s">
        <v>21</v>
      </c>
      <c r="C6" s="129">
        <v>500.6</v>
      </c>
      <c r="D6" s="126">
        <v>274.39999999999998</v>
      </c>
      <c r="E6" s="133">
        <v>15.3</v>
      </c>
      <c r="F6" s="126">
        <v>2.1</v>
      </c>
      <c r="G6" s="126">
        <v>208.7</v>
      </c>
      <c r="J6" s="126">
        <f>SUM(Table16[[#This Row],[Jews]:[Druze]])</f>
        <v>500.5</v>
      </c>
      <c r="K6" s="126">
        <f>Table16[[#This Row],[Column2]]-Table16[[#This Row],[Total]]</f>
        <v>-0.10000000000002274</v>
      </c>
    </row>
    <row r="7" spans="1:14">
      <c r="A7" s="126" t="s">
        <v>85</v>
      </c>
      <c r="B7" s="127" t="s">
        <v>21</v>
      </c>
      <c r="C7" s="129">
        <v>607.9</v>
      </c>
      <c r="D7" s="126">
        <v>468.5</v>
      </c>
      <c r="E7" s="126">
        <v>61.8</v>
      </c>
      <c r="F7" s="126">
        <v>6.6</v>
      </c>
      <c r="G7" s="126">
        <v>24.3</v>
      </c>
      <c r="H7" s="133">
        <v>18.899999999999999</v>
      </c>
      <c r="I7" s="126">
        <v>27.8</v>
      </c>
      <c r="J7" s="126">
        <f>SUM(Table16[[#This Row],[Jews]:[Druze]])</f>
        <v>607.89999999999986</v>
      </c>
      <c r="K7" s="126">
        <f>Table16[[#This Row],[Column2]]-Table16[[#This Row],[Total]]</f>
        <v>0</v>
      </c>
    </row>
    <row r="8" spans="1:14" s="127" customFormat="1">
      <c r="A8" s="127" t="s">
        <v>165</v>
      </c>
      <c r="B8" s="127" t="s">
        <v>13</v>
      </c>
      <c r="C8" s="131">
        <v>1224.5</v>
      </c>
      <c r="D8" s="127">
        <v>811.6</v>
      </c>
      <c r="E8" s="127">
        <v>15.2</v>
      </c>
      <c r="F8" s="127">
        <v>4.2999999999999545</v>
      </c>
      <c r="G8" s="127">
        <v>380.3</v>
      </c>
      <c r="H8" s="127">
        <v>13.1</v>
      </c>
      <c r="J8" s="127">
        <f>SUM(Table16[[#This Row],[Jews]:[Druze]])</f>
        <v>1224.5</v>
      </c>
      <c r="K8" s="127">
        <f>Table16[[#This Row],[Column2]]-Table16[[#This Row],[Total]]</f>
        <v>0</v>
      </c>
    </row>
    <row r="9" spans="1:14">
      <c r="A9" s="126" t="s">
        <v>81</v>
      </c>
      <c r="B9" s="127" t="s">
        <v>15</v>
      </c>
      <c r="C9" s="129">
        <v>676.7</v>
      </c>
      <c r="D9" s="126">
        <v>204</v>
      </c>
      <c r="E9" s="126">
        <v>26.7</v>
      </c>
      <c r="F9" s="126">
        <v>3.2</v>
      </c>
      <c r="G9" s="126">
        <v>315.39999999999998</v>
      </c>
      <c r="H9" s="126">
        <v>46.2</v>
      </c>
      <c r="I9" s="126">
        <v>81.2</v>
      </c>
      <c r="J9" s="126">
        <f>SUM(Table16[[#This Row],[Jews]:[Druze]])</f>
        <v>676.7</v>
      </c>
      <c r="K9" s="126">
        <f>Table16[[#This Row],[Column2]]-Table16[[#This Row],[Total]]</f>
        <v>0</v>
      </c>
    </row>
    <row r="10" spans="1:14" s="127" customFormat="1">
      <c r="A10" s="126" t="s">
        <v>83</v>
      </c>
      <c r="B10" s="127" t="s">
        <v>15</v>
      </c>
      <c r="C10" s="129">
        <v>54.4</v>
      </c>
      <c r="D10" s="126">
        <v>25.3</v>
      </c>
      <c r="E10" s="134">
        <v>2.7</v>
      </c>
      <c r="F10" s="134"/>
      <c r="G10" s="134">
        <v>2.5</v>
      </c>
      <c r="H10" s="134">
        <v>0.4</v>
      </c>
      <c r="I10" s="126">
        <v>24.2</v>
      </c>
      <c r="J10" s="127">
        <f>SUM(Table16[[#This Row],[Jews]:[Druze]])</f>
        <v>55.099999999999994</v>
      </c>
      <c r="K10" s="127">
        <f>Table16[[#This Row],[Column2]]-Table16[[#This Row],[Total]]</f>
        <v>0.69999999999999574</v>
      </c>
      <c r="M10" s="127">
        <f>Table16[[#This Row],[Total]]/SUM($C$10:$C$13)</f>
        <v>6.3909774436090236E-2</v>
      </c>
      <c r="N10" s="127">
        <v>0.54323308270677062</v>
      </c>
    </row>
    <row r="11" spans="1:14">
      <c r="A11" s="126" t="s">
        <v>77</v>
      </c>
      <c r="B11" s="127" t="s">
        <v>15</v>
      </c>
      <c r="C11" s="129">
        <v>119.5</v>
      </c>
      <c r="D11" s="126">
        <v>78.8</v>
      </c>
      <c r="E11" s="134">
        <v>5.8</v>
      </c>
      <c r="F11" s="134"/>
      <c r="G11" s="134">
        <v>17.100000000000001</v>
      </c>
      <c r="H11" s="134">
        <v>8.1999999999999993</v>
      </c>
      <c r="I11" s="134">
        <v>10.7</v>
      </c>
      <c r="J11" s="126">
        <f>SUM(Table16[[#This Row],[Jews]:[Druze]])</f>
        <v>120.6</v>
      </c>
      <c r="K11" s="126">
        <f>Table16[[#This Row],[Column2]]-Table16[[#This Row],[Total]]</f>
        <v>1.0999999999999943</v>
      </c>
      <c r="M11" s="127">
        <f>Table16[[#This Row],[Total]]/SUM($C$10:$C$13)</f>
        <v>0.14039003759398497</v>
      </c>
      <c r="N11" s="127">
        <v>1.1933153195488801</v>
      </c>
    </row>
    <row r="12" spans="1:14">
      <c r="A12" s="126" t="s">
        <v>79</v>
      </c>
      <c r="B12" s="127" t="s">
        <v>15</v>
      </c>
      <c r="C12" s="129">
        <v>550.29999999999995</v>
      </c>
      <c r="D12" s="126">
        <v>232.2</v>
      </c>
      <c r="E12" s="134">
        <v>22.5</v>
      </c>
      <c r="F12" s="134"/>
      <c r="G12" s="126">
        <v>255.6</v>
      </c>
      <c r="H12" s="126">
        <v>40</v>
      </c>
      <c r="J12" s="126">
        <f>SUM(Table16[[#This Row],[Jews]:[Druze]])</f>
        <v>550.29999999999995</v>
      </c>
      <c r="K12" s="126">
        <f>Table16[[#This Row],[Column2]]-Table16[[#This Row],[Total]]</f>
        <v>0</v>
      </c>
      <c r="M12" s="127">
        <f>Table16[[#This Row],[Total]]/SUM($C$10:$C$13)</f>
        <v>0.64649906015037595</v>
      </c>
      <c r="N12" s="127">
        <v>5.4952420112782328</v>
      </c>
    </row>
    <row r="13" spans="1:14">
      <c r="A13" s="126" t="s">
        <v>75</v>
      </c>
      <c r="B13" s="127" t="s">
        <v>15</v>
      </c>
      <c r="C13" s="129">
        <v>127</v>
      </c>
      <c r="D13" s="126">
        <v>107.2</v>
      </c>
      <c r="E13" s="134">
        <v>6.4</v>
      </c>
      <c r="F13" s="134"/>
      <c r="G13" s="134">
        <v>6.7</v>
      </c>
      <c r="H13" s="134">
        <v>3</v>
      </c>
      <c r="I13" s="134">
        <v>4.2</v>
      </c>
      <c r="J13" s="126">
        <f>SUM(Table16[[#This Row],[Jews]:[Druze]])</f>
        <v>127.50000000000001</v>
      </c>
      <c r="K13" s="126">
        <f>Table16[[#This Row],[Column2]]-Table16[[#This Row],[Total]]</f>
        <v>0.50000000000001421</v>
      </c>
      <c r="M13" s="127">
        <f>Table16[[#This Row],[Total]]/SUM($C$10:$C$13)</f>
        <v>0.14920112781954889</v>
      </c>
      <c r="N13" s="127">
        <v>1.268209586466174</v>
      </c>
    </row>
    <row r="14" spans="1:14">
      <c r="A14" s="126" t="s">
        <v>70</v>
      </c>
      <c r="B14" s="127" t="s">
        <v>33</v>
      </c>
      <c r="C14" s="129">
        <v>585.9</v>
      </c>
      <c r="D14" s="126">
        <v>529.79999999999995</v>
      </c>
      <c r="E14" s="126">
        <v>51.5</v>
      </c>
      <c r="F14" s="126">
        <v>3</v>
      </c>
      <c r="G14" s="133">
        <v>1.6</v>
      </c>
      <c r="J14" s="126">
        <f>SUM(Table16[[#This Row],[Jews]:[Druze]])</f>
        <v>585.9</v>
      </c>
      <c r="K14" s="126">
        <f>Table16[[#This Row],[Column2]]-Table16[[#This Row],[Total]]</f>
        <v>0</v>
      </c>
    </row>
    <row r="15" spans="1:14">
      <c r="A15" s="126" t="s">
        <v>72</v>
      </c>
      <c r="B15" s="127" t="s">
        <v>33</v>
      </c>
      <c r="C15" s="129">
        <v>818.4</v>
      </c>
      <c r="D15" s="126">
        <v>461.9</v>
      </c>
      <c r="E15" s="126">
        <v>45.4</v>
      </c>
      <c r="F15" s="126">
        <v>4.7</v>
      </c>
      <c r="G15" s="126">
        <v>306.39999999999998</v>
      </c>
      <c r="J15" s="126">
        <f>SUM(Table16[[#This Row],[Jews]:[Druze]])</f>
        <v>818.39999999999986</v>
      </c>
      <c r="K15" s="126">
        <f>Table16[[#This Row],[Column2]]-Table16[[#This Row],[Total]]</f>
        <v>0</v>
      </c>
    </row>
    <row r="16" spans="1:14">
      <c r="A16" s="127" t="s">
        <v>166</v>
      </c>
      <c r="B16" s="127" t="s">
        <v>31</v>
      </c>
      <c r="C16" s="131">
        <v>1494.3</v>
      </c>
      <c r="D16" s="127">
        <v>1370.3</v>
      </c>
      <c r="E16" s="127">
        <v>88.5</v>
      </c>
      <c r="F16" s="127">
        <v>10.1</v>
      </c>
      <c r="G16" s="127">
        <v>21.5</v>
      </c>
      <c r="H16" s="127">
        <v>3.9</v>
      </c>
      <c r="I16" s="127"/>
      <c r="J16" s="126">
        <f>SUM(Table16[[#This Row],[Jews]:[Druze]])</f>
        <v>1494.3</v>
      </c>
      <c r="K16" s="126">
        <f>Table16[[#This Row],[Column2]]-Table16[[#This Row],[Total]]</f>
        <v>0</v>
      </c>
    </row>
    <row r="17" spans="1:15">
      <c r="E17" s="126"/>
      <c r="F17" s="126"/>
    </row>
    <row r="18" spans="1:15">
      <c r="A18" s="135" t="s">
        <v>153</v>
      </c>
      <c r="B18" s="136"/>
      <c r="C18" s="136"/>
      <c r="D18" s="136"/>
      <c r="E18" s="136"/>
      <c r="F18" s="136"/>
      <c r="G18" s="136"/>
      <c r="H18" s="136"/>
      <c r="I18" s="137"/>
    </row>
    <row r="19" spans="1:15">
      <c r="A19" s="138" t="s">
        <v>1</v>
      </c>
      <c r="B19" s="139"/>
      <c r="C19" s="139"/>
      <c r="D19" s="139"/>
      <c r="E19" s="139"/>
      <c r="F19" s="139"/>
      <c r="G19" s="139"/>
      <c r="H19" s="139"/>
      <c r="I19" s="140"/>
    </row>
    <row r="20" spans="1:15" s="127" customFormat="1">
      <c r="A20" s="129" t="s">
        <v>110</v>
      </c>
      <c r="B20" s="129" t="s">
        <v>332</v>
      </c>
      <c r="C20" s="129">
        <v>9085.5</v>
      </c>
      <c r="D20" s="126">
        <v>6580</v>
      </c>
      <c r="E20" s="126">
        <v>452.1</v>
      </c>
      <c r="F20" s="126">
        <v>36.6</v>
      </c>
      <c r="G20" s="126">
        <v>1728.1</v>
      </c>
      <c r="H20" s="126">
        <v>139.30000000000001</v>
      </c>
      <c r="I20" s="126">
        <v>149.4</v>
      </c>
    </row>
    <row r="21" spans="1:15">
      <c r="E21" s="126"/>
      <c r="F21" s="126"/>
    </row>
    <row r="22" spans="1:15">
      <c r="C22" s="126">
        <f>SUM(Table16[Total])</f>
        <v>9085.4999999999982</v>
      </c>
      <c r="D22" s="126">
        <f>SUM(Table16[Jews])</f>
        <v>6579.9</v>
      </c>
      <c r="E22" s="126">
        <f>SUM(Table16[No religion classification])</f>
        <v>452.09999999999991</v>
      </c>
      <c r="F22" s="126">
        <f>SUM(Table16[Others])</f>
        <v>35.899999999999956</v>
      </c>
      <c r="G22" s="126">
        <f>SUM(Table16[Arab Muslims])</f>
        <v>1727.2999999999997</v>
      </c>
      <c r="H22" s="126">
        <f>SUM(Table16[Arab Christians])</f>
        <v>138.4</v>
      </c>
      <c r="I22" s="126">
        <f>SUM(Table16[Druze])</f>
        <v>148.09999999999997</v>
      </c>
    </row>
    <row r="23" spans="1:15">
      <c r="C23" s="126">
        <f>C20-C22</f>
        <v>0</v>
      </c>
      <c r="D23" s="126">
        <f t="shared" ref="D23:I23" si="0">D20-D22</f>
        <v>0.1000000000003638</v>
      </c>
      <c r="E23" s="126">
        <f t="shared" si="0"/>
        <v>0</v>
      </c>
      <c r="F23" s="126">
        <f t="shared" si="0"/>
        <v>0.70000000000004547</v>
      </c>
      <c r="G23" s="126">
        <f t="shared" si="0"/>
        <v>0.8000000000001819</v>
      </c>
      <c r="H23" s="126">
        <f t="shared" si="0"/>
        <v>0.90000000000000568</v>
      </c>
      <c r="I23" s="126">
        <f t="shared" si="0"/>
        <v>1.3000000000000398</v>
      </c>
    </row>
    <row r="24" spans="1:15">
      <c r="E24" s="126"/>
      <c r="F24" s="126"/>
    </row>
    <row r="25" spans="1:15">
      <c r="A25" s="138"/>
      <c r="B25" s="177" t="s">
        <v>167</v>
      </c>
      <c r="C25" s="178">
        <v>472</v>
      </c>
      <c r="D25" s="177">
        <v>462</v>
      </c>
      <c r="E25" s="177"/>
      <c r="F25" s="177">
        <v>10</v>
      </c>
    </row>
    <row r="26" spans="1:15">
      <c r="E26" s="126"/>
      <c r="F26" s="126"/>
    </row>
    <row r="27" spans="1:15">
      <c r="E27" s="126"/>
      <c r="F27" s="126"/>
    </row>
    <row r="28" spans="1:15">
      <c r="A28" s="126" t="s">
        <v>154</v>
      </c>
      <c r="B28" s="126" t="s">
        <v>6</v>
      </c>
      <c r="C28" s="126" t="s">
        <v>155</v>
      </c>
      <c r="D28" s="126" t="s">
        <v>3</v>
      </c>
      <c r="E28" s="126" t="s">
        <v>156</v>
      </c>
      <c r="F28" s="126" t="s">
        <v>3</v>
      </c>
      <c r="G28" s="126" t="s">
        <v>157</v>
      </c>
      <c r="I28" s="126" t="s">
        <v>158</v>
      </c>
      <c r="K28" s="126" t="s">
        <v>159</v>
      </c>
      <c r="M28" s="126" t="s">
        <v>160</v>
      </c>
      <c r="O28" s="126" t="s">
        <v>161</v>
      </c>
    </row>
    <row r="29" spans="1:15">
      <c r="A29" s="126" t="s">
        <v>110</v>
      </c>
      <c r="B29" s="126">
        <v>9557.5</v>
      </c>
      <c r="C29" s="126">
        <v>7539.2</v>
      </c>
      <c r="D29" s="126" t="s">
        <v>11</v>
      </c>
      <c r="E29" s="126">
        <v>2018.3</v>
      </c>
      <c r="F29" s="126" t="s">
        <v>111</v>
      </c>
      <c r="G29" s="126">
        <v>7042</v>
      </c>
      <c r="H29" s="126" t="s">
        <v>11</v>
      </c>
      <c r="I29" s="126">
        <v>1728.1</v>
      </c>
      <c r="J29" s="126" t="s">
        <v>11</v>
      </c>
      <c r="K29" s="126">
        <v>139.30000000000001</v>
      </c>
      <c r="L29" s="126" t="s">
        <v>11</v>
      </c>
      <c r="M29" s="126">
        <v>149.4</v>
      </c>
      <c r="N29" s="126" t="s">
        <v>11</v>
      </c>
      <c r="O29" s="126">
        <v>452.1</v>
      </c>
    </row>
    <row r="30" spans="1:15" s="127" customFormat="1">
      <c r="A30" s="127" t="s">
        <v>13</v>
      </c>
      <c r="B30" s="127">
        <v>1224.5</v>
      </c>
      <c r="C30" s="127">
        <v>830.9</v>
      </c>
      <c r="D30" s="127" t="s">
        <v>13</v>
      </c>
      <c r="E30" s="127">
        <v>393.6</v>
      </c>
      <c r="F30" s="127" t="s">
        <v>13</v>
      </c>
      <c r="G30" s="127">
        <v>811.6</v>
      </c>
      <c r="H30" s="127" t="s">
        <v>13</v>
      </c>
      <c r="I30" s="127">
        <v>380.3</v>
      </c>
      <c r="J30" s="127" t="s">
        <v>41</v>
      </c>
      <c r="K30" s="127">
        <v>13.1</v>
      </c>
      <c r="N30" s="127" t="s">
        <v>13</v>
      </c>
      <c r="O30" s="127">
        <v>15.2</v>
      </c>
    </row>
    <row r="31" spans="1:15" s="127" customFormat="1">
      <c r="A31" s="127" t="s">
        <v>15</v>
      </c>
      <c r="B31" s="127">
        <v>1527.8</v>
      </c>
      <c r="C31" s="127">
        <v>711</v>
      </c>
      <c r="D31" s="127" t="s">
        <v>15</v>
      </c>
      <c r="E31" s="127">
        <v>816.8</v>
      </c>
      <c r="F31" s="127" t="s">
        <v>15</v>
      </c>
      <c r="G31" s="127">
        <v>647.5</v>
      </c>
      <c r="H31" s="127" t="s">
        <v>15</v>
      </c>
      <c r="I31" s="127">
        <v>597.29999999999995</v>
      </c>
      <c r="J31" s="127" t="s">
        <v>43</v>
      </c>
      <c r="K31" s="127">
        <v>97.8</v>
      </c>
      <c r="L31" s="127" t="s">
        <v>43</v>
      </c>
      <c r="M31" s="127">
        <v>120.3</v>
      </c>
      <c r="N31" s="127" t="s">
        <v>15</v>
      </c>
      <c r="O31" s="127">
        <v>55.6</v>
      </c>
    </row>
    <row r="32" spans="1:15">
      <c r="A32" s="126" t="s">
        <v>75</v>
      </c>
      <c r="B32" s="126">
        <v>127</v>
      </c>
      <c r="C32" s="126">
        <v>112.9</v>
      </c>
      <c r="E32" s="126"/>
      <c r="F32" s="126" t="s">
        <v>75</v>
      </c>
      <c r="G32" s="126">
        <v>107.2</v>
      </c>
    </row>
    <row r="33" spans="1:15">
      <c r="A33" s="126" t="s">
        <v>77</v>
      </c>
      <c r="B33" s="126">
        <v>119.5</v>
      </c>
      <c r="C33" s="126">
        <v>83.2</v>
      </c>
      <c r="E33" s="126"/>
      <c r="F33" s="126" t="s">
        <v>77</v>
      </c>
      <c r="G33" s="126">
        <v>78.8</v>
      </c>
    </row>
    <row r="34" spans="1:15">
      <c r="A34" s="126" t="s">
        <v>79</v>
      </c>
      <c r="B34" s="126">
        <v>550.29999999999995</v>
      </c>
      <c r="C34" s="126">
        <v>254.6</v>
      </c>
      <c r="D34" s="126" t="s">
        <v>17</v>
      </c>
      <c r="E34" s="126">
        <v>295.7</v>
      </c>
      <c r="F34" s="126" t="s">
        <v>79</v>
      </c>
      <c r="G34" s="126">
        <v>232.2</v>
      </c>
      <c r="H34" s="126" t="s">
        <v>17</v>
      </c>
      <c r="I34" s="126">
        <v>255.6</v>
      </c>
      <c r="J34" s="126" t="s">
        <v>45</v>
      </c>
      <c r="K34" s="126">
        <v>40</v>
      </c>
    </row>
    <row r="35" spans="1:15">
      <c r="A35" s="126" t="s">
        <v>81</v>
      </c>
      <c r="B35" s="126">
        <v>676.7</v>
      </c>
      <c r="C35" s="126">
        <v>233.1</v>
      </c>
      <c r="D35" s="126" t="s">
        <v>19</v>
      </c>
      <c r="E35" s="126">
        <v>443.6</v>
      </c>
      <c r="F35" s="126" t="s">
        <v>81</v>
      </c>
      <c r="G35" s="126">
        <v>204</v>
      </c>
      <c r="H35" s="126" t="s">
        <v>19</v>
      </c>
      <c r="I35" s="126">
        <v>315.39999999999998</v>
      </c>
      <c r="J35" s="126" t="s">
        <v>47</v>
      </c>
      <c r="K35" s="126">
        <v>46.2</v>
      </c>
      <c r="L35" s="126" t="s">
        <v>57</v>
      </c>
      <c r="M35" s="126">
        <v>81.2</v>
      </c>
      <c r="N35" s="126" t="s">
        <v>62</v>
      </c>
      <c r="O35" s="126">
        <v>26.7</v>
      </c>
    </row>
    <row r="36" spans="1:15">
      <c r="A36" s="126" t="s">
        <v>83</v>
      </c>
      <c r="B36" s="126">
        <v>54.4</v>
      </c>
      <c r="C36" s="126">
        <v>27.3</v>
      </c>
      <c r="E36" s="126"/>
      <c r="F36" s="126" t="s">
        <v>83</v>
      </c>
      <c r="G36" s="126">
        <v>25.3</v>
      </c>
      <c r="L36" s="126" t="s">
        <v>59</v>
      </c>
      <c r="M36" s="126">
        <v>24.2</v>
      </c>
    </row>
    <row r="37" spans="1:15" s="127" customFormat="1">
      <c r="A37" s="127" t="s">
        <v>21</v>
      </c>
      <c r="B37" s="127">
        <v>1108.5</v>
      </c>
      <c r="C37" s="127">
        <v>828.6</v>
      </c>
      <c r="D37" s="127" t="s">
        <v>21</v>
      </c>
      <c r="E37" s="127">
        <v>280</v>
      </c>
      <c r="F37" s="127" t="s">
        <v>21</v>
      </c>
      <c r="G37" s="127">
        <v>742.9</v>
      </c>
      <c r="H37" s="127" t="s">
        <v>21</v>
      </c>
      <c r="I37" s="127">
        <v>233.1</v>
      </c>
      <c r="J37" s="127" t="s">
        <v>49</v>
      </c>
      <c r="K37" s="127">
        <v>18.899999999999999</v>
      </c>
      <c r="L37" s="127" t="s">
        <v>49</v>
      </c>
      <c r="M37" s="127">
        <v>27.8</v>
      </c>
      <c r="N37" s="127" t="s">
        <v>21</v>
      </c>
      <c r="O37" s="127">
        <v>77.099999999999994</v>
      </c>
    </row>
    <row r="38" spans="1:15">
      <c r="A38" s="126" t="s">
        <v>85</v>
      </c>
      <c r="B38" s="126">
        <v>607.9</v>
      </c>
      <c r="C38" s="126">
        <v>537</v>
      </c>
      <c r="D38" s="126" t="s">
        <v>23</v>
      </c>
      <c r="E38" s="126">
        <v>70.900000000000006</v>
      </c>
      <c r="F38" s="126" t="s">
        <v>85</v>
      </c>
      <c r="G38" s="126">
        <v>468.5</v>
      </c>
      <c r="H38" s="126" t="s">
        <v>23</v>
      </c>
      <c r="I38" s="126">
        <v>24.3</v>
      </c>
      <c r="L38" s="126" t="s">
        <v>108</v>
      </c>
      <c r="M38" s="126">
        <v>27.8</v>
      </c>
      <c r="N38" s="126" t="s">
        <v>109</v>
      </c>
      <c r="O38" s="126">
        <v>61.8</v>
      </c>
    </row>
    <row r="39" spans="1:15">
      <c r="A39" s="126" t="s">
        <v>87</v>
      </c>
      <c r="B39" s="126">
        <v>500.6</v>
      </c>
      <c r="C39" s="126">
        <v>291.60000000000002</v>
      </c>
      <c r="D39" s="126" t="s">
        <v>25</v>
      </c>
      <c r="E39" s="126">
        <v>209</v>
      </c>
      <c r="F39" s="126" t="s">
        <v>87</v>
      </c>
      <c r="G39" s="126">
        <v>274.39999999999998</v>
      </c>
      <c r="H39" s="126" t="s">
        <v>25</v>
      </c>
      <c r="I39" s="126">
        <v>208.7</v>
      </c>
    </row>
    <row r="40" spans="1:15" s="127" customFormat="1">
      <c r="A40" s="127" t="s">
        <v>27</v>
      </c>
      <c r="B40" s="127">
        <v>2326</v>
      </c>
      <c r="C40" s="127">
        <v>2133.8000000000002</v>
      </c>
      <c r="D40" s="127" t="s">
        <v>27</v>
      </c>
      <c r="E40" s="127">
        <v>192.1</v>
      </c>
      <c r="F40" s="127" t="s">
        <v>27</v>
      </c>
      <c r="G40" s="127">
        <v>2015.9</v>
      </c>
      <c r="H40" s="127" t="s">
        <v>27</v>
      </c>
      <c r="I40" s="127">
        <v>187.2</v>
      </c>
      <c r="J40" s="127" t="s">
        <v>51</v>
      </c>
      <c r="K40" s="127">
        <v>4.7</v>
      </c>
      <c r="N40" s="127" t="s">
        <v>27</v>
      </c>
      <c r="O40" s="127">
        <v>110.3</v>
      </c>
    </row>
    <row r="41" spans="1:15">
      <c r="A41" s="126" t="s">
        <v>89</v>
      </c>
      <c r="B41" s="126">
        <v>505.8</v>
      </c>
      <c r="C41" s="126">
        <v>399.8</v>
      </c>
      <c r="D41" s="126" t="s">
        <v>29</v>
      </c>
      <c r="E41" s="126">
        <v>106.1</v>
      </c>
      <c r="F41" s="126" t="s">
        <v>89</v>
      </c>
      <c r="G41" s="126">
        <v>371.5</v>
      </c>
      <c r="H41" s="126" t="s">
        <v>29</v>
      </c>
      <c r="I41" s="126">
        <v>105.9</v>
      </c>
      <c r="N41" s="126" t="s">
        <v>64</v>
      </c>
      <c r="O41" s="126">
        <v>26.5</v>
      </c>
    </row>
    <row r="42" spans="1:15">
      <c r="A42" s="126" t="s">
        <v>91</v>
      </c>
      <c r="B42" s="126">
        <v>803</v>
      </c>
      <c r="C42" s="126">
        <v>762.5</v>
      </c>
      <c r="E42" s="126"/>
      <c r="F42" s="126" t="s">
        <v>91</v>
      </c>
      <c r="G42" s="126">
        <v>728.4</v>
      </c>
      <c r="N42" s="126" t="s">
        <v>66</v>
      </c>
      <c r="O42" s="126">
        <v>32.1</v>
      </c>
    </row>
    <row r="43" spans="1:15">
      <c r="A43" s="126" t="s">
        <v>93</v>
      </c>
      <c r="B43" s="126">
        <v>376.1</v>
      </c>
      <c r="C43" s="126">
        <v>331.7</v>
      </c>
      <c r="E43" s="126"/>
      <c r="F43" s="126" t="s">
        <v>93</v>
      </c>
      <c r="G43" s="126">
        <v>316.7</v>
      </c>
    </row>
    <row r="44" spans="1:15">
      <c r="A44" s="126" t="s">
        <v>95</v>
      </c>
      <c r="B44" s="126">
        <v>641.1</v>
      </c>
      <c r="C44" s="126">
        <v>639.9</v>
      </c>
      <c r="E44" s="126"/>
      <c r="F44" s="126" t="s">
        <v>95</v>
      </c>
      <c r="G44" s="126">
        <v>599.29999999999995</v>
      </c>
      <c r="N44" s="126" t="s">
        <v>68</v>
      </c>
      <c r="O44" s="126">
        <v>38.4</v>
      </c>
    </row>
    <row r="45" spans="1:15" s="127" customFormat="1">
      <c r="A45" s="127" t="s">
        <v>31</v>
      </c>
      <c r="B45" s="127">
        <v>1494.3</v>
      </c>
      <c r="C45" s="127">
        <v>1468.6</v>
      </c>
      <c r="D45" s="127" t="s">
        <v>31</v>
      </c>
      <c r="E45" s="127">
        <v>25.7</v>
      </c>
      <c r="F45" s="127" t="s">
        <v>31</v>
      </c>
      <c r="G45" s="127">
        <v>1370.3</v>
      </c>
      <c r="H45" s="127" t="s">
        <v>31</v>
      </c>
      <c r="I45" s="127">
        <v>21.5</v>
      </c>
      <c r="J45" s="127" t="s">
        <v>53</v>
      </c>
      <c r="K45" s="127">
        <v>3.9</v>
      </c>
      <c r="N45" s="127" t="s">
        <v>31</v>
      </c>
      <c r="O45" s="127">
        <v>88.5</v>
      </c>
    </row>
    <row r="46" spans="1:15" s="127" customFormat="1">
      <c r="A46" s="127" t="s">
        <v>33</v>
      </c>
      <c r="B46" s="127">
        <v>1404.3</v>
      </c>
      <c r="C46" s="127">
        <v>1095.2</v>
      </c>
      <c r="D46" s="127" t="s">
        <v>33</v>
      </c>
      <c r="E46" s="127">
        <v>309.10000000000002</v>
      </c>
      <c r="F46" s="127" t="s">
        <v>33</v>
      </c>
      <c r="G46" s="127">
        <v>991.7</v>
      </c>
      <c r="H46" s="127" t="s">
        <v>33</v>
      </c>
      <c r="I46" s="127">
        <v>308</v>
      </c>
      <c r="N46" s="127" t="s">
        <v>33</v>
      </c>
      <c r="O46" s="127">
        <v>96.9</v>
      </c>
    </row>
    <row r="47" spans="1:15">
      <c r="A47" s="126" t="s">
        <v>70</v>
      </c>
      <c r="B47" s="126">
        <v>585.9</v>
      </c>
      <c r="C47" s="126">
        <v>584.29999999999995</v>
      </c>
      <c r="E47" s="126"/>
      <c r="F47" s="126" t="s">
        <v>70</v>
      </c>
      <c r="G47" s="126">
        <v>529.79999999999995</v>
      </c>
      <c r="N47" s="126" t="s">
        <v>70</v>
      </c>
      <c r="O47" s="126">
        <v>51.5</v>
      </c>
    </row>
    <row r="48" spans="1:15">
      <c r="A48" s="126" t="s">
        <v>72</v>
      </c>
      <c r="B48" s="126">
        <v>818.4</v>
      </c>
      <c r="C48" s="126">
        <v>511</v>
      </c>
      <c r="D48" s="126" t="s">
        <v>129</v>
      </c>
      <c r="E48" s="126">
        <v>307.5</v>
      </c>
      <c r="F48" s="126" t="s">
        <v>72</v>
      </c>
      <c r="G48" s="126">
        <v>461.9</v>
      </c>
      <c r="H48" s="126" t="s">
        <v>35</v>
      </c>
      <c r="I48" s="126">
        <v>306.39999999999998</v>
      </c>
      <c r="N48" s="126" t="s">
        <v>72</v>
      </c>
      <c r="O48" s="126">
        <v>45.4</v>
      </c>
    </row>
    <row r="49" spans="1:15">
      <c r="A49" s="126" t="s">
        <v>119</v>
      </c>
      <c r="B49" s="126">
        <v>472</v>
      </c>
      <c r="C49" s="126">
        <v>471</v>
      </c>
      <c r="E49" s="126"/>
      <c r="F49" s="126" t="s">
        <v>119</v>
      </c>
      <c r="G49" s="126">
        <v>462</v>
      </c>
    </row>
    <row r="50" spans="1:15">
      <c r="E50" s="126"/>
      <c r="F50" s="126"/>
    </row>
    <row r="51" spans="1:15">
      <c r="E51" s="126"/>
      <c r="F51" s="126"/>
    </row>
    <row r="52" spans="1:15">
      <c r="E52" s="126"/>
      <c r="F52" s="126"/>
    </row>
    <row r="53" spans="1:15">
      <c r="E53" s="126"/>
      <c r="F53" s="126"/>
    </row>
    <row r="54" spans="1:15">
      <c r="E54" s="126"/>
      <c r="F54" s="126"/>
    </row>
    <row r="55" spans="1:15">
      <c r="A55" s="126" t="s">
        <v>154</v>
      </c>
      <c r="B55" s="126" t="s">
        <v>6</v>
      </c>
      <c r="C55" s="126" t="s">
        <v>155</v>
      </c>
      <c r="D55" s="126" t="s">
        <v>3</v>
      </c>
      <c r="E55" s="126" t="s">
        <v>156</v>
      </c>
      <c r="F55" s="126" t="s">
        <v>3</v>
      </c>
      <c r="G55" s="126" t="s">
        <v>157</v>
      </c>
      <c r="I55" s="126" t="s">
        <v>158</v>
      </c>
      <c r="K55" s="126" t="s">
        <v>159</v>
      </c>
      <c r="M55" s="126" t="s">
        <v>160</v>
      </c>
      <c r="O55" s="126" t="s">
        <v>161</v>
      </c>
    </row>
    <row r="56" spans="1:15">
      <c r="A56" s="126" t="s">
        <v>110</v>
      </c>
      <c r="B56" s="126">
        <v>9557.5</v>
      </c>
      <c r="C56" s="126">
        <v>7539.2</v>
      </c>
      <c r="D56" s="126" t="s">
        <v>11</v>
      </c>
      <c r="E56" s="126">
        <v>2018.3</v>
      </c>
      <c r="F56" s="126" t="s">
        <v>111</v>
      </c>
      <c r="G56" s="126">
        <v>7042</v>
      </c>
      <c r="H56" s="126" t="s">
        <v>11</v>
      </c>
      <c r="I56" s="126">
        <v>1728.1</v>
      </c>
      <c r="J56" s="126" t="s">
        <v>11</v>
      </c>
      <c r="K56" s="126">
        <v>139.30000000000001</v>
      </c>
      <c r="L56" s="126" t="s">
        <v>11</v>
      </c>
      <c r="M56" s="126">
        <v>149.4</v>
      </c>
      <c r="N56" s="126" t="s">
        <v>11</v>
      </c>
      <c r="O56" s="126">
        <v>452.1</v>
      </c>
    </row>
    <row r="57" spans="1:15" s="127" customFormat="1">
      <c r="A57" s="127" t="s">
        <v>13</v>
      </c>
      <c r="B57" s="127">
        <v>1224.5</v>
      </c>
      <c r="C57" s="127">
        <v>830.9</v>
      </c>
      <c r="D57" s="127" t="s">
        <v>13</v>
      </c>
      <c r="E57" s="127">
        <v>393.6</v>
      </c>
      <c r="F57" s="127" t="s">
        <v>13</v>
      </c>
      <c r="G57" s="127">
        <v>811.6</v>
      </c>
      <c r="H57" s="127" t="s">
        <v>13</v>
      </c>
      <c r="I57" s="127">
        <v>380.3</v>
      </c>
      <c r="J57" s="127" t="s">
        <v>41</v>
      </c>
      <c r="K57" s="127">
        <v>13.1</v>
      </c>
      <c r="N57" s="127" t="s">
        <v>13</v>
      </c>
      <c r="O57" s="127">
        <v>15.2</v>
      </c>
    </row>
    <row r="58" spans="1:15" s="127" customFormat="1">
      <c r="A58" s="127" t="s">
        <v>15</v>
      </c>
      <c r="B58" s="127">
        <v>1527.8</v>
      </c>
      <c r="C58" s="127">
        <v>711</v>
      </c>
      <c r="D58" s="127" t="s">
        <v>15</v>
      </c>
      <c r="E58" s="127">
        <v>816.8</v>
      </c>
      <c r="F58" s="127" t="s">
        <v>15</v>
      </c>
      <c r="G58" s="127">
        <v>647.5</v>
      </c>
      <c r="H58" s="127" t="s">
        <v>15</v>
      </c>
      <c r="I58" s="127">
        <v>597.29999999999995</v>
      </c>
      <c r="J58" s="127" t="s">
        <v>43</v>
      </c>
      <c r="K58" s="127">
        <v>97.8</v>
      </c>
      <c r="L58" s="127" t="s">
        <v>43</v>
      </c>
      <c r="M58" s="127">
        <v>120.3</v>
      </c>
      <c r="N58" s="127" t="s">
        <v>15</v>
      </c>
      <c r="O58" s="127">
        <v>55.6</v>
      </c>
    </row>
    <row r="59" spans="1:15" s="127" customFormat="1">
      <c r="A59" s="127" t="s">
        <v>21</v>
      </c>
      <c r="B59" s="127">
        <v>1108.5</v>
      </c>
      <c r="C59" s="127">
        <v>828.6</v>
      </c>
      <c r="D59" s="127" t="s">
        <v>21</v>
      </c>
      <c r="E59" s="127">
        <v>280</v>
      </c>
      <c r="F59" s="127" t="s">
        <v>21</v>
      </c>
      <c r="G59" s="127">
        <v>742.9</v>
      </c>
      <c r="H59" s="127" t="s">
        <v>21</v>
      </c>
      <c r="I59" s="127">
        <v>233.1</v>
      </c>
      <c r="J59" s="127" t="s">
        <v>49</v>
      </c>
      <c r="K59" s="127">
        <v>18.899999999999999</v>
      </c>
      <c r="L59" s="127" t="s">
        <v>49</v>
      </c>
      <c r="M59" s="127">
        <v>27.8</v>
      </c>
      <c r="N59" s="127" t="s">
        <v>21</v>
      </c>
      <c r="O59" s="127">
        <v>77.099999999999994</v>
      </c>
    </row>
    <row r="60" spans="1:15" s="127" customFormat="1">
      <c r="A60" s="127" t="s">
        <v>27</v>
      </c>
      <c r="B60" s="127">
        <v>2326</v>
      </c>
      <c r="C60" s="127">
        <v>2133.8000000000002</v>
      </c>
      <c r="D60" s="127" t="s">
        <v>27</v>
      </c>
      <c r="E60" s="127">
        <v>192.1</v>
      </c>
      <c r="F60" s="127" t="s">
        <v>27</v>
      </c>
      <c r="G60" s="127">
        <v>2015.9</v>
      </c>
      <c r="H60" s="127" t="s">
        <v>27</v>
      </c>
      <c r="I60" s="127">
        <v>187.2</v>
      </c>
      <c r="J60" s="127" t="s">
        <v>51</v>
      </c>
      <c r="K60" s="127">
        <v>4.7</v>
      </c>
      <c r="N60" s="127" t="s">
        <v>27</v>
      </c>
      <c r="O60" s="127">
        <v>110.3</v>
      </c>
    </row>
    <row r="61" spans="1:15" s="127" customFormat="1">
      <c r="A61" s="127" t="s">
        <v>31</v>
      </c>
      <c r="B61" s="127">
        <v>1494.3</v>
      </c>
      <c r="C61" s="127">
        <v>1468.6</v>
      </c>
      <c r="D61" s="127" t="s">
        <v>31</v>
      </c>
      <c r="E61" s="127">
        <v>25.7</v>
      </c>
      <c r="F61" s="127" t="s">
        <v>31</v>
      </c>
      <c r="G61" s="127">
        <v>1370.3</v>
      </c>
      <c r="H61" s="127" t="s">
        <v>31</v>
      </c>
      <c r="I61" s="127">
        <v>21.5</v>
      </c>
      <c r="J61" s="127" t="s">
        <v>53</v>
      </c>
      <c r="K61" s="127">
        <v>3.9</v>
      </c>
      <c r="N61" s="127" t="s">
        <v>31</v>
      </c>
      <c r="O61" s="127">
        <v>88.5</v>
      </c>
    </row>
    <row r="62" spans="1:15" s="127" customFormat="1">
      <c r="A62" s="127" t="s">
        <v>33</v>
      </c>
      <c r="B62" s="127">
        <v>1404.3</v>
      </c>
      <c r="C62" s="127">
        <v>1095.2</v>
      </c>
      <c r="D62" s="127" t="s">
        <v>33</v>
      </c>
      <c r="E62" s="127">
        <v>309.10000000000002</v>
      </c>
      <c r="F62" s="127" t="s">
        <v>33</v>
      </c>
      <c r="G62" s="127">
        <v>991.7</v>
      </c>
      <c r="H62" s="127" t="s">
        <v>33</v>
      </c>
      <c r="I62" s="127">
        <v>308</v>
      </c>
      <c r="N62" s="127" t="s">
        <v>33</v>
      </c>
      <c r="O62" s="127">
        <v>96.9</v>
      </c>
    </row>
    <row r="63" spans="1:15">
      <c r="A63" s="126" t="s">
        <v>119</v>
      </c>
      <c r="B63" s="126">
        <v>472</v>
      </c>
      <c r="C63" s="126">
        <v>471</v>
      </c>
      <c r="E63" s="126"/>
      <c r="F63" s="126" t="s">
        <v>119</v>
      </c>
      <c r="G63" s="126">
        <v>462</v>
      </c>
    </row>
    <row r="64" spans="1:15">
      <c r="E64" s="126"/>
      <c r="F64" s="126"/>
    </row>
    <row r="65" spans="1:15">
      <c r="E65" s="126"/>
      <c r="F65" s="126"/>
    </row>
    <row r="66" spans="1:15">
      <c r="C66" s="126">
        <f>SUM(C57:C62)</f>
        <v>7068.0999999999995</v>
      </c>
      <c r="E66" s="126">
        <f>SUM(E57:E62)</f>
        <v>2017.3000000000002</v>
      </c>
      <c r="F66" s="126"/>
      <c r="G66" s="126">
        <f>SUM(G57:G62)</f>
        <v>6579.9</v>
      </c>
      <c r="I66" s="126">
        <f>SUM(I57:I62)</f>
        <v>1727.3999999999999</v>
      </c>
      <c r="K66" s="126">
        <f>SUM(K57:K62)</f>
        <v>138.39999999999998</v>
      </c>
      <c r="M66" s="126">
        <f>SUM(M57:M62)</f>
        <v>148.1</v>
      </c>
      <c r="O66" s="126">
        <f>SUM(O57:O62)</f>
        <v>443.6</v>
      </c>
    </row>
    <row r="67" spans="1:15">
      <c r="A67" s="126" t="s">
        <v>3</v>
      </c>
      <c r="C67" s="126">
        <f>C66-C56</f>
        <v>-471.10000000000036</v>
      </c>
      <c r="E67" s="126">
        <f>E66-E56</f>
        <v>-0.99999999999977263</v>
      </c>
      <c r="F67" s="126"/>
      <c r="G67" s="126">
        <f>G66-G56</f>
        <v>-462.10000000000036</v>
      </c>
      <c r="I67" s="126">
        <f>I66-I56</f>
        <v>-0.70000000000004547</v>
      </c>
      <c r="K67" s="126">
        <f>K66-K56</f>
        <v>-0.90000000000003411</v>
      </c>
      <c r="M67" s="126">
        <f>M66-M56</f>
        <v>-1.3000000000000114</v>
      </c>
      <c r="O67" s="126">
        <f>O66-O56</f>
        <v>-8.5</v>
      </c>
    </row>
    <row r="68" spans="1:15">
      <c r="E68" s="126"/>
      <c r="F68" s="126"/>
    </row>
    <row r="69" spans="1:15">
      <c r="E69" s="126"/>
      <c r="F69" s="126"/>
      <c r="I69" s="126">
        <f>I70+G63</f>
        <v>473.4</v>
      </c>
    </row>
    <row r="70" spans="1:15">
      <c r="E70" s="126"/>
      <c r="F70" s="126"/>
      <c r="I70" s="126">
        <v>11.4</v>
      </c>
    </row>
    <row r="71" spans="1:15">
      <c r="E71" s="126"/>
      <c r="F71" s="126"/>
    </row>
    <row r="72" spans="1:15">
      <c r="E72" s="126"/>
      <c r="F72" s="126"/>
    </row>
    <row r="73" spans="1:15">
      <c r="E73" s="126"/>
      <c r="F73" s="126"/>
    </row>
    <row r="74" spans="1:15">
      <c r="E74" s="126"/>
      <c r="F74" s="126"/>
    </row>
    <row r="75" spans="1:15">
      <c r="E75" s="126"/>
      <c r="F75" s="126"/>
    </row>
    <row r="76" spans="1:15">
      <c r="E76" s="126"/>
      <c r="F76" s="126"/>
    </row>
    <row r="77" spans="1:15">
      <c r="E77" s="126"/>
      <c r="F77" s="126"/>
    </row>
    <row r="78" spans="1:15">
      <c r="E78" s="126"/>
      <c r="F78" s="126"/>
    </row>
    <row r="79" spans="1:15">
      <c r="E79" s="126"/>
      <c r="F79" s="126"/>
    </row>
    <row r="80" spans="1:15">
      <c r="E80" s="126"/>
      <c r="F80" s="126"/>
    </row>
    <row r="81" s="126" customFormat="1"/>
    <row r="82" s="126" customFormat="1"/>
    <row r="83" s="126" customFormat="1"/>
    <row r="84" s="126" customFormat="1"/>
    <row r="85" s="126" customFormat="1"/>
    <row r="86" s="126" customFormat="1"/>
    <row r="87" s="126" customFormat="1"/>
    <row r="88" s="126" customFormat="1"/>
    <row r="89" s="126" customFormat="1"/>
    <row r="90" s="126" customFormat="1"/>
    <row r="91" s="126" customFormat="1"/>
    <row r="92" s="126" customFormat="1"/>
    <row r="93" s="126" customFormat="1"/>
    <row r="94" s="126" customFormat="1"/>
    <row r="95" s="126" customFormat="1"/>
    <row r="96" s="126" customFormat="1"/>
    <row r="97" s="126" customFormat="1"/>
    <row r="98" s="126" customFormat="1"/>
    <row r="99" s="126" customFormat="1"/>
    <row r="100" s="126" customFormat="1"/>
    <row r="101" s="126" customFormat="1"/>
    <row r="102" s="126" customFormat="1"/>
    <row r="103" s="126" customFormat="1"/>
    <row r="104" s="126" customFormat="1"/>
    <row r="105" s="126" customFormat="1"/>
    <row r="106" s="126" customFormat="1"/>
    <row r="107" s="126" customFormat="1"/>
    <row r="108" s="126" customFormat="1"/>
    <row r="109" s="126" customFormat="1"/>
    <row r="110" s="126" customFormat="1"/>
    <row r="111" s="126" customFormat="1"/>
    <row r="112" s="126" customFormat="1"/>
    <row r="113" s="126" customFormat="1"/>
    <row r="114" s="126" customFormat="1"/>
    <row r="115" s="126" customFormat="1"/>
    <row r="116" s="126" customFormat="1"/>
    <row r="117" s="126" customFormat="1"/>
    <row r="118" s="126" customFormat="1"/>
    <row r="119" s="126" customFormat="1"/>
    <row r="120" s="126" customFormat="1"/>
    <row r="121" s="126" customFormat="1"/>
    <row r="122" s="126" customFormat="1"/>
    <row r="123" s="126" customFormat="1"/>
    <row r="124" s="126" customFormat="1"/>
    <row r="125" s="126" customFormat="1"/>
    <row r="126" s="126" customFormat="1"/>
    <row r="127" s="126" customFormat="1"/>
    <row r="128" s="126" customFormat="1"/>
    <row r="129" s="126" customFormat="1"/>
    <row r="130" s="126" customFormat="1"/>
    <row r="131" s="126" customFormat="1"/>
    <row r="132" s="126" customFormat="1"/>
    <row r="133" s="126" customFormat="1"/>
    <row r="134" s="126" customFormat="1"/>
    <row r="135" s="126" customFormat="1"/>
    <row r="136" s="126" customFormat="1"/>
    <row r="137" s="126"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1EE3-9988-4360-9588-A76B0D0FEE5A}">
  <dimension ref="A1:O21"/>
  <sheetViews>
    <sheetView zoomScale="80" workbookViewId="0">
      <selection sqref="A1:O17"/>
    </sheetView>
  </sheetViews>
  <sheetFormatPr defaultRowHeight="15"/>
  <cols>
    <col min="1" max="15" width="10.6640625" customWidth="1"/>
  </cols>
  <sheetData>
    <row r="1" spans="1:15" ht="15.6">
      <c r="A1" s="126" t="s">
        <v>169</v>
      </c>
      <c r="B1" s="126" t="s">
        <v>168</v>
      </c>
      <c r="C1" s="126" t="s">
        <v>6</v>
      </c>
      <c r="D1" s="126" t="s">
        <v>157</v>
      </c>
      <c r="E1" s="126" t="s">
        <v>162</v>
      </c>
      <c r="F1" s="126" t="s">
        <v>159</v>
      </c>
      <c r="G1" s="126" t="s">
        <v>160</v>
      </c>
      <c r="H1" s="126" t="s">
        <v>161</v>
      </c>
      <c r="I1" s="126" t="s">
        <v>163</v>
      </c>
      <c r="J1" s="126" t="s">
        <v>185</v>
      </c>
      <c r="K1" s="126" t="s">
        <v>186</v>
      </c>
      <c r="L1" s="126" t="s">
        <v>187</v>
      </c>
      <c r="M1" s="126" t="s">
        <v>188</v>
      </c>
      <c r="N1" s="126" t="s">
        <v>189</v>
      </c>
      <c r="O1" s="126" t="s">
        <v>190</v>
      </c>
    </row>
    <row r="2" spans="1:15" ht="15.6">
      <c r="A2" s="126" t="s">
        <v>27</v>
      </c>
      <c r="B2" s="126" t="s">
        <v>170</v>
      </c>
      <c r="C2" s="126">
        <v>803</v>
      </c>
      <c r="D2" s="141">
        <v>0.90709838107098373</v>
      </c>
      <c r="E2" s="141">
        <v>4.7571606475716066E-2</v>
      </c>
      <c r="F2" s="141">
        <v>2.7397260273972638E-3</v>
      </c>
      <c r="G2" s="141"/>
      <c r="H2" s="141">
        <v>3.9975093399750937E-2</v>
      </c>
      <c r="I2" s="141">
        <v>2.6151930261519305E-3</v>
      </c>
      <c r="J2" s="126">
        <v>728.4</v>
      </c>
      <c r="K2" s="126">
        <v>38.200000000000003</v>
      </c>
      <c r="L2" s="126">
        <v>2.2000000000000028</v>
      </c>
      <c r="M2" s="126"/>
      <c r="N2" s="126">
        <v>32.1</v>
      </c>
      <c r="O2" s="126">
        <v>2.1</v>
      </c>
    </row>
    <row r="3" spans="1:15" ht="15.6">
      <c r="A3" s="126" t="s">
        <v>27</v>
      </c>
      <c r="B3" s="126" t="s">
        <v>171</v>
      </c>
      <c r="C3" s="126">
        <v>376.1</v>
      </c>
      <c r="D3" s="141">
        <v>0.8420632810422759</v>
      </c>
      <c r="E3" s="141">
        <v>0.11193831427811751</v>
      </c>
      <c r="F3" s="141">
        <v>6.1153948417973867E-3</v>
      </c>
      <c r="G3" s="141"/>
      <c r="H3" s="141">
        <v>3.5362935389524064E-2</v>
      </c>
      <c r="I3" s="141">
        <v>4.5200744482850304E-3</v>
      </c>
      <c r="J3" s="126">
        <v>316.7</v>
      </c>
      <c r="K3" s="126">
        <v>42.1</v>
      </c>
      <c r="L3" s="126">
        <v>2.2999999999999972</v>
      </c>
      <c r="M3" s="126"/>
      <c r="N3" s="126">
        <v>13.3</v>
      </c>
      <c r="O3" s="126">
        <v>1.7</v>
      </c>
    </row>
    <row r="4" spans="1:15" ht="15.6">
      <c r="A4" s="126" t="s">
        <v>27</v>
      </c>
      <c r="B4" s="126" t="s">
        <v>172</v>
      </c>
      <c r="C4" s="126">
        <v>641.1</v>
      </c>
      <c r="D4" s="141">
        <v>0.93479956325066282</v>
      </c>
      <c r="E4" s="141">
        <v>1.5598190609889253E-3</v>
      </c>
      <c r="F4" s="141">
        <v>3.11963812197785E-4</v>
      </c>
      <c r="G4" s="141"/>
      <c r="H4" s="141">
        <v>5.9897051941974727E-2</v>
      </c>
      <c r="I4" s="141">
        <v>3.431601934175636E-3</v>
      </c>
      <c r="J4" s="126">
        <v>599.29999999999995</v>
      </c>
      <c r="K4" s="126">
        <v>1</v>
      </c>
      <c r="L4" s="126">
        <v>0.19999999999999996</v>
      </c>
      <c r="M4" s="126"/>
      <c r="N4" s="126">
        <v>38.4</v>
      </c>
      <c r="O4" s="126">
        <v>2.2000000000000002</v>
      </c>
    </row>
    <row r="5" spans="1:15" ht="15.6">
      <c r="A5" s="126" t="s">
        <v>27</v>
      </c>
      <c r="B5" s="126" t="s">
        <v>173</v>
      </c>
      <c r="C5" s="126">
        <v>505.8</v>
      </c>
      <c r="D5" s="141">
        <v>0.73448003163305653</v>
      </c>
      <c r="E5" s="141">
        <v>0.20937129300118626</v>
      </c>
      <c r="F5" s="141"/>
      <c r="G5" s="141"/>
      <c r="H5" s="141">
        <v>5.2392249901146694E-2</v>
      </c>
      <c r="I5" s="141">
        <v>3.7564254646105179E-3</v>
      </c>
      <c r="J5" s="126">
        <v>371.5</v>
      </c>
      <c r="K5" s="126">
        <v>105.9</v>
      </c>
      <c r="L5" s="126"/>
      <c r="M5" s="126"/>
      <c r="N5" s="126">
        <v>26.5</v>
      </c>
      <c r="O5" s="126">
        <v>1.9</v>
      </c>
    </row>
    <row r="6" spans="1:15" ht="15.6">
      <c r="A6" s="126" t="s">
        <v>21</v>
      </c>
      <c r="B6" s="126" t="s">
        <v>174</v>
      </c>
      <c r="C6" s="126">
        <v>500.6</v>
      </c>
      <c r="D6" s="141">
        <v>0.54814222932481016</v>
      </c>
      <c r="E6" s="141">
        <v>0.41689972033559725</v>
      </c>
      <c r="F6" s="141"/>
      <c r="G6" s="141"/>
      <c r="H6" s="141">
        <v>3.0563324011186575E-2</v>
      </c>
      <c r="I6" s="141">
        <v>4.1949660407510983E-3</v>
      </c>
      <c r="J6" s="126">
        <v>274.39999999999998</v>
      </c>
      <c r="K6" s="126">
        <v>208.7</v>
      </c>
      <c r="L6" s="126"/>
      <c r="M6" s="126"/>
      <c r="N6" s="126">
        <v>15.3</v>
      </c>
      <c r="O6" s="126">
        <v>2.1</v>
      </c>
    </row>
    <row r="7" spans="1:15" ht="15.6">
      <c r="A7" s="126" t="s">
        <v>21</v>
      </c>
      <c r="B7" s="126" t="s">
        <v>175</v>
      </c>
      <c r="C7" s="126">
        <v>607.9</v>
      </c>
      <c r="D7" s="141">
        <v>0.77068596808685641</v>
      </c>
      <c r="E7" s="141">
        <v>3.9973679881559469E-2</v>
      </c>
      <c r="F7" s="141">
        <v>3.1090639907879584E-2</v>
      </c>
      <c r="G7" s="141">
        <v>4.5731205790426062E-2</v>
      </c>
      <c r="H7" s="141">
        <v>0.10166145747655865</v>
      </c>
      <c r="I7" s="141">
        <v>1.0857048856719856E-2</v>
      </c>
      <c r="J7" s="126">
        <v>468.5</v>
      </c>
      <c r="K7" s="126">
        <v>24.3</v>
      </c>
      <c r="L7" s="126">
        <v>18.899999999999999</v>
      </c>
      <c r="M7" s="126">
        <v>27.8</v>
      </c>
      <c r="N7" s="126">
        <v>61.8</v>
      </c>
      <c r="O7" s="126">
        <v>6.6</v>
      </c>
    </row>
    <row r="8" spans="1:15" ht="15.6">
      <c r="A8" s="126" t="s">
        <v>13</v>
      </c>
      <c r="B8" s="126" t="s">
        <v>176</v>
      </c>
      <c r="C8" s="126">
        <v>1224.5</v>
      </c>
      <c r="D8" s="141">
        <v>0.66280114332380569</v>
      </c>
      <c r="E8" s="141">
        <v>0.31057574520212333</v>
      </c>
      <c r="F8" s="141">
        <v>1.0698244181298489E-2</v>
      </c>
      <c r="G8" s="141"/>
      <c r="H8" s="141">
        <v>1.2413229889750918E-2</v>
      </c>
      <c r="I8" s="141">
        <v>3.5116374030216045E-3</v>
      </c>
      <c r="J8" s="126">
        <v>811.6</v>
      </c>
      <c r="K8" s="126">
        <v>380.3</v>
      </c>
      <c r="L8" s="126">
        <v>13.1</v>
      </c>
      <c r="M8" s="126"/>
      <c r="N8" s="126">
        <v>15.2</v>
      </c>
      <c r="O8" s="126">
        <v>4.2999999999999545</v>
      </c>
    </row>
    <row r="9" spans="1:15" ht="15.6">
      <c r="A9" s="126" t="s">
        <v>167</v>
      </c>
      <c r="B9" s="126" t="s">
        <v>167</v>
      </c>
      <c r="C9" s="126">
        <v>472</v>
      </c>
      <c r="D9" s="141">
        <v>0.97881355932203384</v>
      </c>
      <c r="E9" s="141"/>
      <c r="F9" s="141"/>
      <c r="G9" s="141"/>
      <c r="H9" s="141"/>
      <c r="I9" s="141">
        <v>2.1186440677966101E-2</v>
      </c>
      <c r="J9" s="126">
        <v>462</v>
      </c>
      <c r="K9" s="126"/>
      <c r="L9" s="126"/>
      <c r="M9" s="126"/>
      <c r="N9" s="126"/>
      <c r="O9" s="126">
        <v>10</v>
      </c>
    </row>
    <row r="10" spans="1:15" ht="15.6">
      <c r="A10" s="126" t="s">
        <v>15</v>
      </c>
      <c r="B10" s="126" t="s">
        <v>177</v>
      </c>
      <c r="C10" s="126">
        <v>676.7</v>
      </c>
      <c r="D10" s="141">
        <v>0.30146298211910699</v>
      </c>
      <c r="E10" s="141">
        <v>0.46608541451160035</v>
      </c>
      <c r="F10" s="141">
        <v>6.8272498891680217E-2</v>
      </c>
      <c r="G10" s="141">
        <v>0.11999408896113492</v>
      </c>
      <c r="H10" s="141">
        <v>3.9456184424412587E-2</v>
      </c>
      <c r="I10" s="141">
        <v>4.72883109206443E-3</v>
      </c>
      <c r="J10" s="126">
        <v>204</v>
      </c>
      <c r="K10" s="126">
        <v>315.39999999999998</v>
      </c>
      <c r="L10" s="126">
        <v>46.2</v>
      </c>
      <c r="M10" s="126">
        <v>81.2</v>
      </c>
      <c r="N10" s="126">
        <v>26.7</v>
      </c>
      <c r="O10" s="126">
        <v>3.2</v>
      </c>
    </row>
    <row r="11" spans="1:15" ht="15.6">
      <c r="A11" s="126" t="s">
        <v>15</v>
      </c>
      <c r="B11" s="126" t="s">
        <v>178</v>
      </c>
      <c r="C11" s="126">
        <v>54.4</v>
      </c>
      <c r="D11" s="141">
        <v>0.46507352941176472</v>
      </c>
      <c r="E11" s="141">
        <v>4.595588235294118E-2</v>
      </c>
      <c r="F11" s="141">
        <v>7.352941176470589E-3</v>
      </c>
      <c r="G11" s="141">
        <v>0.44485294117647056</v>
      </c>
      <c r="H11" s="141">
        <v>3.6764705882352942E-2</v>
      </c>
      <c r="I11" s="141"/>
      <c r="J11" s="126">
        <v>25.3</v>
      </c>
      <c r="K11" s="126">
        <v>2.5</v>
      </c>
      <c r="L11" s="126">
        <v>0.4</v>
      </c>
      <c r="M11" s="126">
        <v>24.2</v>
      </c>
      <c r="N11" s="126">
        <v>2</v>
      </c>
      <c r="O11" s="126"/>
    </row>
    <row r="12" spans="1:15" ht="15.6">
      <c r="A12" s="126" t="s">
        <v>15</v>
      </c>
      <c r="B12" s="126" t="s">
        <v>179</v>
      </c>
      <c r="C12" s="126">
        <v>119.5</v>
      </c>
      <c r="D12" s="141">
        <v>0.65941422594142252</v>
      </c>
      <c r="E12" s="141">
        <v>0.14309623430962345</v>
      </c>
      <c r="F12" s="141">
        <v>6.8619246861924679E-2</v>
      </c>
      <c r="G12" s="141">
        <v>8.9539748953974888E-2</v>
      </c>
      <c r="H12" s="141">
        <v>3.0962343096234312E-2</v>
      </c>
      <c r="I12" s="141">
        <v>8.368200836820083E-3</v>
      </c>
      <c r="J12" s="126">
        <v>78.8</v>
      </c>
      <c r="K12" s="126">
        <v>17.100000000000001</v>
      </c>
      <c r="L12" s="126">
        <v>8.1999999999999993</v>
      </c>
      <c r="M12" s="126">
        <v>10.7</v>
      </c>
      <c r="N12" s="126">
        <v>3.7</v>
      </c>
      <c r="O12" s="126">
        <v>1</v>
      </c>
    </row>
    <row r="13" spans="1:15" ht="15.6">
      <c r="A13" s="126" t="s">
        <v>15</v>
      </c>
      <c r="B13" s="126" t="s">
        <v>180</v>
      </c>
      <c r="C13" s="126">
        <v>550.29999999999995</v>
      </c>
      <c r="D13" s="141">
        <v>0.42195166272942031</v>
      </c>
      <c r="E13" s="141">
        <v>0.46447392331455573</v>
      </c>
      <c r="F13" s="141">
        <v>7.2687624931855363E-2</v>
      </c>
      <c r="G13" s="141"/>
      <c r="H13" s="141">
        <v>3.36180265309831E-2</v>
      </c>
      <c r="I13" s="141">
        <v>7.0870434308558973E-3</v>
      </c>
      <c r="J13" s="126">
        <v>232.2</v>
      </c>
      <c r="K13" s="126">
        <v>255.6</v>
      </c>
      <c r="L13" s="126">
        <v>40</v>
      </c>
      <c r="M13" s="126"/>
      <c r="N13" s="126">
        <v>18.5</v>
      </c>
      <c r="O13" s="126">
        <v>3.9</v>
      </c>
    </row>
    <row r="14" spans="1:15" ht="15.6">
      <c r="A14" s="126" t="s">
        <v>15</v>
      </c>
      <c r="B14" s="126" t="s">
        <v>181</v>
      </c>
      <c r="C14" s="126">
        <v>127</v>
      </c>
      <c r="D14" s="141">
        <v>0.84409448818897637</v>
      </c>
      <c r="E14" s="141">
        <v>5.2755905511811023E-2</v>
      </c>
      <c r="F14" s="141">
        <v>2.3622047244094488E-2</v>
      </c>
      <c r="G14" s="141">
        <v>3.3070866141732283E-2</v>
      </c>
      <c r="H14" s="141">
        <v>3.7007874015748031E-2</v>
      </c>
      <c r="I14" s="141">
        <v>9.4488188976377951E-3</v>
      </c>
      <c r="J14" s="126">
        <v>107.2</v>
      </c>
      <c r="K14" s="126">
        <v>6.7</v>
      </c>
      <c r="L14" s="126">
        <v>3</v>
      </c>
      <c r="M14" s="126">
        <v>4.2</v>
      </c>
      <c r="N14" s="126">
        <v>4.7</v>
      </c>
      <c r="O14" s="126">
        <v>1.2</v>
      </c>
    </row>
    <row r="15" spans="1:15" ht="15.6">
      <c r="A15" s="126" t="s">
        <v>33</v>
      </c>
      <c r="B15" s="126" t="s">
        <v>182</v>
      </c>
      <c r="C15" s="126">
        <v>585.9</v>
      </c>
      <c r="D15" s="141">
        <v>0.9042498719918074</v>
      </c>
      <c r="E15" s="141">
        <v>2.73084144051886E-3</v>
      </c>
      <c r="F15" s="141"/>
      <c r="G15" s="141"/>
      <c r="H15" s="141">
        <v>8.7898958866700808E-2</v>
      </c>
      <c r="I15" s="141">
        <v>5.1203277009728623E-3</v>
      </c>
      <c r="J15" s="126">
        <v>529.79999999999995</v>
      </c>
      <c r="K15" s="126">
        <v>1.6</v>
      </c>
      <c r="L15" s="126"/>
      <c r="M15" s="126"/>
      <c r="N15" s="126">
        <v>51.5</v>
      </c>
      <c r="O15" s="126">
        <v>3</v>
      </c>
    </row>
    <row r="16" spans="1:15" ht="15.6">
      <c r="A16" s="126" t="s">
        <v>33</v>
      </c>
      <c r="B16" s="126" t="s">
        <v>183</v>
      </c>
      <c r="C16" s="126">
        <v>818.4</v>
      </c>
      <c r="D16" s="141">
        <v>0.56439393939393934</v>
      </c>
      <c r="E16" s="141">
        <v>0.37438905180840665</v>
      </c>
      <c r="F16" s="141"/>
      <c r="G16" s="141"/>
      <c r="H16" s="141">
        <v>5.5474095796676441E-2</v>
      </c>
      <c r="I16" s="141">
        <v>5.7429130009775727E-3</v>
      </c>
      <c r="J16" s="126">
        <v>461.9</v>
      </c>
      <c r="K16" s="126">
        <v>306.39999999999998</v>
      </c>
      <c r="L16" s="126"/>
      <c r="M16" s="126"/>
      <c r="N16" s="126">
        <v>45.4</v>
      </c>
      <c r="O16" s="126">
        <v>4.7000000000000455</v>
      </c>
    </row>
    <row r="17" spans="1:15" ht="15.6">
      <c r="A17" s="126" t="s">
        <v>31</v>
      </c>
      <c r="B17" s="126" t="s">
        <v>184</v>
      </c>
      <c r="C17" s="126">
        <v>1494.3</v>
      </c>
      <c r="D17" s="141">
        <v>0.91701800173994508</v>
      </c>
      <c r="E17" s="141">
        <v>1.4388007762832096E-2</v>
      </c>
      <c r="F17" s="141">
        <v>2.6099176872114035E-3</v>
      </c>
      <c r="G17" s="141"/>
      <c r="H17" s="141">
        <v>5.9225055209797234E-2</v>
      </c>
      <c r="I17" s="141">
        <v>6.7590176002140867E-3</v>
      </c>
      <c r="J17" s="126">
        <v>1370.3</v>
      </c>
      <c r="K17" s="126">
        <v>21.5</v>
      </c>
      <c r="L17" s="126">
        <v>3.9</v>
      </c>
      <c r="M17" s="126"/>
      <c r="N17" s="126">
        <v>88.5</v>
      </c>
      <c r="O17" s="126">
        <v>10.099999999999909</v>
      </c>
    </row>
    <row r="18" spans="1:15" ht="15.6">
      <c r="A18" s="126"/>
      <c r="B18" s="126"/>
      <c r="C18" s="126"/>
      <c r="D18" s="126"/>
      <c r="E18" s="126"/>
      <c r="F18" s="126"/>
      <c r="G18" s="126"/>
      <c r="H18" s="126"/>
      <c r="I18" s="126"/>
      <c r="J18" s="126"/>
      <c r="K18" s="126"/>
      <c r="L18" s="126"/>
      <c r="M18" s="126"/>
      <c r="N18" s="126"/>
      <c r="O18" s="126"/>
    </row>
    <row r="19" spans="1:15" ht="15.6">
      <c r="A19" s="126" t="s">
        <v>153</v>
      </c>
      <c r="B19" s="126"/>
      <c r="C19" s="126"/>
      <c r="D19" s="126"/>
      <c r="E19" s="126"/>
      <c r="F19" s="126"/>
      <c r="G19" s="126"/>
      <c r="H19" s="126"/>
      <c r="I19" s="126"/>
      <c r="J19" s="126"/>
      <c r="K19" s="126"/>
      <c r="L19" s="126"/>
      <c r="M19" s="126"/>
      <c r="N19" s="126"/>
      <c r="O19" s="126"/>
    </row>
    <row r="20" spans="1:15" ht="15.6">
      <c r="A20" s="126" t="s">
        <v>1</v>
      </c>
      <c r="B20" s="126"/>
      <c r="C20" s="126"/>
      <c r="D20" s="126"/>
      <c r="E20" s="126"/>
      <c r="F20" s="126"/>
      <c r="G20" s="126"/>
      <c r="H20" s="126"/>
      <c r="I20" s="126"/>
      <c r="J20" s="126"/>
      <c r="K20" s="126"/>
      <c r="L20" s="126"/>
      <c r="M20" s="126"/>
      <c r="N20" s="126"/>
      <c r="O20" s="126"/>
    </row>
    <row r="21" spans="1:15" ht="15.6">
      <c r="A21" s="126" t="s">
        <v>110</v>
      </c>
      <c r="B21" s="126"/>
      <c r="C21" s="126">
        <v>9557.5</v>
      </c>
      <c r="D21" s="126"/>
      <c r="E21" s="126"/>
      <c r="F21" s="126"/>
      <c r="G21" s="126"/>
      <c r="H21" s="126"/>
      <c r="I21" s="126"/>
      <c r="J21" s="126">
        <v>7042</v>
      </c>
      <c r="K21" s="126">
        <v>452.1</v>
      </c>
      <c r="L21" s="126">
        <v>46.600000000000364</v>
      </c>
      <c r="M21" s="126">
        <v>1728.1</v>
      </c>
      <c r="N21" s="126">
        <v>139.30000000000001</v>
      </c>
      <c r="O21" s="126">
        <v>149.4</v>
      </c>
    </row>
  </sheetData>
  <phoneticPr fontId="4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737BD-85AE-42C5-97E0-D657998B836D}">
  <dimension ref="A1:O35"/>
  <sheetViews>
    <sheetView workbookViewId="0">
      <selection activeCell="A8" sqref="A8:I8"/>
    </sheetView>
  </sheetViews>
  <sheetFormatPr defaultRowHeight="15"/>
  <cols>
    <col min="2" max="9" width="8.75" customWidth="1"/>
  </cols>
  <sheetData>
    <row r="1" spans="1:15" ht="15.6">
      <c r="A1" s="126" t="s">
        <v>169</v>
      </c>
      <c r="B1" s="126" t="s">
        <v>168</v>
      </c>
      <c r="C1" s="126" t="s">
        <v>6</v>
      </c>
      <c r="D1" s="126" t="s">
        <v>157</v>
      </c>
      <c r="E1" s="126" t="s">
        <v>162</v>
      </c>
      <c r="F1" s="126" t="s">
        <v>159</v>
      </c>
      <c r="G1" s="126" t="s">
        <v>160</v>
      </c>
      <c r="H1" s="126" t="s">
        <v>161</v>
      </c>
      <c r="I1" s="126" t="s">
        <v>163</v>
      </c>
      <c r="J1" s="126"/>
      <c r="K1" s="126"/>
      <c r="L1" s="126"/>
      <c r="M1" s="126"/>
      <c r="N1" s="126"/>
      <c r="O1" s="126"/>
    </row>
    <row r="2" spans="1:15" ht="15.6">
      <c r="A2" s="126" t="s">
        <v>27</v>
      </c>
      <c r="B2" s="126" t="s">
        <v>170</v>
      </c>
      <c r="C2" s="142">
        <v>803000</v>
      </c>
      <c r="D2" s="142">
        <v>728400</v>
      </c>
      <c r="E2" s="142">
        <v>38200</v>
      </c>
      <c r="F2" s="142">
        <v>2200.0000000000027</v>
      </c>
      <c r="G2" s="143">
        <v>0</v>
      </c>
      <c r="H2" s="142">
        <v>32100</v>
      </c>
      <c r="I2" s="142">
        <v>2100</v>
      </c>
      <c r="J2" s="126"/>
      <c r="K2" s="126"/>
      <c r="L2" s="126"/>
      <c r="M2" s="126"/>
      <c r="N2" s="126"/>
      <c r="O2" s="126"/>
    </row>
    <row r="3" spans="1:15" ht="15.6">
      <c r="A3" s="126" t="s">
        <v>27</v>
      </c>
      <c r="B3" s="126" t="s">
        <v>171</v>
      </c>
      <c r="C3" s="142">
        <v>376100</v>
      </c>
      <c r="D3" s="142">
        <v>316700</v>
      </c>
      <c r="E3" s="142">
        <v>42100</v>
      </c>
      <c r="F3" s="142">
        <v>2299.9999999999973</v>
      </c>
      <c r="G3" s="143">
        <v>0</v>
      </c>
      <c r="H3" s="142">
        <v>13300</v>
      </c>
      <c r="I3" s="142">
        <v>1700</v>
      </c>
      <c r="J3" s="126"/>
      <c r="K3" s="126"/>
      <c r="L3" s="126"/>
      <c r="M3" s="126"/>
      <c r="N3" s="126"/>
      <c r="O3" s="126"/>
    </row>
    <row r="4" spans="1:15" ht="15.6">
      <c r="A4" s="126" t="s">
        <v>27</v>
      </c>
      <c r="B4" s="126" t="s">
        <v>172</v>
      </c>
      <c r="C4" s="142">
        <v>641100</v>
      </c>
      <c r="D4" s="142">
        <v>599300</v>
      </c>
      <c r="E4" s="142">
        <v>1000</v>
      </c>
      <c r="F4" s="142">
        <v>199.99999999999994</v>
      </c>
      <c r="G4" s="143">
        <v>0</v>
      </c>
      <c r="H4" s="142">
        <v>38400</v>
      </c>
      <c r="I4" s="142">
        <v>2200</v>
      </c>
      <c r="J4" s="126"/>
      <c r="K4" s="126"/>
      <c r="L4" s="126"/>
      <c r="M4" s="126"/>
      <c r="N4" s="126"/>
      <c r="O4" s="126"/>
    </row>
    <row r="5" spans="1:15" ht="15.6">
      <c r="A5" s="126" t="s">
        <v>27</v>
      </c>
      <c r="B5" s="126" t="s">
        <v>173</v>
      </c>
      <c r="C5" s="142">
        <v>505800</v>
      </c>
      <c r="D5" s="142">
        <v>371500</v>
      </c>
      <c r="E5" s="142">
        <v>105900</v>
      </c>
      <c r="F5" s="143">
        <v>0</v>
      </c>
      <c r="G5" s="143">
        <v>0</v>
      </c>
      <c r="H5" s="142">
        <v>26500</v>
      </c>
      <c r="I5" s="142">
        <v>1900</v>
      </c>
      <c r="J5" s="126"/>
      <c r="K5" s="126"/>
      <c r="L5" s="126"/>
      <c r="M5" s="126"/>
      <c r="N5" s="126"/>
      <c r="O5" s="126"/>
    </row>
    <row r="6" spans="1:15" ht="15.6">
      <c r="A6" s="126" t="s">
        <v>21</v>
      </c>
      <c r="B6" s="126" t="s">
        <v>174</v>
      </c>
      <c r="C6" s="142">
        <v>500600</v>
      </c>
      <c r="D6" s="142">
        <v>274400</v>
      </c>
      <c r="E6" s="142">
        <v>208700</v>
      </c>
      <c r="F6" s="143">
        <v>0</v>
      </c>
      <c r="G6" s="143">
        <v>0</v>
      </c>
      <c r="H6" s="142">
        <v>15300</v>
      </c>
      <c r="I6" s="142">
        <v>2100</v>
      </c>
      <c r="J6" s="126"/>
      <c r="K6" s="126"/>
      <c r="L6" s="126"/>
      <c r="M6" s="126"/>
      <c r="N6" s="126"/>
      <c r="O6" s="126"/>
    </row>
    <row r="7" spans="1:15" ht="15.6">
      <c r="A7" s="126" t="s">
        <v>21</v>
      </c>
      <c r="B7" s="126" t="s">
        <v>175</v>
      </c>
      <c r="C7" s="142">
        <v>607900</v>
      </c>
      <c r="D7" s="142">
        <v>468500</v>
      </c>
      <c r="E7" s="142">
        <v>24300</v>
      </c>
      <c r="F7" s="142">
        <v>18900</v>
      </c>
      <c r="G7" s="142">
        <v>27800</v>
      </c>
      <c r="H7" s="142">
        <v>61800</v>
      </c>
      <c r="I7" s="142">
        <v>6600</v>
      </c>
      <c r="J7" s="126"/>
      <c r="K7" s="126"/>
      <c r="L7" s="126"/>
      <c r="M7" s="126"/>
      <c r="N7" s="126"/>
      <c r="O7" s="126"/>
    </row>
    <row r="8" spans="1:15" ht="15.6">
      <c r="A8" s="126" t="s">
        <v>13</v>
      </c>
      <c r="B8" s="126" t="s">
        <v>176</v>
      </c>
      <c r="C8" s="142">
        <v>1224500</v>
      </c>
      <c r="D8" s="142">
        <v>811600</v>
      </c>
      <c r="E8" s="142">
        <v>380300</v>
      </c>
      <c r="F8" s="142">
        <v>13100</v>
      </c>
      <c r="G8" s="143">
        <v>0</v>
      </c>
      <c r="H8" s="142">
        <v>15200</v>
      </c>
      <c r="I8" s="142">
        <v>4299.9999999999545</v>
      </c>
      <c r="J8" s="126"/>
      <c r="K8" s="126"/>
      <c r="L8" s="126"/>
      <c r="M8" s="126"/>
      <c r="N8" s="126"/>
      <c r="O8" s="126"/>
    </row>
    <row r="9" spans="1:15" ht="15.6">
      <c r="A9" s="126" t="s">
        <v>167</v>
      </c>
      <c r="B9" s="126" t="s">
        <v>167</v>
      </c>
      <c r="C9" s="142">
        <v>472000</v>
      </c>
      <c r="D9" s="142">
        <v>462000</v>
      </c>
      <c r="E9" s="143">
        <v>0</v>
      </c>
      <c r="F9" s="143">
        <v>0</v>
      </c>
      <c r="G9" s="143">
        <v>0</v>
      </c>
      <c r="H9" s="143">
        <v>0</v>
      </c>
      <c r="I9" s="142">
        <v>10000</v>
      </c>
      <c r="J9" s="126"/>
      <c r="K9" s="126"/>
      <c r="L9" s="126"/>
      <c r="M9" s="126"/>
      <c r="N9" s="126"/>
      <c r="O9" s="126"/>
    </row>
    <row r="10" spans="1:15" ht="15.6">
      <c r="A10" s="126" t="s">
        <v>15</v>
      </c>
      <c r="B10" s="126" t="s">
        <v>177</v>
      </c>
      <c r="C10" s="142">
        <v>676700</v>
      </c>
      <c r="D10" s="142">
        <v>204000</v>
      </c>
      <c r="E10" s="142">
        <v>315400</v>
      </c>
      <c r="F10" s="142">
        <v>46200</v>
      </c>
      <c r="G10" s="142">
        <v>81200</v>
      </c>
      <c r="H10" s="142">
        <v>26700</v>
      </c>
      <c r="I10" s="142">
        <v>3200</v>
      </c>
      <c r="J10" s="126"/>
      <c r="K10" s="126"/>
      <c r="L10" s="126"/>
      <c r="M10" s="126"/>
      <c r="N10" s="126"/>
      <c r="O10" s="126"/>
    </row>
    <row r="11" spans="1:15" ht="15.6">
      <c r="A11" s="126" t="s">
        <v>15</v>
      </c>
      <c r="B11" s="126" t="s">
        <v>178</v>
      </c>
      <c r="C11" s="142">
        <v>54400</v>
      </c>
      <c r="D11" s="142">
        <v>25300</v>
      </c>
      <c r="E11" s="142">
        <v>2500</v>
      </c>
      <c r="F11" s="142">
        <v>400</v>
      </c>
      <c r="G11" s="142">
        <v>24200</v>
      </c>
      <c r="H11" s="142">
        <v>2000</v>
      </c>
      <c r="I11" s="143">
        <v>0</v>
      </c>
      <c r="J11" s="126"/>
      <c r="K11" s="126"/>
      <c r="L11" s="126"/>
      <c r="M11" s="126"/>
      <c r="N11" s="126"/>
      <c r="O11" s="126"/>
    </row>
    <row r="12" spans="1:15" ht="15.6">
      <c r="A12" s="126" t="s">
        <v>15</v>
      </c>
      <c r="B12" s="126" t="s">
        <v>179</v>
      </c>
      <c r="C12" s="142">
        <v>119500</v>
      </c>
      <c r="D12" s="142">
        <v>78800</v>
      </c>
      <c r="E12" s="142">
        <v>17100</v>
      </c>
      <c r="F12" s="142">
        <v>8200</v>
      </c>
      <c r="G12" s="142">
        <v>10700</v>
      </c>
      <c r="H12" s="142">
        <v>3700</v>
      </c>
      <c r="I12" s="142">
        <v>1000</v>
      </c>
      <c r="J12" s="126"/>
      <c r="K12" s="126"/>
      <c r="L12" s="126"/>
      <c r="M12" s="126"/>
      <c r="N12" s="126"/>
      <c r="O12" s="126"/>
    </row>
    <row r="13" spans="1:15" ht="15.6">
      <c r="A13" s="126" t="s">
        <v>15</v>
      </c>
      <c r="B13" s="126" t="s">
        <v>180</v>
      </c>
      <c r="C13" s="142">
        <v>550300</v>
      </c>
      <c r="D13" s="142">
        <v>232200</v>
      </c>
      <c r="E13" s="142">
        <v>255600</v>
      </c>
      <c r="F13" s="142">
        <v>40000</v>
      </c>
      <c r="G13" s="143">
        <v>0</v>
      </c>
      <c r="H13" s="142">
        <v>18500</v>
      </c>
      <c r="I13" s="142">
        <v>3900</v>
      </c>
      <c r="J13" s="126"/>
      <c r="K13" s="126"/>
      <c r="L13" s="126"/>
      <c r="M13" s="126"/>
      <c r="N13" s="126"/>
      <c r="O13" s="126"/>
    </row>
    <row r="14" spans="1:15" ht="15.6">
      <c r="A14" s="126" t="s">
        <v>15</v>
      </c>
      <c r="B14" s="126" t="s">
        <v>181</v>
      </c>
      <c r="C14" s="142">
        <v>127000</v>
      </c>
      <c r="D14" s="142">
        <v>107200</v>
      </c>
      <c r="E14" s="142">
        <v>6700</v>
      </c>
      <c r="F14" s="142">
        <v>3000</v>
      </c>
      <c r="G14" s="142">
        <v>4200</v>
      </c>
      <c r="H14" s="142">
        <v>4700</v>
      </c>
      <c r="I14" s="142">
        <v>1200</v>
      </c>
      <c r="J14" s="126"/>
      <c r="K14" s="126"/>
      <c r="L14" s="126"/>
      <c r="M14" s="126"/>
      <c r="N14" s="126"/>
      <c r="O14" s="126"/>
    </row>
    <row r="15" spans="1:15" ht="15.6">
      <c r="A15" s="126" t="s">
        <v>33</v>
      </c>
      <c r="B15" s="126" t="s">
        <v>182</v>
      </c>
      <c r="C15" s="142">
        <v>585900</v>
      </c>
      <c r="D15" s="142">
        <v>529800</v>
      </c>
      <c r="E15" s="142">
        <v>1600</v>
      </c>
      <c r="F15" s="143">
        <v>0</v>
      </c>
      <c r="G15" s="143">
        <v>0</v>
      </c>
      <c r="H15" s="142">
        <v>51500</v>
      </c>
      <c r="I15" s="142">
        <v>3000</v>
      </c>
      <c r="J15" s="126"/>
      <c r="K15" s="126"/>
      <c r="L15" s="126"/>
      <c r="M15" s="126"/>
      <c r="N15" s="126"/>
      <c r="O15" s="126"/>
    </row>
    <row r="16" spans="1:15" ht="15.6">
      <c r="A16" s="126" t="s">
        <v>33</v>
      </c>
      <c r="B16" s="126" t="s">
        <v>183</v>
      </c>
      <c r="C16" s="142">
        <v>818400</v>
      </c>
      <c r="D16" s="142">
        <v>461900</v>
      </c>
      <c r="E16" s="142">
        <v>306400</v>
      </c>
      <c r="F16" s="143">
        <v>0</v>
      </c>
      <c r="G16" s="143">
        <v>0</v>
      </c>
      <c r="H16" s="142">
        <v>45400</v>
      </c>
      <c r="I16" s="142">
        <v>4700.0000000000455</v>
      </c>
      <c r="J16" s="126"/>
      <c r="K16" s="126"/>
      <c r="L16" s="126"/>
      <c r="M16" s="126"/>
      <c r="N16" s="126"/>
      <c r="O16" s="126"/>
    </row>
    <row r="17" spans="1:15" ht="15.6">
      <c r="A17" s="126" t="s">
        <v>31</v>
      </c>
      <c r="B17" s="126" t="s">
        <v>184</v>
      </c>
      <c r="C17" s="142">
        <v>1494300</v>
      </c>
      <c r="D17" s="142">
        <v>1370300</v>
      </c>
      <c r="E17" s="142">
        <v>21500</v>
      </c>
      <c r="F17" s="142">
        <v>3900</v>
      </c>
      <c r="G17" s="143">
        <v>0</v>
      </c>
      <c r="H17" s="142">
        <v>88500</v>
      </c>
      <c r="I17" s="142">
        <v>10099.999999999909</v>
      </c>
      <c r="J17" s="126"/>
      <c r="K17" s="126"/>
      <c r="L17" s="126"/>
      <c r="M17" s="126"/>
      <c r="N17" s="126"/>
      <c r="O17" s="126"/>
    </row>
    <row r="20" spans="1:15" ht="15.6">
      <c r="C20" s="126"/>
    </row>
    <row r="21" spans="1:15" ht="15.6">
      <c r="C21" s="126"/>
    </row>
    <row r="22" spans="1:15" ht="15.6">
      <c r="C22" s="126"/>
    </row>
    <row r="23" spans="1:15" ht="15.6">
      <c r="C23" s="126"/>
    </row>
    <row r="24" spans="1:15" ht="15.6">
      <c r="C24" s="126"/>
    </row>
    <row r="25" spans="1:15" ht="15.6">
      <c r="C25" s="126"/>
    </row>
    <row r="26" spans="1:15" ht="15.6">
      <c r="C26" s="126"/>
    </row>
    <row r="27" spans="1:15" ht="15.6">
      <c r="C27" s="126"/>
    </row>
    <row r="28" spans="1:15" ht="15.6">
      <c r="C28" s="126"/>
    </row>
    <row r="29" spans="1:15" ht="15.6">
      <c r="C29" s="126"/>
    </row>
    <row r="30" spans="1:15" ht="15.6">
      <c r="C30" s="126"/>
    </row>
    <row r="31" spans="1:15" ht="15.6">
      <c r="C31" s="126"/>
    </row>
    <row r="32" spans="1:15" ht="15.6">
      <c r="C32" s="126"/>
    </row>
    <row r="33" spans="3:3" ht="15.6">
      <c r="C33" s="126"/>
    </row>
    <row r="34" spans="3:3" ht="15.6">
      <c r="C34" s="126"/>
    </row>
    <row r="35" spans="3:3" ht="15.6">
      <c r="C35" s="1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584E-D8AD-4444-AB5F-65C8BBD6F53B}">
  <dimension ref="A1:Q28"/>
  <sheetViews>
    <sheetView zoomScale="81" workbookViewId="0">
      <selection activeCell="D27" sqref="D27"/>
    </sheetView>
  </sheetViews>
  <sheetFormatPr defaultRowHeight="15"/>
  <cols>
    <col min="1" max="1" width="10.6640625" bestFit="1" customWidth="1"/>
    <col min="2" max="2" width="22.4140625" customWidth="1"/>
    <col min="3" max="3" width="8.6640625" bestFit="1" customWidth="1"/>
    <col min="5" max="5" width="13.5" customWidth="1"/>
    <col min="13" max="13" width="12.83203125" customWidth="1"/>
    <col min="17" max="17" width="19.1640625" customWidth="1"/>
  </cols>
  <sheetData>
    <row r="1" spans="1:17" ht="15.6">
      <c r="A1" s="126"/>
      <c r="B1" s="126"/>
      <c r="C1" s="126"/>
      <c r="D1" s="126"/>
      <c r="E1" s="126"/>
      <c r="F1" s="126"/>
      <c r="G1" s="126"/>
      <c r="H1" s="126"/>
      <c r="I1" s="126"/>
      <c r="J1" s="126"/>
      <c r="K1" s="126"/>
      <c r="L1" s="126"/>
      <c r="M1" s="126"/>
      <c r="N1" s="126"/>
      <c r="O1" s="126"/>
      <c r="P1" s="126"/>
      <c r="Q1" s="126"/>
    </row>
    <row r="2" spans="1:17" ht="15.6">
      <c r="A2" s="126" t="s">
        <v>331</v>
      </c>
      <c r="B2" s="126"/>
      <c r="C2" s="126"/>
      <c r="D2" s="126">
        <v>9085.5</v>
      </c>
      <c r="E2" s="126">
        <v>7068.2</v>
      </c>
      <c r="F2" s="126" t="s">
        <v>11</v>
      </c>
      <c r="G2" s="126">
        <v>2018.3</v>
      </c>
      <c r="H2" s="126" t="s">
        <v>11</v>
      </c>
      <c r="I2" s="126">
        <v>6580</v>
      </c>
      <c r="J2" s="126" t="s">
        <v>11</v>
      </c>
      <c r="K2" s="126">
        <v>1728.1</v>
      </c>
      <c r="L2" s="126" t="s">
        <v>11</v>
      </c>
      <c r="M2" s="126">
        <v>139.30000000000001</v>
      </c>
      <c r="N2" s="126" t="s">
        <v>11</v>
      </c>
      <c r="O2" s="126">
        <v>149.4</v>
      </c>
      <c r="P2" s="126" t="s">
        <v>11</v>
      </c>
      <c r="Q2" s="126">
        <v>452.1</v>
      </c>
    </row>
    <row r="3" spans="1:17" ht="15.6">
      <c r="A3" s="126" t="s">
        <v>328</v>
      </c>
      <c r="B3" s="126" t="s">
        <v>154</v>
      </c>
      <c r="C3" s="126" t="s">
        <v>327</v>
      </c>
      <c r="D3" s="126" t="s">
        <v>6</v>
      </c>
      <c r="E3" s="126" t="s">
        <v>155</v>
      </c>
      <c r="F3" s="126" t="s">
        <v>164</v>
      </c>
      <c r="G3" s="126" t="s">
        <v>156</v>
      </c>
      <c r="H3" s="126" t="s">
        <v>322</v>
      </c>
      <c r="I3" s="126" t="s">
        <v>157</v>
      </c>
      <c r="J3" s="126" t="s">
        <v>323</v>
      </c>
      <c r="K3" s="126" t="s">
        <v>158</v>
      </c>
      <c r="L3" s="126" t="s">
        <v>324</v>
      </c>
      <c r="M3" s="126" t="s">
        <v>159</v>
      </c>
      <c r="N3" s="126" t="s">
        <v>325</v>
      </c>
      <c r="O3" s="126" t="s">
        <v>160</v>
      </c>
      <c r="P3" s="126" t="s">
        <v>326</v>
      </c>
      <c r="Q3" s="126" t="s">
        <v>161</v>
      </c>
    </row>
    <row r="4" spans="1:17" ht="15.6">
      <c r="A4" s="127">
        <v>6</v>
      </c>
      <c r="B4" s="127" t="s">
        <v>15</v>
      </c>
      <c r="C4" s="126" t="s">
        <v>177</v>
      </c>
      <c r="D4" s="126">
        <v>676.7</v>
      </c>
      <c r="E4" s="126">
        <v>233.1</v>
      </c>
      <c r="F4" s="126" t="s">
        <v>19</v>
      </c>
      <c r="G4" s="126">
        <v>443.6</v>
      </c>
      <c r="H4" s="126" t="s">
        <v>81</v>
      </c>
      <c r="I4" s="126">
        <v>204</v>
      </c>
      <c r="J4" s="126" t="s">
        <v>19</v>
      </c>
      <c r="K4" s="126">
        <v>315.39999999999998</v>
      </c>
      <c r="L4" s="126" t="s">
        <v>47</v>
      </c>
      <c r="M4" s="126">
        <v>46.2</v>
      </c>
      <c r="N4" s="126" t="s">
        <v>57</v>
      </c>
      <c r="O4" s="126">
        <v>81.2</v>
      </c>
      <c r="P4" s="126" t="s">
        <v>62</v>
      </c>
      <c r="Q4" s="126">
        <v>26.7</v>
      </c>
    </row>
    <row r="5" spans="1:17" ht="15.6">
      <c r="A5" s="127">
        <v>18</v>
      </c>
      <c r="B5" s="127" t="s">
        <v>33</v>
      </c>
      <c r="C5" s="126" t="s">
        <v>182</v>
      </c>
      <c r="D5" s="126">
        <v>585.9</v>
      </c>
      <c r="E5" s="126">
        <v>584.29999999999995</v>
      </c>
      <c r="F5" s="126"/>
      <c r="G5" s="126"/>
      <c r="H5" s="126" t="s">
        <v>70</v>
      </c>
      <c r="I5" s="126">
        <v>529.79999999999995</v>
      </c>
      <c r="J5" s="126"/>
      <c r="K5" s="126"/>
      <c r="L5" s="126"/>
      <c r="M5" s="126"/>
      <c r="N5" s="126"/>
      <c r="O5" s="126"/>
      <c r="P5" s="126" t="s">
        <v>70</v>
      </c>
      <c r="Q5" s="126">
        <v>51.5</v>
      </c>
    </row>
    <row r="6" spans="1:17" ht="15.6">
      <c r="A6" s="127">
        <v>19</v>
      </c>
      <c r="B6" s="127" t="s">
        <v>33</v>
      </c>
      <c r="C6" s="126" t="s">
        <v>183</v>
      </c>
      <c r="D6" s="126">
        <v>818.4</v>
      </c>
      <c r="E6" s="126">
        <v>511</v>
      </c>
      <c r="F6" s="126" t="s">
        <v>129</v>
      </c>
      <c r="G6" s="126">
        <v>307.5</v>
      </c>
      <c r="H6" s="126" t="s">
        <v>72</v>
      </c>
      <c r="I6" s="126">
        <v>461.9</v>
      </c>
      <c r="J6" s="126" t="s">
        <v>35</v>
      </c>
      <c r="K6" s="126">
        <v>306.39999999999998</v>
      </c>
      <c r="L6" s="126"/>
      <c r="M6" s="126"/>
      <c r="N6" s="126"/>
      <c r="O6" s="126"/>
      <c r="P6" s="126" t="s">
        <v>72</v>
      </c>
      <c r="Q6" s="126">
        <v>45.4</v>
      </c>
    </row>
    <row r="7" spans="1:17" ht="15.6">
      <c r="A7" s="127">
        <v>7</v>
      </c>
      <c r="B7" s="127" t="s">
        <v>15</v>
      </c>
      <c r="C7" s="126" t="s">
        <v>178</v>
      </c>
      <c r="D7" s="126">
        <v>54.4</v>
      </c>
      <c r="E7" s="126">
        <v>27.3</v>
      </c>
      <c r="F7" s="126"/>
      <c r="G7" s="126"/>
      <c r="H7" s="126" t="s">
        <v>83</v>
      </c>
      <c r="I7" s="126">
        <v>25.3</v>
      </c>
      <c r="J7" s="126"/>
      <c r="K7" s="126"/>
      <c r="L7" s="126"/>
      <c r="M7" s="126"/>
      <c r="N7" s="126" t="s">
        <v>59</v>
      </c>
      <c r="O7" s="126">
        <v>24.2</v>
      </c>
      <c r="P7" s="126"/>
      <c r="Q7" s="126"/>
    </row>
    <row r="8" spans="1:17" ht="15.6">
      <c r="A8" s="127">
        <v>10</v>
      </c>
      <c r="B8" s="127" t="s">
        <v>21</v>
      </c>
      <c r="C8" s="126" t="s">
        <v>174</v>
      </c>
      <c r="D8" s="126">
        <v>500.6</v>
      </c>
      <c r="E8" s="126">
        <v>291.60000000000002</v>
      </c>
      <c r="F8" s="126" t="s">
        <v>25</v>
      </c>
      <c r="G8" s="126">
        <v>209</v>
      </c>
      <c r="H8" s="126" t="s">
        <v>87</v>
      </c>
      <c r="I8" s="126">
        <v>274.39999999999998</v>
      </c>
      <c r="J8" s="126" t="s">
        <v>25</v>
      </c>
      <c r="K8" s="126">
        <v>208.7</v>
      </c>
      <c r="L8" s="126"/>
      <c r="M8" s="126"/>
      <c r="N8" s="126"/>
      <c r="O8" s="126"/>
      <c r="P8" s="126"/>
      <c r="Q8" s="126"/>
    </row>
    <row r="9" spans="1:17" ht="15.6">
      <c r="A9" s="127">
        <v>9</v>
      </c>
      <c r="B9" s="127" t="s">
        <v>21</v>
      </c>
      <c r="C9" s="126" t="s">
        <v>175</v>
      </c>
      <c r="D9" s="126">
        <v>607.9</v>
      </c>
      <c r="E9" s="126">
        <v>537</v>
      </c>
      <c r="F9" s="126" t="s">
        <v>23</v>
      </c>
      <c r="G9" s="126">
        <v>70.900000000000006</v>
      </c>
      <c r="H9" s="126" t="s">
        <v>85</v>
      </c>
      <c r="I9" s="126">
        <v>468.5</v>
      </c>
      <c r="J9" s="126" t="s">
        <v>23</v>
      </c>
      <c r="K9" s="126">
        <v>24.3</v>
      </c>
      <c r="L9" s="126"/>
      <c r="M9" s="126"/>
      <c r="N9" s="126" t="s">
        <v>108</v>
      </c>
      <c r="O9" s="126">
        <v>27.8</v>
      </c>
      <c r="P9" s="126" t="s">
        <v>109</v>
      </c>
      <c r="Q9" s="126">
        <v>61.8</v>
      </c>
    </row>
    <row r="10" spans="1:17" ht="15.6">
      <c r="A10" s="127">
        <v>1</v>
      </c>
      <c r="B10" s="127" t="s">
        <v>13</v>
      </c>
      <c r="C10" s="126" t="s">
        <v>176</v>
      </c>
      <c r="D10" s="126">
        <v>1224.5</v>
      </c>
      <c r="E10" s="126">
        <v>830.9</v>
      </c>
      <c r="F10" s="126" t="s">
        <v>13</v>
      </c>
      <c r="G10" s="126">
        <v>393.6</v>
      </c>
      <c r="H10" s="126" t="s">
        <v>13</v>
      </c>
      <c r="I10" s="126">
        <v>811.6</v>
      </c>
      <c r="J10" s="126" t="s">
        <v>13</v>
      </c>
      <c r="K10" s="126">
        <v>380.3</v>
      </c>
      <c r="L10" s="126" t="s">
        <v>41</v>
      </c>
      <c r="M10" s="126">
        <v>13.1</v>
      </c>
      <c r="N10" s="126"/>
      <c r="O10" s="126"/>
      <c r="P10" s="126" t="s">
        <v>13</v>
      </c>
      <c r="Q10" s="126">
        <v>15.2</v>
      </c>
    </row>
    <row r="11" spans="1:17" ht="15.6">
      <c r="A11" s="127">
        <v>4</v>
      </c>
      <c r="B11" s="127" t="s">
        <v>15</v>
      </c>
      <c r="C11" s="126" t="s">
        <v>179</v>
      </c>
      <c r="D11" s="126">
        <v>119.5</v>
      </c>
      <c r="E11" s="126">
        <v>83.2</v>
      </c>
      <c r="F11" s="126"/>
      <c r="G11" s="126"/>
      <c r="H11" s="126" t="s">
        <v>77</v>
      </c>
      <c r="I11" s="126">
        <v>78.8</v>
      </c>
      <c r="J11" s="126"/>
      <c r="K11" s="126"/>
      <c r="L11" s="126"/>
      <c r="M11" s="126"/>
      <c r="N11" s="126"/>
      <c r="O11" s="126"/>
      <c r="P11" s="126"/>
      <c r="Q11" s="126"/>
    </row>
    <row r="12" spans="1:17" ht="15.6">
      <c r="A12" s="127">
        <v>13</v>
      </c>
      <c r="B12" s="127" t="s">
        <v>27</v>
      </c>
      <c r="C12" s="126" t="s">
        <v>170</v>
      </c>
      <c r="D12" s="126">
        <v>803</v>
      </c>
      <c r="E12" s="126">
        <v>762.5</v>
      </c>
      <c r="F12" s="126"/>
      <c r="G12" s="126"/>
      <c r="H12" s="126" t="s">
        <v>91</v>
      </c>
      <c r="I12" s="126">
        <v>728.4</v>
      </c>
      <c r="J12" s="126"/>
      <c r="K12" s="126"/>
      <c r="L12" s="126"/>
      <c r="M12" s="126"/>
      <c r="N12" s="126"/>
      <c r="O12" s="126"/>
      <c r="P12" s="126" t="s">
        <v>66</v>
      </c>
      <c r="Q12" s="126">
        <v>32.1</v>
      </c>
    </row>
    <row r="13" spans="1:17" ht="15.6">
      <c r="A13" s="127">
        <v>14</v>
      </c>
      <c r="B13" s="127" t="s">
        <v>27</v>
      </c>
      <c r="C13" s="126" t="s">
        <v>171</v>
      </c>
      <c r="D13" s="126">
        <v>376.1</v>
      </c>
      <c r="E13" s="126">
        <v>331.7</v>
      </c>
      <c r="F13" s="126"/>
      <c r="G13" s="126"/>
      <c r="H13" s="126" t="s">
        <v>93</v>
      </c>
      <c r="I13" s="126">
        <v>316.7</v>
      </c>
      <c r="J13" s="126"/>
      <c r="K13" s="126"/>
      <c r="L13" s="126"/>
      <c r="M13" s="126"/>
      <c r="N13" s="126"/>
      <c r="O13" s="126"/>
      <c r="P13" s="126"/>
      <c r="Q13" s="126"/>
    </row>
    <row r="14" spans="1:17" ht="15.6">
      <c r="A14" s="127">
        <v>15</v>
      </c>
      <c r="B14" s="127" t="s">
        <v>27</v>
      </c>
      <c r="C14" s="126" t="s">
        <v>172</v>
      </c>
      <c r="D14" s="126">
        <v>641.1</v>
      </c>
      <c r="E14" s="126">
        <v>639.9</v>
      </c>
      <c r="F14" s="126"/>
      <c r="G14" s="126"/>
      <c r="H14" s="126" t="s">
        <v>95</v>
      </c>
      <c r="I14" s="126">
        <v>599.29999999999995</v>
      </c>
      <c r="J14" s="126"/>
      <c r="K14" s="126"/>
      <c r="L14" s="126"/>
      <c r="M14" s="126"/>
      <c r="N14" s="126"/>
      <c r="O14" s="126"/>
      <c r="P14" s="126" t="s">
        <v>68</v>
      </c>
      <c r="Q14" s="126">
        <v>38.4</v>
      </c>
    </row>
    <row r="15" spans="1:17" ht="15.6">
      <c r="A15" s="127">
        <v>12</v>
      </c>
      <c r="B15" s="127" t="s">
        <v>27</v>
      </c>
      <c r="C15" s="126" t="s">
        <v>173</v>
      </c>
      <c r="D15" s="126">
        <v>505.8</v>
      </c>
      <c r="E15" s="126">
        <v>399.8</v>
      </c>
      <c r="F15" s="126" t="s">
        <v>29</v>
      </c>
      <c r="G15" s="126">
        <v>106.1</v>
      </c>
      <c r="H15" s="126" t="s">
        <v>89</v>
      </c>
      <c r="I15" s="126">
        <v>371.5</v>
      </c>
      <c r="J15" s="126" t="s">
        <v>29</v>
      </c>
      <c r="K15" s="126">
        <v>105.9</v>
      </c>
      <c r="L15" s="126"/>
      <c r="M15" s="126"/>
      <c r="N15" s="126"/>
      <c r="O15" s="126"/>
      <c r="P15" s="126" t="s">
        <v>64</v>
      </c>
      <c r="Q15" s="126">
        <v>26.5</v>
      </c>
    </row>
    <row r="16" spans="1:17" ht="15.6">
      <c r="A16" s="127">
        <v>16</v>
      </c>
      <c r="B16" s="127" t="s">
        <v>27</v>
      </c>
      <c r="C16" s="126" t="s">
        <v>184</v>
      </c>
      <c r="D16" s="126">
        <v>1494.3</v>
      </c>
      <c r="E16" s="126">
        <v>1468.6</v>
      </c>
      <c r="F16" s="126" t="s">
        <v>31</v>
      </c>
      <c r="G16" s="126">
        <v>25.7</v>
      </c>
      <c r="H16" s="126" t="s">
        <v>31</v>
      </c>
      <c r="I16" s="126">
        <v>1370.3</v>
      </c>
      <c r="J16" s="126" t="s">
        <v>31</v>
      </c>
      <c r="K16" s="126">
        <v>21.5</v>
      </c>
      <c r="L16" s="126" t="s">
        <v>53</v>
      </c>
      <c r="M16" s="126">
        <v>3.9</v>
      </c>
      <c r="N16" s="126"/>
      <c r="O16" s="126"/>
      <c r="P16" s="126" t="s">
        <v>31</v>
      </c>
      <c r="Q16" s="126">
        <v>88.5</v>
      </c>
    </row>
    <row r="17" spans="1:17" ht="15.6">
      <c r="A17" s="127">
        <v>5</v>
      </c>
      <c r="B17" s="127" t="s">
        <v>15</v>
      </c>
      <c r="C17" s="126" t="s">
        <v>180</v>
      </c>
      <c r="D17" s="126">
        <v>550.29999999999995</v>
      </c>
      <c r="E17" s="126">
        <v>254.6</v>
      </c>
      <c r="F17" s="126" t="s">
        <v>17</v>
      </c>
      <c r="G17" s="126">
        <v>295.7</v>
      </c>
      <c r="H17" s="126" t="s">
        <v>79</v>
      </c>
      <c r="I17" s="126">
        <v>232.2</v>
      </c>
      <c r="J17" s="126" t="s">
        <v>17</v>
      </c>
      <c r="K17" s="126">
        <v>255.6</v>
      </c>
      <c r="L17" s="126" t="s">
        <v>45</v>
      </c>
      <c r="M17" s="126">
        <v>40</v>
      </c>
      <c r="N17" s="126"/>
      <c r="O17" s="126"/>
      <c r="P17" s="126"/>
      <c r="Q17" s="126"/>
    </row>
    <row r="18" spans="1:17" ht="15.6">
      <c r="A18" s="127">
        <v>3</v>
      </c>
      <c r="B18" s="127" t="s">
        <v>15</v>
      </c>
      <c r="C18" s="126" t="s">
        <v>181</v>
      </c>
      <c r="D18" s="126">
        <v>127</v>
      </c>
      <c r="E18" s="126">
        <v>112.9</v>
      </c>
      <c r="F18" s="126"/>
      <c r="G18" s="126"/>
      <c r="H18" s="126" t="s">
        <v>75</v>
      </c>
      <c r="I18" s="126">
        <v>107.2</v>
      </c>
      <c r="J18" s="126"/>
      <c r="K18" s="126"/>
      <c r="L18" s="126"/>
      <c r="M18" s="126"/>
      <c r="N18" s="126"/>
      <c r="O18" s="126"/>
      <c r="P18" s="126"/>
      <c r="Q18" s="126"/>
    </row>
    <row r="19" spans="1:17" ht="15.6">
      <c r="A19" s="127">
        <v>20</v>
      </c>
      <c r="B19" s="126" t="s">
        <v>119</v>
      </c>
      <c r="C19" s="126"/>
      <c r="D19" s="126">
        <v>472</v>
      </c>
      <c r="E19" s="126">
        <v>471</v>
      </c>
      <c r="F19" s="126"/>
      <c r="G19" s="126"/>
      <c r="H19" s="126" t="s">
        <v>119</v>
      </c>
      <c r="I19" s="126">
        <v>462</v>
      </c>
      <c r="J19" s="126"/>
      <c r="K19" s="126"/>
      <c r="L19" s="126"/>
      <c r="M19" s="126"/>
      <c r="N19" s="126"/>
      <c r="O19" s="126"/>
      <c r="P19" s="126"/>
      <c r="Q19" s="126"/>
    </row>
    <row r="20" spans="1:17" ht="15.6">
      <c r="A20" s="127">
        <v>2</v>
      </c>
      <c r="B20" s="127" t="s">
        <v>15</v>
      </c>
      <c r="C20" s="127"/>
      <c r="D20" s="127">
        <v>1527.8</v>
      </c>
      <c r="E20" s="127">
        <v>711</v>
      </c>
      <c r="F20" s="127" t="s">
        <v>15</v>
      </c>
      <c r="G20" s="127">
        <v>816.8</v>
      </c>
      <c r="H20" s="127" t="s">
        <v>15</v>
      </c>
      <c r="I20" s="127">
        <v>647.5</v>
      </c>
      <c r="J20" s="127" t="s">
        <v>15</v>
      </c>
      <c r="K20" s="127">
        <v>597.29999999999995</v>
      </c>
      <c r="L20" s="127" t="s">
        <v>43</v>
      </c>
      <c r="M20" s="127">
        <v>97.8</v>
      </c>
      <c r="N20" s="127" t="s">
        <v>43</v>
      </c>
      <c r="O20" s="127">
        <v>120.3</v>
      </c>
      <c r="P20" s="127" t="s">
        <v>15</v>
      </c>
      <c r="Q20" s="127">
        <v>55.6</v>
      </c>
    </row>
    <row r="21" spans="1:17" ht="15.6">
      <c r="A21" s="127">
        <v>8</v>
      </c>
      <c r="B21" s="127" t="s">
        <v>21</v>
      </c>
      <c r="C21" s="127"/>
      <c r="D21" s="127">
        <v>1108.5</v>
      </c>
      <c r="E21" s="127">
        <v>828.6</v>
      </c>
      <c r="F21" s="127" t="s">
        <v>21</v>
      </c>
      <c r="G21" s="127">
        <v>280</v>
      </c>
      <c r="H21" s="127" t="s">
        <v>21</v>
      </c>
      <c r="I21" s="127">
        <v>742.9</v>
      </c>
      <c r="J21" s="127" t="s">
        <v>21</v>
      </c>
      <c r="K21" s="127">
        <v>233.1</v>
      </c>
      <c r="L21" s="127" t="s">
        <v>49</v>
      </c>
      <c r="M21" s="127">
        <v>18.899999999999999</v>
      </c>
      <c r="N21" s="127" t="s">
        <v>49</v>
      </c>
      <c r="O21" s="127">
        <v>27.8</v>
      </c>
      <c r="P21" s="127" t="s">
        <v>21</v>
      </c>
      <c r="Q21" s="127">
        <v>77.099999999999994</v>
      </c>
    </row>
    <row r="22" spans="1:17" ht="15.6">
      <c r="A22" s="127">
        <v>11</v>
      </c>
      <c r="B22" s="127" t="s">
        <v>27</v>
      </c>
      <c r="C22" s="127"/>
      <c r="D22" s="127">
        <v>2326</v>
      </c>
      <c r="E22" s="127">
        <v>2133.8000000000002</v>
      </c>
      <c r="F22" s="127" t="s">
        <v>27</v>
      </c>
      <c r="G22" s="127">
        <v>192.1</v>
      </c>
      <c r="H22" s="127" t="s">
        <v>27</v>
      </c>
      <c r="I22" s="127">
        <v>2015.9</v>
      </c>
      <c r="J22" s="127" t="s">
        <v>27</v>
      </c>
      <c r="K22" s="127">
        <v>187.2</v>
      </c>
      <c r="L22" s="127" t="s">
        <v>51</v>
      </c>
      <c r="M22" s="127">
        <v>4.7</v>
      </c>
      <c r="N22" s="127"/>
      <c r="O22" s="127"/>
      <c r="P22" s="127" t="s">
        <v>27</v>
      </c>
      <c r="Q22" s="127">
        <v>110.3</v>
      </c>
    </row>
    <row r="23" spans="1:17" ht="15.6">
      <c r="A23" s="127">
        <v>17</v>
      </c>
      <c r="B23" s="127" t="s">
        <v>33</v>
      </c>
      <c r="C23" s="127"/>
      <c r="D23" s="127">
        <v>1404.3</v>
      </c>
      <c r="E23" s="127">
        <v>1095.2</v>
      </c>
      <c r="F23" s="127" t="s">
        <v>33</v>
      </c>
      <c r="G23" s="127">
        <v>309.10000000000002</v>
      </c>
      <c r="H23" s="127" t="s">
        <v>33</v>
      </c>
      <c r="I23" s="127">
        <v>991.7</v>
      </c>
      <c r="J23" s="127" t="s">
        <v>33</v>
      </c>
      <c r="K23" s="127">
        <v>308</v>
      </c>
      <c r="L23" s="127"/>
      <c r="M23" s="127"/>
      <c r="N23" s="127"/>
      <c r="O23" s="127"/>
      <c r="P23" s="127" t="s">
        <v>33</v>
      </c>
      <c r="Q23" s="127">
        <v>96.9</v>
      </c>
    </row>
    <row r="26" spans="1:17" ht="15.6">
      <c r="A26" s="127">
        <v>20</v>
      </c>
      <c r="B26" s="126" t="s">
        <v>119</v>
      </c>
      <c r="C26" s="126" t="s">
        <v>329</v>
      </c>
      <c r="D26" s="126">
        <v>472</v>
      </c>
      <c r="E26" s="126">
        <v>471</v>
      </c>
      <c r="F26" s="126"/>
      <c r="G26" s="126"/>
      <c r="H26" s="126" t="s">
        <v>119</v>
      </c>
      <c r="I26" s="126">
        <v>462</v>
      </c>
      <c r="J26" s="126"/>
      <c r="K26" s="126"/>
      <c r="L26" s="126"/>
      <c r="M26" s="126"/>
      <c r="N26" s="126"/>
      <c r="O26" s="126"/>
      <c r="P26" s="126"/>
      <c r="Q26" s="126"/>
    </row>
    <row r="27" spans="1:17" ht="15.6">
      <c r="A27" s="126" t="s">
        <v>330</v>
      </c>
      <c r="B27" s="126"/>
      <c r="C27" s="126"/>
      <c r="D27" s="126">
        <v>9557.5</v>
      </c>
      <c r="E27" s="126">
        <v>7539.2</v>
      </c>
      <c r="F27" s="126" t="s">
        <v>11</v>
      </c>
      <c r="G27" s="126">
        <v>2018.3</v>
      </c>
      <c r="H27" s="126" t="s">
        <v>111</v>
      </c>
      <c r="I27" s="126">
        <v>7042</v>
      </c>
      <c r="J27" s="126" t="s">
        <v>11</v>
      </c>
      <c r="K27" s="126">
        <v>1728.1</v>
      </c>
      <c r="L27" s="126" t="s">
        <v>11</v>
      </c>
      <c r="M27" s="126">
        <v>139.30000000000001</v>
      </c>
      <c r="N27" s="126" t="s">
        <v>11</v>
      </c>
      <c r="O27" s="126">
        <v>149.4</v>
      </c>
      <c r="P27" s="126" t="s">
        <v>11</v>
      </c>
      <c r="Q27" s="126">
        <v>452.1</v>
      </c>
    </row>
    <row r="28" spans="1:17" ht="15.6">
      <c r="D28">
        <v>9085.5</v>
      </c>
      <c r="E28">
        <v>7068.2</v>
      </c>
      <c r="F28" s="126" t="s">
        <v>11</v>
      </c>
      <c r="G28">
        <v>2018.3</v>
      </c>
      <c r="H28" s="126" t="s">
        <v>11</v>
      </c>
      <c r="I28">
        <v>6580</v>
      </c>
      <c r="J28" s="126" t="s">
        <v>11</v>
      </c>
      <c r="K28">
        <v>1728.1</v>
      </c>
      <c r="L28" s="126" t="s">
        <v>11</v>
      </c>
      <c r="M28">
        <v>139.30000000000001</v>
      </c>
      <c r="N28" s="126" t="s">
        <v>11</v>
      </c>
      <c r="O28">
        <v>149.4</v>
      </c>
      <c r="P28" s="126" t="s">
        <v>11</v>
      </c>
      <c r="Q28">
        <v>452.1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40CC8-55E1-458B-B106-9257EC3E52F4}">
  <sheetPr>
    <tabColor theme="3" tint="0.39997558519241921"/>
  </sheetPr>
  <dimension ref="A1:N20"/>
  <sheetViews>
    <sheetView workbookViewId="0">
      <selection activeCell="A5" sqref="A2:XFD5"/>
    </sheetView>
  </sheetViews>
  <sheetFormatPr defaultRowHeight="14.4"/>
  <cols>
    <col min="1" max="16384" width="8.6640625" style="159"/>
  </cols>
  <sheetData>
    <row r="1" spans="1:14" ht="15.6">
      <c r="A1" s="162" t="s">
        <v>243</v>
      </c>
      <c r="B1" s="162" t="s">
        <v>169</v>
      </c>
      <c r="C1" s="162" t="s">
        <v>6</v>
      </c>
      <c r="D1" s="162" t="s">
        <v>157</v>
      </c>
      <c r="E1" s="162" t="s">
        <v>162</v>
      </c>
      <c r="F1" s="162" t="s">
        <v>159</v>
      </c>
      <c r="G1" s="156" t="s">
        <v>334</v>
      </c>
      <c r="H1" s="156" t="s">
        <v>335</v>
      </c>
      <c r="I1" s="129" t="s">
        <v>336</v>
      </c>
      <c r="J1" s="156" t="s">
        <v>338</v>
      </c>
      <c r="K1" s="156" t="s">
        <v>341</v>
      </c>
      <c r="L1" s="162" t="s">
        <v>160</v>
      </c>
      <c r="M1" s="162" t="s">
        <v>161</v>
      </c>
      <c r="N1" s="162" t="s">
        <v>163</v>
      </c>
    </row>
    <row r="2" spans="1:14">
      <c r="A2" s="159" t="s">
        <v>27</v>
      </c>
      <c r="B2" s="159" t="s">
        <v>170</v>
      </c>
      <c r="C2" s="159">
        <v>803000</v>
      </c>
      <c r="D2" s="159">
        <v>728400</v>
      </c>
      <c r="E2" s="159">
        <v>38200</v>
      </c>
      <c r="F2" s="159">
        <v>2200.0000000000027</v>
      </c>
      <c r="G2" s="159">
        <v>0</v>
      </c>
      <c r="H2" s="159">
        <v>1204</v>
      </c>
      <c r="I2" s="159">
        <v>741</v>
      </c>
      <c r="J2" s="159">
        <v>139</v>
      </c>
      <c r="K2" s="159">
        <v>116</v>
      </c>
      <c r="L2" s="159">
        <v>0</v>
      </c>
      <c r="M2" s="159">
        <v>32100</v>
      </c>
      <c r="N2" s="159">
        <v>2100</v>
      </c>
    </row>
    <row r="3" spans="1:14">
      <c r="A3" s="159" t="s">
        <v>27</v>
      </c>
      <c r="B3" s="159" t="s">
        <v>171</v>
      </c>
      <c r="C3" s="159">
        <v>376100</v>
      </c>
      <c r="D3" s="159">
        <v>316700</v>
      </c>
      <c r="E3" s="159">
        <v>42100</v>
      </c>
      <c r="F3" s="159">
        <v>2299.9999999999973</v>
      </c>
      <c r="G3" s="159">
        <v>0</v>
      </c>
      <c r="H3" s="159">
        <v>1259</v>
      </c>
      <c r="I3" s="159">
        <v>775</v>
      </c>
      <c r="J3" s="159">
        <v>145</v>
      </c>
      <c r="K3" s="159">
        <v>121</v>
      </c>
      <c r="L3" s="159">
        <v>0</v>
      </c>
      <c r="M3" s="159">
        <v>13300</v>
      </c>
      <c r="N3" s="159">
        <v>1700</v>
      </c>
    </row>
    <row r="4" spans="1:14">
      <c r="A4" s="159" t="s">
        <v>27</v>
      </c>
      <c r="B4" s="159" t="s">
        <v>172</v>
      </c>
      <c r="C4" s="159">
        <v>641100</v>
      </c>
      <c r="D4" s="159">
        <v>599300</v>
      </c>
      <c r="E4" s="159">
        <v>1000</v>
      </c>
      <c r="F4" s="159">
        <v>199.99999999999994</v>
      </c>
      <c r="G4" s="159">
        <v>0</v>
      </c>
      <c r="H4" s="159">
        <v>109</v>
      </c>
      <c r="I4" s="159">
        <v>67</v>
      </c>
      <c r="J4" s="159">
        <v>13</v>
      </c>
      <c r="K4" s="159">
        <v>11</v>
      </c>
      <c r="L4" s="159">
        <v>0</v>
      </c>
      <c r="M4" s="159">
        <v>38400</v>
      </c>
      <c r="N4" s="159">
        <v>2200</v>
      </c>
    </row>
    <row r="5" spans="1:14">
      <c r="A5" s="159" t="s">
        <v>27</v>
      </c>
      <c r="B5" s="159" t="s">
        <v>173</v>
      </c>
      <c r="C5" s="159">
        <v>505800</v>
      </c>
      <c r="D5" s="159">
        <v>371500</v>
      </c>
      <c r="E5" s="159">
        <v>105900</v>
      </c>
      <c r="F5" s="159">
        <v>0</v>
      </c>
      <c r="G5" s="159">
        <v>0</v>
      </c>
      <c r="H5" s="159">
        <v>0</v>
      </c>
      <c r="I5" s="159">
        <v>0</v>
      </c>
      <c r="J5" s="159">
        <v>0</v>
      </c>
      <c r="K5" s="159">
        <v>0</v>
      </c>
      <c r="L5" s="159">
        <v>0</v>
      </c>
      <c r="M5" s="159">
        <v>26500</v>
      </c>
      <c r="N5" s="159">
        <v>1900</v>
      </c>
    </row>
    <row r="6" spans="1:14">
      <c r="A6" s="159" t="s">
        <v>21</v>
      </c>
      <c r="B6" s="159" t="s">
        <v>174</v>
      </c>
      <c r="C6" s="159">
        <v>500600</v>
      </c>
      <c r="D6" s="159">
        <v>274400</v>
      </c>
      <c r="E6" s="159">
        <v>208700</v>
      </c>
      <c r="F6" s="159">
        <v>0</v>
      </c>
      <c r="G6" s="159">
        <v>0</v>
      </c>
      <c r="H6" s="159">
        <v>0</v>
      </c>
      <c r="I6" s="159">
        <v>0</v>
      </c>
      <c r="J6" s="159">
        <v>0</v>
      </c>
      <c r="K6" s="159">
        <v>0</v>
      </c>
      <c r="L6" s="159">
        <v>0</v>
      </c>
      <c r="M6" s="159">
        <v>15300</v>
      </c>
      <c r="N6" s="159">
        <v>2200</v>
      </c>
    </row>
    <row r="7" spans="1:14">
      <c r="A7" s="159" t="s">
        <v>21</v>
      </c>
      <c r="B7" s="159" t="s">
        <v>175</v>
      </c>
      <c r="C7" s="159">
        <v>607900</v>
      </c>
      <c r="D7" s="159">
        <v>468500</v>
      </c>
      <c r="E7" s="159">
        <v>24300</v>
      </c>
      <c r="F7" s="159">
        <v>18900</v>
      </c>
      <c r="G7" s="159">
        <v>0</v>
      </c>
      <c r="H7" s="159">
        <v>10345</v>
      </c>
      <c r="I7" s="159">
        <v>6366</v>
      </c>
      <c r="J7" s="159">
        <v>1194</v>
      </c>
      <c r="K7" s="159">
        <v>995</v>
      </c>
      <c r="L7" s="159">
        <v>27800</v>
      </c>
      <c r="M7" s="159">
        <v>61800</v>
      </c>
      <c r="N7" s="159">
        <v>6600</v>
      </c>
    </row>
    <row r="8" spans="1:14">
      <c r="A8" s="159" t="s">
        <v>15</v>
      </c>
      <c r="B8" s="159" t="s">
        <v>177</v>
      </c>
      <c r="C8" s="159">
        <v>676700</v>
      </c>
      <c r="D8" s="159">
        <v>204000</v>
      </c>
      <c r="E8" s="159">
        <v>315400</v>
      </c>
      <c r="F8" s="159">
        <v>46200</v>
      </c>
      <c r="G8" s="159">
        <v>600</v>
      </c>
      <c r="H8" s="159">
        <v>24988</v>
      </c>
      <c r="I8" s="159">
        <v>15462</v>
      </c>
      <c r="J8" s="159">
        <v>2818</v>
      </c>
      <c r="K8" s="159">
        <v>2332</v>
      </c>
      <c r="L8" s="159">
        <v>81200</v>
      </c>
      <c r="M8" s="159">
        <v>26700</v>
      </c>
      <c r="N8" s="159">
        <v>3200</v>
      </c>
    </row>
    <row r="9" spans="1:14">
      <c r="A9" s="159" t="s">
        <v>15</v>
      </c>
      <c r="B9" s="159" t="s">
        <v>178</v>
      </c>
      <c r="C9" s="159">
        <v>54400</v>
      </c>
      <c r="D9" s="159">
        <v>25300</v>
      </c>
      <c r="E9" s="159">
        <v>2500</v>
      </c>
      <c r="F9" s="159">
        <v>400</v>
      </c>
      <c r="G9" s="159">
        <v>0</v>
      </c>
      <c r="H9" s="159">
        <v>219</v>
      </c>
      <c r="I9" s="159">
        <v>135</v>
      </c>
      <c r="J9" s="159">
        <v>25</v>
      </c>
      <c r="K9" s="159">
        <v>21</v>
      </c>
      <c r="L9" s="159">
        <v>24200</v>
      </c>
      <c r="M9" s="159">
        <v>2000</v>
      </c>
      <c r="N9" s="159">
        <v>0</v>
      </c>
    </row>
    <row r="10" spans="1:14">
      <c r="A10" s="159" t="s">
        <v>15</v>
      </c>
      <c r="B10" s="159" t="s">
        <v>179</v>
      </c>
      <c r="C10" s="159">
        <v>119500</v>
      </c>
      <c r="D10" s="159">
        <v>78800</v>
      </c>
      <c r="E10" s="159">
        <v>17100</v>
      </c>
      <c r="F10" s="159">
        <v>8200</v>
      </c>
      <c r="G10" s="159">
        <v>100</v>
      </c>
      <c r="H10" s="159">
        <v>4388</v>
      </c>
      <c r="I10" s="159">
        <v>2762</v>
      </c>
      <c r="J10" s="159">
        <v>518</v>
      </c>
      <c r="K10" s="159">
        <v>432</v>
      </c>
      <c r="L10" s="159">
        <v>10700</v>
      </c>
      <c r="M10" s="159">
        <v>3700</v>
      </c>
      <c r="N10" s="159">
        <v>1000</v>
      </c>
    </row>
    <row r="11" spans="1:14">
      <c r="A11" s="159" t="s">
        <v>15</v>
      </c>
      <c r="B11" s="159" t="s">
        <v>180</v>
      </c>
      <c r="C11" s="159">
        <v>550300</v>
      </c>
      <c r="D11" s="159">
        <v>232200</v>
      </c>
      <c r="E11" s="159">
        <v>255600</v>
      </c>
      <c r="F11" s="159">
        <v>40000</v>
      </c>
      <c r="G11" s="159">
        <v>1000</v>
      </c>
      <c r="H11" s="159">
        <v>21295</v>
      </c>
      <c r="I11" s="159">
        <v>13174</v>
      </c>
      <c r="J11" s="159">
        <v>2476</v>
      </c>
      <c r="K11" s="159">
        <v>2055</v>
      </c>
      <c r="L11" s="159">
        <v>0</v>
      </c>
      <c r="M11" s="159">
        <v>18500</v>
      </c>
      <c r="N11" s="159">
        <v>4000</v>
      </c>
    </row>
    <row r="12" spans="1:14">
      <c r="A12" s="159" t="s">
        <v>15</v>
      </c>
      <c r="B12" s="159" t="s">
        <v>181</v>
      </c>
      <c r="C12" s="159">
        <v>127000</v>
      </c>
      <c r="D12" s="159">
        <v>107200</v>
      </c>
      <c r="E12" s="159">
        <v>6700</v>
      </c>
      <c r="F12" s="159">
        <v>3000</v>
      </c>
      <c r="G12" s="159">
        <v>0</v>
      </c>
      <c r="H12" s="159">
        <v>1642</v>
      </c>
      <c r="I12" s="159">
        <v>1011</v>
      </c>
      <c r="J12" s="159">
        <v>189</v>
      </c>
      <c r="K12" s="159">
        <v>158</v>
      </c>
      <c r="L12" s="159">
        <v>4200</v>
      </c>
      <c r="M12" s="159">
        <v>4700</v>
      </c>
      <c r="N12" s="159">
        <v>1200</v>
      </c>
    </row>
    <row r="13" spans="1:14">
      <c r="A13" s="159" t="s">
        <v>33</v>
      </c>
      <c r="B13" s="159" t="s">
        <v>182</v>
      </c>
      <c r="C13" s="159">
        <v>585900</v>
      </c>
      <c r="D13" s="159">
        <v>529800</v>
      </c>
      <c r="E13" s="159">
        <v>1600</v>
      </c>
      <c r="F13" s="159">
        <v>0</v>
      </c>
      <c r="G13" s="159">
        <v>0</v>
      </c>
      <c r="H13" s="159">
        <v>0</v>
      </c>
      <c r="I13" s="159">
        <v>0</v>
      </c>
      <c r="J13" s="159">
        <v>0</v>
      </c>
      <c r="K13" s="159">
        <v>0</v>
      </c>
      <c r="L13" s="159">
        <v>0</v>
      </c>
      <c r="M13" s="159">
        <v>51500</v>
      </c>
      <c r="N13" s="159">
        <v>3000</v>
      </c>
    </row>
    <row r="14" spans="1:14">
      <c r="A14" s="159" t="s">
        <v>33</v>
      </c>
      <c r="B14" s="159" t="s">
        <v>183</v>
      </c>
      <c r="C14" s="159">
        <v>818400</v>
      </c>
      <c r="D14" s="159">
        <v>461900</v>
      </c>
      <c r="E14" s="159">
        <v>306400</v>
      </c>
      <c r="F14" s="159">
        <v>0</v>
      </c>
      <c r="G14" s="159">
        <v>0</v>
      </c>
      <c r="H14" s="159">
        <v>0</v>
      </c>
      <c r="I14" s="159">
        <v>0</v>
      </c>
      <c r="J14" s="159">
        <v>0</v>
      </c>
      <c r="K14" s="159">
        <v>0</v>
      </c>
      <c r="L14" s="159">
        <v>0</v>
      </c>
      <c r="M14" s="159">
        <v>45400</v>
      </c>
      <c r="N14" s="159">
        <v>4700.0000000000455</v>
      </c>
    </row>
    <row r="15" spans="1:14">
      <c r="A15" s="159" t="s">
        <v>31</v>
      </c>
      <c r="B15" s="159" t="s">
        <v>184</v>
      </c>
      <c r="C15" s="159">
        <v>1494300</v>
      </c>
      <c r="D15" s="159">
        <v>1370300</v>
      </c>
      <c r="E15" s="159">
        <v>21500</v>
      </c>
      <c r="F15" s="159">
        <v>3900</v>
      </c>
      <c r="G15" s="159">
        <v>500</v>
      </c>
      <c r="H15" s="159">
        <v>1835</v>
      </c>
      <c r="I15" s="159">
        <v>1114</v>
      </c>
      <c r="J15" s="159">
        <v>246</v>
      </c>
      <c r="K15" s="159">
        <v>205</v>
      </c>
      <c r="L15" s="159">
        <v>0</v>
      </c>
      <c r="M15" s="159">
        <v>88500</v>
      </c>
      <c r="N15" s="159">
        <v>10099.999999999909</v>
      </c>
    </row>
    <row r="16" spans="1:14">
      <c r="A16" s="159" t="s">
        <v>13</v>
      </c>
      <c r="B16" s="159" t="s">
        <v>390</v>
      </c>
      <c r="C16" s="159">
        <v>252700</v>
      </c>
      <c r="D16" s="159">
        <v>226145</v>
      </c>
      <c r="E16" s="159">
        <v>18280</v>
      </c>
      <c r="F16" s="159">
        <v>900</v>
      </c>
      <c r="G16" s="159">
        <v>240</v>
      </c>
      <c r="H16" s="159">
        <v>489</v>
      </c>
      <c r="I16" s="159">
        <v>259</v>
      </c>
      <c r="J16" s="159">
        <v>58</v>
      </c>
      <c r="K16" s="159">
        <v>48</v>
      </c>
      <c r="L16" s="159">
        <v>0</v>
      </c>
      <c r="M16" s="159">
        <v>4165</v>
      </c>
      <c r="N16" s="159">
        <v>3209.9999999999545</v>
      </c>
    </row>
    <row r="17" spans="1:14">
      <c r="A17" s="159" t="s">
        <v>13</v>
      </c>
      <c r="B17" s="159" t="s">
        <v>357</v>
      </c>
      <c r="C17" s="159">
        <v>418232</v>
      </c>
      <c r="D17" s="159">
        <v>342931</v>
      </c>
      <c r="E17" s="159">
        <v>60571</v>
      </c>
      <c r="F17" s="159">
        <v>2695</v>
      </c>
      <c r="G17" s="159">
        <v>100</v>
      </c>
      <c r="H17" s="159">
        <v>826</v>
      </c>
      <c r="I17" s="159">
        <v>489</v>
      </c>
      <c r="J17" s="159">
        <v>101</v>
      </c>
      <c r="K17" s="159">
        <v>84</v>
      </c>
      <c r="L17" s="159">
        <v>0</v>
      </c>
      <c r="M17" s="159">
        <v>11035</v>
      </c>
      <c r="N17" s="159">
        <v>1000</v>
      </c>
    </row>
    <row r="20" spans="1:14" ht="15.6">
      <c r="H20" s="156"/>
      <c r="I20" s="129"/>
      <c r="J20" s="156"/>
      <c r="K20" s="15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9BD2-4149-4F91-974A-1C7BDEF6CF9F}">
  <sheetPr>
    <tabColor theme="5" tint="0.39997558519241921"/>
  </sheetPr>
  <dimension ref="A2:I44"/>
  <sheetViews>
    <sheetView topLeftCell="A15" workbookViewId="0">
      <selection activeCell="F28" sqref="F28"/>
    </sheetView>
  </sheetViews>
  <sheetFormatPr defaultRowHeight="14.4"/>
  <cols>
    <col min="1" max="16384" width="8.6640625" style="159"/>
  </cols>
  <sheetData>
    <row r="2" spans="1:9">
      <c r="A2" s="159" t="s">
        <v>384</v>
      </c>
      <c r="C2" s="189" t="s">
        <v>6</v>
      </c>
      <c r="D2" s="159" t="s">
        <v>157</v>
      </c>
      <c r="E2" s="159" t="s">
        <v>158</v>
      </c>
      <c r="F2" s="159" t="s">
        <v>159</v>
      </c>
      <c r="G2" s="159" t="s">
        <v>163</v>
      </c>
      <c r="H2" s="159" t="s">
        <v>161</v>
      </c>
    </row>
    <row r="3" spans="1:9">
      <c r="B3" s="159" t="s">
        <v>392</v>
      </c>
      <c r="C3" s="159">
        <v>1224500</v>
      </c>
      <c r="D3" s="159">
        <v>811600</v>
      </c>
      <c r="E3" s="159">
        <v>380300</v>
      </c>
      <c r="F3" s="159">
        <v>13100</v>
      </c>
      <c r="G3" s="159">
        <v>4299.9999999999545</v>
      </c>
      <c r="H3" s="159">
        <v>15200</v>
      </c>
      <c r="I3" s="159">
        <f>G3+H3</f>
        <v>19499.999999999956</v>
      </c>
    </row>
    <row r="4" spans="1:9">
      <c r="B4" s="159" t="s">
        <v>389</v>
      </c>
      <c r="C4" s="159">
        <v>971800</v>
      </c>
      <c r="D4" s="159">
        <v>582508</v>
      </c>
      <c r="E4" s="159">
        <v>361500</v>
      </c>
      <c r="F4" s="159">
        <v>16655</v>
      </c>
      <c r="G4" s="159">
        <v>102</v>
      </c>
      <c r="H4" s="159">
        <v>11035</v>
      </c>
    </row>
    <row r="7" spans="1:9">
      <c r="A7" s="159" t="s">
        <v>385</v>
      </c>
      <c r="B7" s="159" t="s">
        <v>243</v>
      </c>
      <c r="C7" s="159" t="s">
        <v>242</v>
      </c>
      <c r="D7" s="159" t="s">
        <v>383</v>
      </c>
      <c r="E7" s="159" t="s">
        <v>162</v>
      </c>
      <c r="F7" s="159" t="s">
        <v>159</v>
      </c>
      <c r="G7" s="159" t="s">
        <v>163</v>
      </c>
      <c r="H7" s="159" t="s">
        <v>161</v>
      </c>
    </row>
    <row r="8" spans="1:9">
      <c r="B8" s="159" t="s">
        <v>386</v>
      </c>
      <c r="C8" s="159">
        <f>SUM(D8:G8)</f>
        <v>258520</v>
      </c>
      <c r="D8" s="159">
        <v>87500</v>
      </c>
      <c r="E8" s="159">
        <v>169260</v>
      </c>
      <c r="F8" s="159">
        <v>1710</v>
      </c>
      <c r="G8" s="159">
        <v>50</v>
      </c>
      <c r="H8" s="159">
        <v>0</v>
      </c>
    </row>
    <row r="9" spans="1:9">
      <c r="B9" s="159" t="s">
        <v>355</v>
      </c>
      <c r="C9" s="159">
        <f>SUM(D9:G9)</f>
        <v>553568</v>
      </c>
      <c r="D9" s="159">
        <v>242524</v>
      </c>
      <c r="E9" s="159">
        <v>301449</v>
      </c>
      <c r="F9" s="159">
        <v>9505</v>
      </c>
      <c r="G9" s="159">
        <v>90</v>
      </c>
      <c r="H9" s="159">
        <v>0</v>
      </c>
    </row>
    <row r="11" spans="1:9">
      <c r="A11" s="159" t="s">
        <v>393</v>
      </c>
      <c r="B11" s="159" t="s">
        <v>357</v>
      </c>
      <c r="C11" s="159">
        <v>418232</v>
      </c>
      <c r="D11" s="159">
        <v>342931</v>
      </c>
      <c r="E11" s="159">
        <v>60571</v>
      </c>
      <c r="F11" s="159">
        <v>2695</v>
      </c>
      <c r="G11" s="159">
        <v>1000</v>
      </c>
      <c r="H11" s="159">
        <v>11035</v>
      </c>
    </row>
    <row r="12" spans="1:9">
      <c r="B12" s="159" t="s">
        <v>390</v>
      </c>
      <c r="C12" s="159">
        <f t="shared" ref="C12:H12" si="0">C3-C9-C11</f>
        <v>252700</v>
      </c>
      <c r="D12" s="159">
        <f t="shared" si="0"/>
        <v>226145</v>
      </c>
      <c r="E12" s="159">
        <f t="shared" si="0"/>
        <v>18280</v>
      </c>
      <c r="F12" s="159">
        <f t="shared" si="0"/>
        <v>900</v>
      </c>
      <c r="G12" s="159">
        <f t="shared" si="0"/>
        <v>3209.9999999999545</v>
      </c>
      <c r="H12" s="159">
        <f t="shared" si="0"/>
        <v>4165</v>
      </c>
    </row>
    <row r="14" spans="1:9">
      <c r="A14" s="159" t="s">
        <v>388</v>
      </c>
      <c r="B14" s="159" t="s">
        <v>176</v>
      </c>
      <c r="C14" s="159">
        <v>971800</v>
      </c>
      <c r="D14" s="159">
        <v>582508</v>
      </c>
      <c r="E14" s="159">
        <v>361500</v>
      </c>
      <c r="F14" s="159">
        <v>16655</v>
      </c>
      <c r="G14" s="159">
        <v>102</v>
      </c>
      <c r="H14" s="159">
        <v>11035</v>
      </c>
    </row>
    <row r="15" spans="1:9">
      <c r="B15" s="159" t="s">
        <v>357</v>
      </c>
      <c r="C15" s="159">
        <f>C14-C9</f>
        <v>418232</v>
      </c>
      <c r="D15" s="159">
        <f>D14-D9</f>
        <v>339984</v>
      </c>
      <c r="E15" s="159">
        <f>E14-E9</f>
        <v>60051</v>
      </c>
      <c r="F15" s="159">
        <f>F14-F9</f>
        <v>7150</v>
      </c>
      <c r="G15" s="159">
        <f>G14-G9</f>
        <v>12</v>
      </c>
      <c r="H15" s="159">
        <v>11035</v>
      </c>
    </row>
    <row r="18" spans="1:8">
      <c r="B18" s="159" t="s">
        <v>169</v>
      </c>
      <c r="C18" s="159" t="s">
        <v>6</v>
      </c>
      <c r="D18" s="159" t="s">
        <v>286</v>
      </c>
      <c r="E18" s="159" t="s">
        <v>162</v>
      </c>
      <c r="F18" s="159" t="s">
        <v>159</v>
      </c>
      <c r="G18" s="159" t="s">
        <v>163</v>
      </c>
      <c r="H18" s="159" t="s">
        <v>161</v>
      </c>
    </row>
    <row r="19" spans="1:8">
      <c r="B19" s="159" t="s">
        <v>358</v>
      </c>
      <c r="C19" s="159">
        <v>266600</v>
      </c>
      <c r="D19" s="159">
        <v>237800</v>
      </c>
      <c r="E19" s="159">
        <v>24000</v>
      </c>
      <c r="F19" s="159">
        <v>1600</v>
      </c>
      <c r="G19" s="159">
        <v>3199.9999999999563</v>
      </c>
    </row>
    <row r="20" spans="1:8">
      <c r="B20" s="159" t="s">
        <v>359</v>
      </c>
      <c r="C20" s="159">
        <v>253962</v>
      </c>
      <c r="D20" s="159">
        <v>86572</v>
      </c>
      <c r="E20" s="159">
        <v>167260</v>
      </c>
      <c r="F20" s="159">
        <v>81</v>
      </c>
      <c r="G20" s="159">
        <v>49</v>
      </c>
    </row>
    <row r="21" spans="1:8">
      <c r="B21" s="159" t="s">
        <v>176</v>
      </c>
      <c r="C21" s="159">
        <v>957900</v>
      </c>
      <c r="D21" s="159">
        <v>573800</v>
      </c>
      <c r="E21" s="159">
        <v>356300</v>
      </c>
      <c r="F21" s="159">
        <v>11500</v>
      </c>
      <c r="G21" s="159">
        <v>16300</v>
      </c>
    </row>
    <row r="22" spans="1:8">
      <c r="B22" s="159" t="s">
        <v>357</v>
      </c>
      <c r="C22" s="159">
        <v>413505</v>
      </c>
      <c r="D22" s="159">
        <v>333849</v>
      </c>
      <c r="E22" s="159">
        <v>62350</v>
      </c>
      <c r="F22" s="159">
        <v>1094</v>
      </c>
      <c r="G22" s="159">
        <v>16212</v>
      </c>
    </row>
    <row r="23" spans="1:8">
      <c r="B23" s="159" t="s">
        <v>355</v>
      </c>
      <c r="C23" s="159">
        <v>544395</v>
      </c>
      <c r="D23" s="159">
        <v>239951</v>
      </c>
      <c r="E23" s="159">
        <v>293950</v>
      </c>
      <c r="F23" s="159">
        <v>10406</v>
      </c>
      <c r="G23" s="159">
        <v>88</v>
      </c>
    </row>
    <row r="27" spans="1:8">
      <c r="A27" s="159" t="s">
        <v>387</v>
      </c>
      <c r="C27" s="159">
        <v>971800</v>
      </c>
    </row>
    <row r="28" spans="1:8">
      <c r="A28" s="159" t="s">
        <v>316</v>
      </c>
      <c r="C28" s="159">
        <v>951.1</v>
      </c>
      <c r="D28" s="159">
        <v>570.1</v>
      </c>
      <c r="E28" s="159">
        <v>353.8</v>
      </c>
      <c r="F28" s="159">
        <v>16.3</v>
      </c>
      <c r="G28" s="159">
        <v>0.1</v>
      </c>
      <c r="H28" s="159">
        <v>10.8</v>
      </c>
    </row>
    <row r="30" spans="1:8">
      <c r="D30" s="159">
        <f>D28/$C$28</f>
        <v>0.5994112080748607</v>
      </c>
      <c r="E30" s="159">
        <f>E28/$C$28</f>
        <v>0.37199032698980128</v>
      </c>
      <c r="F30" s="159">
        <f>F28/$C$28</f>
        <v>1.7138050678162129E-2</v>
      </c>
      <c r="G30" s="159">
        <f>G28/$C$28</f>
        <v>1.0514141520344864E-4</v>
      </c>
      <c r="H30" s="159">
        <f>H28/$C$28</f>
        <v>1.1355272841972453E-2</v>
      </c>
    </row>
    <row r="31" spans="1:8">
      <c r="D31" s="159">
        <f>D30*$C$27</f>
        <v>582507.81200714968</v>
      </c>
      <c r="E31" s="159">
        <f>E30*$C$27</f>
        <v>361500.19976868888</v>
      </c>
      <c r="F31" s="159">
        <f>F30*$C$27</f>
        <v>16654.757649037958</v>
      </c>
      <c r="G31" s="159">
        <f>G30*$C$27</f>
        <v>102.17642729471139</v>
      </c>
      <c r="H31" s="159">
        <f>H30*$C$27</f>
        <v>11035.054147828831</v>
      </c>
    </row>
    <row r="32" spans="1:8">
      <c r="D32" s="159">
        <f>ROUND(D31,0)</f>
        <v>582508</v>
      </c>
      <c r="E32" s="159">
        <f>ROUND(E31,0)</f>
        <v>361500</v>
      </c>
      <c r="F32" s="159">
        <f>ROUND(F31,0)</f>
        <v>16655</v>
      </c>
      <c r="G32" s="159">
        <f>ROUND(G31,0)</f>
        <v>102</v>
      </c>
      <c r="H32" s="159">
        <f>ROUND(H31,0)</f>
        <v>11035</v>
      </c>
    </row>
    <row r="35" spans="1:8">
      <c r="A35" s="159" t="s">
        <v>391</v>
      </c>
      <c r="C35" s="159" t="s">
        <v>6</v>
      </c>
      <c r="D35" s="159" t="s">
        <v>157</v>
      </c>
      <c r="E35" s="159" t="s">
        <v>158</v>
      </c>
      <c r="F35" s="159" t="s">
        <v>159</v>
      </c>
      <c r="G35" s="159" t="s">
        <v>163</v>
      </c>
      <c r="H35" s="159" t="s">
        <v>161</v>
      </c>
    </row>
    <row r="36" spans="1:8">
      <c r="B36" s="159" t="s">
        <v>176</v>
      </c>
      <c r="C36" s="159">
        <v>1224500</v>
      </c>
      <c r="D36" s="159">
        <v>811600</v>
      </c>
      <c r="E36" s="159">
        <v>380300</v>
      </c>
      <c r="F36" s="159">
        <v>13100</v>
      </c>
      <c r="G36" s="159">
        <v>4299.9999999999545</v>
      </c>
      <c r="H36" s="159">
        <v>15200</v>
      </c>
    </row>
    <row r="37" spans="1:8">
      <c r="B37" s="159" t="s">
        <v>389</v>
      </c>
      <c r="C37" s="159">
        <v>971800</v>
      </c>
      <c r="D37" s="159">
        <v>582508</v>
      </c>
      <c r="E37" s="159">
        <v>361500</v>
      </c>
      <c r="F37" s="159">
        <v>16655</v>
      </c>
      <c r="G37" s="159">
        <v>102</v>
      </c>
      <c r="H37" s="159">
        <v>11035</v>
      </c>
    </row>
    <row r="40" spans="1:8">
      <c r="B40" s="159" t="s">
        <v>243</v>
      </c>
      <c r="C40" s="159" t="s">
        <v>242</v>
      </c>
      <c r="D40" s="159" t="s">
        <v>383</v>
      </c>
      <c r="E40" s="159" t="s">
        <v>162</v>
      </c>
      <c r="F40" s="159" t="s">
        <v>159</v>
      </c>
      <c r="G40" s="159" t="s">
        <v>163</v>
      </c>
      <c r="H40" s="159" t="s">
        <v>161</v>
      </c>
    </row>
    <row r="41" spans="1:8">
      <c r="B41" s="159" t="s">
        <v>386</v>
      </c>
      <c r="C41" s="159">
        <v>171020</v>
      </c>
      <c r="D41" s="159">
        <v>87500</v>
      </c>
      <c r="E41" s="159">
        <v>169260</v>
      </c>
      <c r="F41" s="159">
        <v>1710</v>
      </c>
      <c r="G41" s="159">
        <v>50</v>
      </c>
      <c r="H41" s="159">
        <v>0</v>
      </c>
    </row>
    <row r="42" spans="1:8">
      <c r="B42" s="159" t="s">
        <v>355</v>
      </c>
      <c r="C42" s="159">
        <v>311044</v>
      </c>
      <c r="D42" s="159">
        <v>242524</v>
      </c>
      <c r="E42" s="159">
        <v>301449</v>
      </c>
      <c r="F42" s="159">
        <v>9505</v>
      </c>
      <c r="G42" s="159">
        <v>90</v>
      </c>
      <c r="H42" s="159">
        <v>0</v>
      </c>
    </row>
    <row r="43" spans="1:8">
      <c r="B43" s="159" t="s">
        <v>357</v>
      </c>
      <c r="C43" s="159">
        <v>660756</v>
      </c>
      <c r="D43" s="159">
        <v>339984</v>
      </c>
      <c r="E43" s="159">
        <v>60051</v>
      </c>
      <c r="F43" s="159">
        <v>7150</v>
      </c>
      <c r="G43" s="159">
        <v>12</v>
      </c>
      <c r="H43" s="159">
        <v>11035</v>
      </c>
    </row>
    <row r="44" spans="1:8">
      <c r="B44" s="159" t="s">
        <v>390</v>
      </c>
      <c r="C44" s="159">
        <v>252700</v>
      </c>
      <c r="D44" s="159">
        <v>229092</v>
      </c>
      <c r="E44" s="159">
        <v>18800</v>
      </c>
      <c r="F44" s="159">
        <v>-3555</v>
      </c>
      <c r="G44" s="159">
        <v>4197.9999999999545</v>
      </c>
      <c r="H44" s="159">
        <v>4165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C8DBB-9B0D-45D1-BC5E-72F802019D78}">
  <sheetPr>
    <tabColor theme="6" tint="0.39997558519241921"/>
  </sheetPr>
  <dimension ref="A1:F18"/>
  <sheetViews>
    <sheetView workbookViewId="0">
      <selection sqref="A1:F19"/>
    </sheetView>
  </sheetViews>
  <sheetFormatPr defaultRowHeight="14.4"/>
  <cols>
    <col min="1" max="16384" width="8.6640625" style="159"/>
  </cols>
  <sheetData>
    <row r="1" spans="1:6">
      <c r="A1" s="163" t="s">
        <v>243</v>
      </c>
      <c r="B1" s="163" t="s">
        <v>242</v>
      </c>
      <c r="C1" s="163" t="s">
        <v>162</v>
      </c>
      <c r="D1" s="163" t="s">
        <v>159</v>
      </c>
      <c r="E1" s="163" t="s">
        <v>163</v>
      </c>
      <c r="F1" s="163" t="s">
        <v>157</v>
      </c>
    </row>
    <row r="2" spans="1:6">
      <c r="A2" s="159" t="s">
        <v>232</v>
      </c>
      <c r="B2" s="159">
        <v>824920</v>
      </c>
      <c r="C2" s="159">
        <v>799875</v>
      </c>
      <c r="D2" s="159">
        <v>2064</v>
      </c>
      <c r="E2" s="159">
        <v>233</v>
      </c>
      <c r="F2" s="159">
        <v>22748</v>
      </c>
    </row>
    <row r="3" spans="1:6">
      <c r="A3" s="159" t="s">
        <v>386</v>
      </c>
      <c r="B3" s="159">
        <v>258520</v>
      </c>
      <c r="C3" s="159">
        <v>169260</v>
      </c>
      <c r="D3" s="159">
        <v>1710</v>
      </c>
      <c r="E3" s="159">
        <v>50</v>
      </c>
      <c r="F3" s="159">
        <v>87500</v>
      </c>
    </row>
    <row r="4" spans="1:6">
      <c r="A4" s="159" t="s">
        <v>355</v>
      </c>
      <c r="B4" s="159">
        <v>553568</v>
      </c>
      <c r="C4" s="159">
        <v>301449</v>
      </c>
      <c r="D4" s="159">
        <v>9505</v>
      </c>
      <c r="E4" s="159">
        <v>90</v>
      </c>
      <c r="F4" s="159">
        <v>242524</v>
      </c>
    </row>
    <row r="5" spans="1:6">
      <c r="A5" s="159" t="s">
        <v>287</v>
      </c>
      <c r="B5" s="159">
        <v>62205</v>
      </c>
      <c r="C5" s="159">
        <v>53723</v>
      </c>
      <c r="D5" s="159">
        <v>550</v>
      </c>
      <c r="E5" s="159">
        <v>16</v>
      </c>
      <c r="F5" s="159">
        <v>7916</v>
      </c>
    </row>
    <row r="6" spans="1:6">
      <c r="A6" s="159" t="s">
        <v>234</v>
      </c>
      <c r="B6" s="159">
        <v>336010</v>
      </c>
      <c r="C6" s="159">
        <v>218502</v>
      </c>
      <c r="D6" s="159">
        <v>21168</v>
      </c>
      <c r="E6" s="159">
        <v>70</v>
      </c>
      <c r="F6" s="159">
        <v>96270</v>
      </c>
    </row>
    <row r="7" spans="1:6">
      <c r="A7" s="159" t="s">
        <v>235</v>
      </c>
      <c r="B7" s="159">
        <v>349635</v>
      </c>
      <c r="C7" s="159">
        <v>344890</v>
      </c>
      <c r="D7" s="159">
        <v>885</v>
      </c>
      <c r="E7" s="159">
        <v>100</v>
      </c>
      <c r="F7" s="159">
        <v>3760</v>
      </c>
    </row>
    <row r="8" spans="1:6">
      <c r="A8" s="159" t="s">
        <v>236</v>
      </c>
      <c r="B8" s="159">
        <v>445864</v>
      </c>
      <c r="C8" s="159">
        <v>422366</v>
      </c>
      <c r="D8" s="159">
        <v>1083</v>
      </c>
      <c r="E8" s="159">
        <v>123</v>
      </c>
      <c r="F8" s="159">
        <v>22292</v>
      </c>
    </row>
    <row r="9" spans="1:6">
      <c r="A9" s="159" t="s">
        <v>283</v>
      </c>
      <c r="B9" s="159">
        <v>165671</v>
      </c>
      <c r="C9" s="159">
        <v>124296</v>
      </c>
      <c r="D9" s="159">
        <v>0</v>
      </c>
      <c r="E9" s="159">
        <v>36</v>
      </c>
      <c r="F9" s="159">
        <v>41339</v>
      </c>
    </row>
    <row r="10" spans="1:6">
      <c r="A10" s="159" t="s">
        <v>284</v>
      </c>
      <c r="B10" s="159">
        <v>507390</v>
      </c>
      <c r="C10" s="159">
        <v>346971</v>
      </c>
      <c r="D10" s="159">
        <v>15526</v>
      </c>
      <c r="E10" s="159">
        <v>105</v>
      </c>
      <c r="F10" s="159">
        <v>144788</v>
      </c>
    </row>
    <row r="11" spans="1:6">
      <c r="A11" s="159" t="s">
        <v>210</v>
      </c>
      <c r="B11" s="159">
        <v>134640</v>
      </c>
      <c r="C11" s="159">
        <v>83976</v>
      </c>
      <c r="D11" s="159">
        <v>0</v>
      </c>
      <c r="E11" s="159">
        <v>24</v>
      </c>
      <c r="F11" s="159">
        <v>50640</v>
      </c>
    </row>
    <row r="12" spans="1:6">
      <c r="A12" s="159" t="s">
        <v>288</v>
      </c>
      <c r="B12" s="159">
        <v>69997</v>
      </c>
      <c r="C12" s="159">
        <v>67320</v>
      </c>
      <c r="D12" s="159">
        <v>0</v>
      </c>
      <c r="E12" s="159">
        <v>20</v>
      </c>
      <c r="F12" s="159">
        <v>2657</v>
      </c>
    </row>
    <row r="13" spans="1:6">
      <c r="A13" s="159" t="s">
        <v>214</v>
      </c>
      <c r="B13" s="159">
        <v>207074</v>
      </c>
      <c r="C13" s="159">
        <v>202172</v>
      </c>
      <c r="D13" s="159">
        <v>170</v>
      </c>
      <c r="E13" s="159">
        <v>59</v>
      </c>
      <c r="F13" s="159">
        <v>4673</v>
      </c>
    </row>
    <row r="14" spans="1:6">
      <c r="A14" s="159" t="s">
        <v>289</v>
      </c>
      <c r="B14" s="159">
        <v>310820</v>
      </c>
      <c r="C14" s="159">
        <v>310572</v>
      </c>
      <c r="D14" s="159">
        <v>158</v>
      </c>
      <c r="E14" s="159">
        <v>90</v>
      </c>
      <c r="F14" s="159">
        <v>0</v>
      </c>
    </row>
    <row r="15" spans="1:6">
      <c r="A15" s="159" t="s">
        <v>239</v>
      </c>
      <c r="B15" s="159">
        <v>731212</v>
      </c>
      <c r="C15" s="159">
        <v>730630</v>
      </c>
      <c r="D15" s="159">
        <v>370</v>
      </c>
      <c r="E15" s="159">
        <v>212</v>
      </c>
      <c r="F15" s="159">
        <v>0</v>
      </c>
    </row>
    <row r="16" spans="1:6">
      <c r="A16" s="159" t="s">
        <v>240</v>
      </c>
      <c r="B16" s="159">
        <v>430546</v>
      </c>
      <c r="C16" s="159">
        <v>430202</v>
      </c>
      <c r="D16" s="159">
        <v>219</v>
      </c>
      <c r="E16" s="159">
        <v>125</v>
      </c>
      <c r="F16" s="159">
        <v>0</v>
      </c>
    </row>
    <row r="17" spans="1:6">
      <c r="A17" s="159" t="s">
        <v>222</v>
      </c>
      <c r="B17" s="159">
        <v>426056</v>
      </c>
      <c r="C17" s="159">
        <v>425715</v>
      </c>
      <c r="D17" s="159">
        <v>217</v>
      </c>
      <c r="E17" s="159">
        <v>124</v>
      </c>
      <c r="F17" s="159">
        <v>0</v>
      </c>
    </row>
    <row r="18" spans="1:6">
      <c r="A18" s="159" t="s">
        <v>224</v>
      </c>
      <c r="B18" s="159">
        <v>267635</v>
      </c>
      <c r="C18" s="159">
        <v>267421</v>
      </c>
      <c r="D18" s="159">
        <v>136</v>
      </c>
      <c r="E18" s="159">
        <v>78</v>
      </c>
      <c r="F18" s="159">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8D37-8D13-44A2-8941-82B9E2CAA638}">
  <sheetPr>
    <tabColor theme="7" tint="-0.249977111117893"/>
  </sheetPr>
  <dimension ref="A1:T174"/>
  <sheetViews>
    <sheetView workbookViewId="0">
      <pane xSplit="3" ySplit="1" topLeftCell="D2" activePane="bottomRight" state="frozen"/>
      <selection pane="topRight" activeCell="D1" sqref="D1"/>
      <selection pane="bottomLeft" activeCell="A2" sqref="A2"/>
      <selection pane="bottomRight" activeCell="I21" sqref="A1:T34"/>
    </sheetView>
  </sheetViews>
  <sheetFormatPr defaultRowHeight="14.4"/>
  <cols>
    <col min="1" max="6" width="8.6640625" style="159"/>
    <col min="7" max="12" width="8.6640625" style="193"/>
    <col min="13" max="17" width="8.6640625" style="194"/>
    <col min="18" max="16384" width="8.6640625" style="159"/>
  </cols>
  <sheetData>
    <row r="1" spans="1:20">
      <c r="A1" s="162" t="s">
        <v>243</v>
      </c>
      <c r="B1" s="162" t="s">
        <v>169</v>
      </c>
      <c r="C1" s="162" t="s">
        <v>6</v>
      </c>
      <c r="D1" s="162" t="s">
        <v>157</v>
      </c>
      <c r="E1" s="162" t="s">
        <v>162</v>
      </c>
      <c r="F1" s="162" t="s">
        <v>159</v>
      </c>
      <c r="G1" s="191" t="s">
        <v>334</v>
      </c>
      <c r="H1" s="191" t="s">
        <v>335</v>
      </c>
      <c r="I1" s="192" t="s">
        <v>336</v>
      </c>
      <c r="J1" s="191" t="s">
        <v>341</v>
      </c>
      <c r="K1" s="191" t="s">
        <v>395</v>
      </c>
      <c r="L1" s="191" t="s">
        <v>398</v>
      </c>
      <c r="M1" s="200" t="s">
        <v>334</v>
      </c>
      <c r="N1" s="200" t="s">
        <v>335</v>
      </c>
      <c r="O1" s="201" t="s">
        <v>336</v>
      </c>
      <c r="P1" s="200" t="s">
        <v>341</v>
      </c>
      <c r="Q1" s="200" t="s">
        <v>395</v>
      </c>
      <c r="R1" s="162" t="s">
        <v>160</v>
      </c>
      <c r="S1" s="162" t="s">
        <v>161</v>
      </c>
      <c r="T1" s="162" t="s">
        <v>163</v>
      </c>
    </row>
    <row r="2" spans="1:20">
      <c r="A2" s="159" t="s">
        <v>282</v>
      </c>
      <c r="B2" s="159" t="s">
        <v>355</v>
      </c>
      <c r="C2" s="159">
        <v>553568</v>
      </c>
      <c r="D2" s="159">
        <v>242524</v>
      </c>
      <c r="E2" s="159">
        <v>301444</v>
      </c>
      <c r="F2" s="159">
        <v>9510</v>
      </c>
      <c r="G2" s="193">
        <v>1520</v>
      </c>
      <c r="H2" s="193">
        <v>3270</v>
      </c>
      <c r="I2" s="193">
        <v>3120</v>
      </c>
      <c r="J2" s="193">
        <v>950</v>
      </c>
      <c r="K2" s="193">
        <v>500</v>
      </c>
      <c r="L2" s="193">
        <v>150</v>
      </c>
      <c r="M2" s="194" cm="1">
        <f t="array" ref="M2:Q2">G2:K2/F2</f>
        <v>0.15983175604626709</v>
      </c>
      <c r="N2" s="194">
        <v>0.34384858044164041</v>
      </c>
      <c r="O2" s="194">
        <v>0.32807570977917982</v>
      </c>
      <c r="P2" s="194">
        <v>9.9894847528916933E-2</v>
      </c>
      <c r="Q2" s="194">
        <v>5.2576235541535225E-2</v>
      </c>
      <c r="R2" s="159">
        <v>0</v>
      </c>
      <c r="T2" s="159">
        <v>90</v>
      </c>
    </row>
    <row r="3" spans="1:20">
      <c r="A3" s="159" t="s">
        <v>282</v>
      </c>
      <c r="B3" s="159" t="s">
        <v>386</v>
      </c>
      <c r="C3" s="159">
        <v>258520</v>
      </c>
      <c r="D3" s="159">
        <v>87500</v>
      </c>
      <c r="E3" s="159">
        <v>169260</v>
      </c>
      <c r="F3" s="159">
        <v>1710</v>
      </c>
      <c r="G3" s="193">
        <v>210</v>
      </c>
      <c r="H3" s="193">
        <v>710</v>
      </c>
      <c r="I3" s="193">
        <v>650</v>
      </c>
      <c r="J3" s="193">
        <v>140</v>
      </c>
      <c r="K3" s="193">
        <v>0</v>
      </c>
      <c r="M3" s="194" cm="1">
        <f t="array" ref="M3:Q3">G3:K3/F3</f>
        <v>0.12280701754385964</v>
      </c>
      <c r="N3" s="194">
        <v>0.41520467836257308</v>
      </c>
      <c r="O3" s="194">
        <v>0.38011695906432746</v>
      </c>
      <c r="P3" s="194">
        <v>8.1871345029239762E-2</v>
      </c>
      <c r="Q3" s="194">
        <v>0</v>
      </c>
      <c r="R3" s="159">
        <v>0</v>
      </c>
      <c r="T3" s="159">
        <v>50</v>
      </c>
    </row>
    <row r="4" spans="1:20">
      <c r="A4" s="159" t="s">
        <v>282</v>
      </c>
      <c r="B4" s="159" t="s">
        <v>232</v>
      </c>
      <c r="C4" s="159">
        <v>824920</v>
      </c>
      <c r="D4" s="159">
        <v>22748</v>
      </c>
      <c r="E4" s="159">
        <v>799879</v>
      </c>
      <c r="F4" s="159">
        <v>2060</v>
      </c>
      <c r="G4" s="193">
        <v>80</v>
      </c>
      <c r="H4" s="193">
        <v>1150</v>
      </c>
      <c r="I4" s="193">
        <v>830</v>
      </c>
      <c r="J4" s="193">
        <v>0</v>
      </c>
      <c r="K4" s="193">
        <v>0</v>
      </c>
      <c r="M4" s="194" cm="1">
        <f t="array" ref="M4:Q4">G4:K4/F4</f>
        <v>3.8834951456310676E-2</v>
      </c>
      <c r="N4" s="194">
        <v>0.55825242718446599</v>
      </c>
      <c r="O4" s="194">
        <v>0.40291262135922329</v>
      </c>
      <c r="P4" s="194">
        <v>0</v>
      </c>
      <c r="Q4" s="194">
        <v>0</v>
      </c>
      <c r="R4" s="159">
        <v>0</v>
      </c>
      <c r="T4" s="159">
        <v>233</v>
      </c>
    </row>
    <row r="5" spans="1:20">
      <c r="A5" s="159" t="s">
        <v>282</v>
      </c>
      <c r="B5" s="159" t="s">
        <v>287</v>
      </c>
      <c r="C5" s="159">
        <v>62205</v>
      </c>
      <c r="D5" s="159">
        <v>7916</v>
      </c>
      <c r="E5" s="159">
        <v>53723</v>
      </c>
      <c r="F5" s="159">
        <v>550</v>
      </c>
      <c r="H5" s="193">
        <v>330</v>
      </c>
      <c r="I5" s="193">
        <v>170</v>
      </c>
      <c r="J5" s="193">
        <v>0</v>
      </c>
      <c r="K5" s="193">
        <v>0</v>
      </c>
      <c r="L5" s="193">
        <v>50</v>
      </c>
      <c r="M5" s="194" cm="1">
        <f t="array" ref="M5:Q5">G5:K5/F5</f>
        <v>0</v>
      </c>
      <c r="N5" s="194">
        <v>0.6</v>
      </c>
      <c r="O5" s="194">
        <v>0.30909090909090908</v>
      </c>
      <c r="P5" s="194">
        <v>0</v>
      </c>
      <c r="Q5" s="194">
        <v>0</v>
      </c>
      <c r="R5" s="159">
        <v>0</v>
      </c>
      <c r="T5" s="159">
        <v>16</v>
      </c>
    </row>
    <row r="6" spans="1:20">
      <c r="A6" s="159" t="s">
        <v>282</v>
      </c>
      <c r="B6" s="159" t="s">
        <v>234</v>
      </c>
      <c r="C6" s="159">
        <v>336010</v>
      </c>
      <c r="D6" s="159">
        <v>96270</v>
      </c>
      <c r="E6" s="159">
        <v>218500</v>
      </c>
      <c r="F6" s="159">
        <v>21170</v>
      </c>
      <c r="G6" s="193">
        <v>760</v>
      </c>
      <c r="H6" s="193">
        <v>10160</v>
      </c>
      <c r="I6" s="193">
        <v>9090</v>
      </c>
      <c r="J6" s="193">
        <v>1060</v>
      </c>
      <c r="K6" s="193">
        <v>0</v>
      </c>
      <c r="L6" s="193">
        <v>100</v>
      </c>
      <c r="M6" s="194" cm="1">
        <f t="array" ref="M6:Q6">G6:K6/F6</f>
        <v>3.5899858290033067E-2</v>
      </c>
      <c r="N6" s="194">
        <v>0.47992442135096836</v>
      </c>
      <c r="O6" s="194">
        <v>0.42938119981105338</v>
      </c>
      <c r="P6" s="194">
        <v>5.0070854983467174E-2</v>
      </c>
      <c r="Q6" s="194">
        <v>0</v>
      </c>
      <c r="R6" s="159">
        <v>0</v>
      </c>
      <c r="T6" s="159">
        <v>70</v>
      </c>
    </row>
    <row r="7" spans="1:20">
      <c r="A7" s="159" t="s">
        <v>282</v>
      </c>
      <c r="B7" s="159" t="s">
        <v>235</v>
      </c>
      <c r="C7" s="159">
        <v>349635</v>
      </c>
      <c r="D7" s="159">
        <v>3760</v>
      </c>
      <c r="E7" s="159">
        <v>344885</v>
      </c>
      <c r="F7" s="159">
        <v>890</v>
      </c>
      <c r="H7" s="193">
        <v>200</v>
      </c>
      <c r="I7" s="193">
        <v>690</v>
      </c>
      <c r="J7" s="193">
        <v>0</v>
      </c>
      <c r="K7" s="193">
        <v>0</v>
      </c>
      <c r="M7" s="194" cm="1">
        <f t="array" ref="M7:Q7">G7:K7/F7</f>
        <v>0</v>
      </c>
      <c r="N7" s="194">
        <v>0.2247191011235955</v>
      </c>
      <c r="O7" s="194">
        <v>0.7752808988764045</v>
      </c>
      <c r="P7" s="194">
        <v>0</v>
      </c>
      <c r="Q7" s="194">
        <v>0</v>
      </c>
      <c r="R7" s="159">
        <v>0</v>
      </c>
      <c r="T7" s="159">
        <v>100</v>
      </c>
    </row>
    <row r="8" spans="1:20">
      <c r="A8" s="159" t="s">
        <v>282</v>
      </c>
      <c r="B8" s="159" t="s">
        <v>236</v>
      </c>
      <c r="C8" s="159">
        <v>445864</v>
      </c>
      <c r="D8" s="159">
        <v>22292</v>
      </c>
      <c r="E8" s="159">
        <v>422379</v>
      </c>
      <c r="F8" s="159">
        <v>1070</v>
      </c>
      <c r="H8" s="193">
        <v>610</v>
      </c>
      <c r="I8" s="193">
        <v>250</v>
      </c>
      <c r="J8" s="193">
        <v>210</v>
      </c>
      <c r="K8" s="193">
        <v>0</v>
      </c>
      <c r="M8" s="194" cm="1">
        <f t="array" ref="M8:Q8">G8:K8/F8</f>
        <v>0</v>
      </c>
      <c r="N8" s="194">
        <v>0.57009345794392519</v>
      </c>
      <c r="O8" s="194">
        <v>0.23364485981308411</v>
      </c>
      <c r="P8" s="194">
        <v>0.19626168224299065</v>
      </c>
      <c r="Q8" s="194">
        <v>0</v>
      </c>
      <c r="R8" s="159">
        <v>0</v>
      </c>
      <c r="T8" s="159">
        <v>123</v>
      </c>
    </row>
    <row r="9" spans="1:20">
      <c r="A9" s="159" t="s">
        <v>282</v>
      </c>
      <c r="B9" s="159" t="s">
        <v>283</v>
      </c>
      <c r="C9" s="159">
        <v>165671</v>
      </c>
      <c r="D9" s="159">
        <v>41339</v>
      </c>
      <c r="E9" s="159">
        <v>124296</v>
      </c>
      <c r="F9" s="159">
        <v>0</v>
      </c>
      <c r="G9" s="193">
        <v>0</v>
      </c>
      <c r="H9" s="193">
        <v>0</v>
      </c>
      <c r="I9" s="193">
        <v>0</v>
      </c>
      <c r="J9" s="193">
        <v>0</v>
      </c>
      <c r="K9" s="193">
        <v>0</v>
      </c>
      <c r="M9" s="194" t="e" cm="1">
        <f t="array" ref="M9:Q9">G9:K9/F9</f>
        <v>#DIV/0!</v>
      </c>
      <c r="N9" s="194" t="e">
        <v>#DIV/0!</v>
      </c>
      <c r="O9" s="194" t="e">
        <v>#DIV/0!</v>
      </c>
      <c r="P9" s="194" t="e">
        <v>#DIV/0!</v>
      </c>
      <c r="Q9" s="194" t="e">
        <v>#DIV/0!</v>
      </c>
      <c r="R9" s="159">
        <v>0</v>
      </c>
      <c r="T9" s="159">
        <v>36</v>
      </c>
    </row>
    <row r="10" spans="1:20">
      <c r="A10" s="159" t="s">
        <v>282</v>
      </c>
      <c r="B10" s="159" t="s">
        <v>284</v>
      </c>
      <c r="C10" s="159">
        <v>507390</v>
      </c>
      <c r="D10" s="159">
        <v>144788</v>
      </c>
      <c r="E10" s="159">
        <v>346967</v>
      </c>
      <c r="F10" s="159">
        <v>15530</v>
      </c>
      <c r="G10" s="193">
        <v>680</v>
      </c>
      <c r="H10" s="193">
        <v>10400</v>
      </c>
      <c r="I10" s="193">
        <v>3880</v>
      </c>
      <c r="J10" s="193">
        <v>470</v>
      </c>
      <c r="K10" s="193">
        <v>0</v>
      </c>
      <c r="L10" s="193">
        <v>100</v>
      </c>
      <c r="M10" s="194" cm="1">
        <f t="array" ref="M10:Q10">G10:K10/F10</f>
        <v>4.3786220218931103E-2</v>
      </c>
      <c r="N10" s="194">
        <v>0.66967160334835807</v>
      </c>
      <c r="O10" s="194">
        <v>0.2498390212491951</v>
      </c>
      <c r="P10" s="194">
        <v>3.0264005151320026E-2</v>
      </c>
      <c r="Q10" s="194">
        <v>0</v>
      </c>
      <c r="R10" s="159">
        <v>0</v>
      </c>
      <c r="T10" s="159">
        <v>105</v>
      </c>
    </row>
    <row r="11" spans="1:20">
      <c r="A11" s="159" t="s">
        <v>282</v>
      </c>
      <c r="B11" s="159" t="s">
        <v>210</v>
      </c>
      <c r="C11" s="159">
        <v>134640</v>
      </c>
      <c r="D11" s="159">
        <v>50640</v>
      </c>
      <c r="E11" s="159">
        <v>83976</v>
      </c>
      <c r="F11" s="159">
        <v>0</v>
      </c>
      <c r="G11" s="193">
        <v>0</v>
      </c>
      <c r="H11" s="193">
        <v>0</v>
      </c>
      <c r="I11" s="193">
        <v>0</v>
      </c>
      <c r="J11" s="193">
        <v>0</v>
      </c>
      <c r="K11" s="193">
        <v>0</v>
      </c>
      <c r="M11" s="194" t="e" cm="1">
        <f t="array" ref="M11:Q11">G11:K11/F11</f>
        <v>#DIV/0!</v>
      </c>
      <c r="N11" s="194" t="e">
        <v>#DIV/0!</v>
      </c>
      <c r="O11" s="194" t="e">
        <v>#DIV/0!</v>
      </c>
      <c r="P11" s="194" t="e">
        <v>#DIV/0!</v>
      </c>
      <c r="Q11" s="194" t="e">
        <v>#DIV/0!</v>
      </c>
      <c r="R11" s="159">
        <v>0</v>
      </c>
      <c r="T11" s="159">
        <v>24</v>
      </c>
    </row>
    <row r="12" spans="1:20">
      <c r="A12" s="159" t="s">
        <v>282</v>
      </c>
      <c r="B12" s="159" t="s">
        <v>288</v>
      </c>
      <c r="C12" s="159">
        <v>69997</v>
      </c>
      <c r="D12" s="159">
        <v>2657</v>
      </c>
      <c r="E12" s="159">
        <v>67320</v>
      </c>
      <c r="F12" s="159">
        <v>0</v>
      </c>
      <c r="G12" s="193">
        <v>0</v>
      </c>
      <c r="H12" s="193">
        <v>0</v>
      </c>
      <c r="I12" s="193">
        <v>0</v>
      </c>
      <c r="J12" s="193">
        <v>0</v>
      </c>
      <c r="K12" s="193">
        <v>0</v>
      </c>
      <c r="M12" s="194" t="e" cm="1">
        <f t="array" ref="M12:Q12">G12:K12/F12</f>
        <v>#DIV/0!</v>
      </c>
      <c r="N12" s="194" t="e">
        <v>#DIV/0!</v>
      </c>
      <c r="O12" s="194" t="e">
        <v>#DIV/0!</v>
      </c>
      <c r="P12" s="194" t="e">
        <v>#DIV/0!</v>
      </c>
      <c r="Q12" s="194" t="e">
        <v>#DIV/0!</v>
      </c>
      <c r="R12" s="159">
        <v>0</v>
      </c>
      <c r="T12" s="159">
        <v>20</v>
      </c>
    </row>
    <row r="13" spans="1:20">
      <c r="A13" s="159" t="s">
        <v>282</v>
      </c>
      <c r="B13" s="159" t="s">
        <v>214</v>
      </c>
      <c r="C13" s="159">
        <v>207074</v>
      </c>
      <c r="D13" s="159">
        <v>4673</v>
      </c>
      <c r="E13" s="159">
        <v>202172</v>
      </c>
      <c r="F13" s="159">
        <v>170</v>
      </c>
      <c r="G13" s="193">
        <v>0</v>
      </c>
      <c r="H13" s="193">
        <v>170</v>
      </c>
      <c r="I13" s="193">
        <v>0</v>
      </c>
      <c r="J13" s="193">
        <v>0</v>
      </c>
      <c r="K13" s="193">
        <v>0</v>
      </c>
      <c r="M13" s="194" cm="1">
        <f t="array" ref="M13:Q13">G13:K13/F13</f>
        <v>0</v>
      </c>
      <c r="N13" s="194">
        <v>1</v>
      </c>
      <c r="O13" s="194">
        <v>0</v>
      </c>
      <c r="P13" s="194">
        <v>0</v>
      </c>
      <c r="Q13" s="194">
        <v>0</v>
      </c>
      <c r="R13" s="159">
        <v>0</v>
      </c>
      <c r="T13" s="159">
        <v>59</v>
      </c>
    </row>
    <row r="14" spans="1:20">
      <c r="A14" s="159" t="s">
        <v>300</v>
      </c>
      <c r="B14" s="159" t="s">
        <v>289</v>
      </c>
      <c r="C14" s="159">
        <v>310820</v>
      </c>
      <c r="D14" s="159">
        <v>0</v>
      </c>
      <c r="E14" s="159">
        <v>310730</v>
      </c>
      <c r="F14" s="159">
        <v>0</v>
      </c>
      <c r="J14" s="193">
        <v>0</v>
      </c>
      <c r="K14" s="193">
        <v>0</v>
      </c>
      <c r="M14" s="194" t="e" cm="1">
        <f t="array" ref="M14:Q14">G14:K14/F14</f>
        <v>#DIV/0!</v>
      </c>
      <c r="N14" s="194" t="e">
        <v>#DIV/0!</v>
      </c>
      <c r="O14" s="194" t="e">
        <v>#DIV/0!</v>
      </c>
      <c r="P14" s="194" t="e">
        <v>#DIV/0!</v>
      </c>
      <c r="Q14" s="194" t="e">
        <v>#DIV/0!</v>
      </c>
      <c r="R14" s="159">
        <v>0</v>
      </c>
      <c r="T14" s="159">
        <v>90</v>
      </c>
    </row>
    <row r="15" spans="1:20">
      <c r="A15" s="159" t="s">
        <v>300</v>
      </c>
      <c r="B15" s="159" t="s">
        <v>239</v>
      </c>
      <c r="C15" s="159">
        <v>731212</v>
      </c>
      <c r="D15" s="159">
        <v>0</v>
      </c>
      <c r="E15" s="159">
        <v>729900</v>
      </c>
      <c r="F15" s="159">
        <v>1100</v>
      </c>
      <c r="H15" s="193">
        <v>800</v>
      </c>
      <c r="I15" s="193">
        <v>220</v>
      </c>
      <c r="J15" s="193">
        <v>80</v>
      </c>
      <c r="K15" s="193">
        <v>0</v>
      </c>
      <c r="M15" s="194" cm="1">
        <f t="array" ref="M15:Q15">G15:K15/F15</f>
        <v>0</v>
      </c>
      <c r="N15" s="194">
        <v>0.72727272727272729</v>
      </c>
      <c r="O15" s="194">
        <v>0.2</v>
      </c>
      <c r="P15" s="194">
        <v>7.2727272727272724E-2</v>
      </c>
      <c r="Q15" s="194">
        <v>0</v>
      </c>
      <c r="R15" s="159">
        <v>0</v>
      </c>
      <c r="T15" s="159">
        <v>212</v>
      </c>
    </row>
    <row r="16" spans="1:20">
      <c r="A16" s="159" t="s">
        <v>300</v>
      </c>
      <c r="B16" s="159" t="s">
        <v>240</v>
      </c>
      <c r="C16" s="159">
        <v>430546</v>
      </c>
      <c r="D16" s="159">
        <v>0</v>
      </c>
      <c r="E16" s="159">
        <v>430421</v>
      </c>
      <c r="F16" s="159">
        <v>0</v>
      </c>
      <c r="J16" s="193">
        <v>0</v>
      </c>
      <c r="K16" s="193">
        <v>0</v>
      </c>
      <c r="M16" s="194" t="e" cm="1">
        <f t="array" ref="M16:Q16">G16:K16/F16</f>
        <v>#DIV/0!</v>
      </c>
      <c r="N16" s="194" t="e">
        <v>#DIV/0!</v>
      </c>
      <c r="O16" s="194" t="e">
        <v>#DIV/0!</v>
      </c>
      <c r="P16" s="194" t="e">
        <v>#DIV/0!</v>
      </c>
      <c r="Q16" s="194" t="e">
        <v>#DIV/0!</v>
      </c>
      <c r="R16" s="159">
        <v>0</v>
      </c>
      <c r="T16" s="159">
        <v>125</v>
      </c>
    </row>
    <row r="17" spans="1:20">
      <c r="A17" s="159" t="s">
        <v>300</v>
      </c>
      <c r="B17" s="159" t="s">
        <v>222</v>
      </c>
      <c r="C17" s="159">
        <v>426056</v>
      </c>
      <c r="D17" s="159">
        <v>0</v>
      </c>
      <c r="E17" s="159">
        <v>425932</v>
      </c>
      <c r="F17" s="159">
        <v>0</v>
      </c>
      <c r="J17" s="193">
        <v>0</v>
      </c>
      <c r="K17" s="193">
        <v>0</v>
      </c>
      <c r="M17" s="194" t="e" cm="1">
        <f t="array" ref="M17:Q17">G17:K17/F17</f>
        <v>#DIV/0!</v>
      </c>
      <c r="N17" s="194" t="e">
        <v>#DIV/0!</v>
      </c>
      <c r="O17" s="194" t="e">
        <v>#DIV/0!</v>
      </c>
      <c r="P17" s="194" t="e">
        <v>#DIV/0!</v>
      </c>
      <c r="Q17" s="194" t="e">
        <v>#DIV/0!</v>
      </c>
      <c r="R17" s="159">
        <v>0</v>
      </c>
      <c r="T17" s="159">
        <v>124</v>
      </c>
    </row>
    <row r="18" spans="1:20">
      <c r="A18" s="159" t="s">
        <v>300</v>
      </c>
      <c r="B18" s="159" t="s">
        <v>224</v>
      </c>
      <c r="C18" s="159">
        <v>267635</v>
      </c>
      <c r="D18" s="159">
        <v>0</v>
      </c>
      <c r="E18" s="159">
        <v>267557</v>
      </c>
      <c r="F18" s="159">
        <v>0</v>
      </c>
      <c r="J18" s="193">
        <v>0</v>
      </c>
      <c r="K18" s="193">
        <v>0</v>
      </c>
      <c r="M18" s="194" t="e" cm="1">
        <f t="array" ref="M18:Q18">G18:K18/F18</f>
        <v>#DIV/0!</v>
      </c>
      <c r="N18" s="194" t="e">
        <v>#DIV/0!</v>
      </c>
      <c r="O18" s="194" t="e">
        <v>#DIV/0!</v>
      </c>
      <c r="P18" s="194" t="e">
        <v>#DIV/0!</v>
      </c>
      <c r="Q18" s="194" t="e">
        <v>#DIV/0!</v>
      </c>
      <c r="R18" s="159">
        <v>0</v>
      </c>
      <c r="T18" s="159">
        <v>78</v>
      </c>
    </row>
    <row r="19" spans="1:20">
      <c r="A19" s="159" t="s">
        <v>27</v>
      </c>
      <c r="B19" s="159" t="s">
        <v>170</v>
      </c>
      <c r="C19" s="159">
        <v>803000</v>
      </c>
      <c r="D19" s="159">
        <v>728400</v>
      </c>
      <c r="E19" s="159">
        <v>38200</v>
      </c>
      <c r="F19" s="159">
        <v>2200</v>
      </c>
      <c r="G19" s="193">
        <v>0</v>
      </c>
      <c r="H19" s="193">
        <v>880</v>
      </c>
      <c r="I19" s="193">
        <v>1100</v>
      </c>
      <c r="J19" s="193">
        <v>110</v>
      </c>
      <c r="K19" s="193">
        <v>110</v>
      </c>
      <c r="M19" s="194" cm="1">
        <f t="array" ref="M19:Q19">G19:K19/F19</f>
        <v>0</v>
      </c>
      <c r="N19" s="194">
        <v>0.4</v>
      </c>
      <c r="O19" s="194">
        <v>0.5</v>
      </c>
      <c r="P19" s="194">
        <v>0.05</v>
      </c>
      <c r="Q19" s="194">
        <v>0.05</v>
      </c>
      <c r="R19" s="159">
        <f>H19-G19</f>
        <v>880</v>
      </c>
      <c r="S19" s="159">
        <v>32100</v>
      </c>
      <c r="T19" s="159">
        <v>2100</v>
      </c>
    </row>
    <row r="20" spans="1:20">
      <c r="A20" s="159" t="s">
        <v>27</v>
      </c>
      <c r="B20" s="159" t="s">
        <v>171</v>
      </c>
      <c r="C20" s="159">
        <v>376100</v>
      </c>
      <c r="D20" s="159">
        <v>316700</v>
      </c>
      <c r="E20" s="159">
        <v>42100</v>
      </c>
      <c r="F20" s="159">
        <v>2300</v>
      </c>
      <c r="G20" s="193">
        <v>0</v>
      </c>
      <c r="H20" s="193">
        <v>1840</v>
      </c>
      <c r="I20" s="193">
        <v>460</v>
      </c>
      <c r="J20" s="193">
        <v>0</v>
      </c>
      <c r="K20" s="193">
        <v>0</v>
      </c>
      <c r="M20" s="194" cm="1">
        <f t="array" ref="M20:Q20">G20:K20/F20</f>
        <v>0</v>
      </c>
      <c r="N20" s="194">
        <v>0.8</v>
      </c>
      <c r="O20" s="194">
        <v>0.2</v>
      </c>
      <c r="P20" s="194">
        <v>0</v>
      </c>
      <c r="Q20" s="194">
        <v>0</v>
      </c>
      <c r="R20" s="159">
        <f>H20-G20</f>
        <v>1840</v>
      </c>
      <c r="S20" s="159">
        <v>13300</v>
      </c>
      <c r="T20" s="159">
        <v>1700</v>
      </c>
    </row>
    <row r="21" spans="1:20">
      <c r="A21" s="159" t="s">
        <v>27</v>
      </c>
      <c r="B21" s="159" t="s">
        <v>172</v>
      </c>
      <c r="C21" s="159">
        <v>641100</v>
      </c>
      <c r="D21" s="159">
        <v>599300</v>
      </c>
      <c r="E21" s="159">
        <v>1000</v>
      </c>
      <c r="F21" s="159">
        <v>200</v>
      </c>
      <c r="G21" s="193">
        <v>0</v>
      </c>
      <c r="H21" s="193">
        <v>200</v>
      </c>
      <c r="I21" s="193">
        <v>0</v>
      </c>
      <c r="J21" s="193">
        <v>0</v>
      </c>
      <c r="K21" s="193">
        <v>0</v>
      </c>
      <c r="M21" s="194" cm="1">
        <f t="array" ref="M21:Q21">G21:K21/F21</f>
        <v>0</v>
      </c>
      <c r="N21" s="194">
        <v>1</v>
      </c>
      <c r="O21" s="194">
        <v>0</v>
      </c>
      <c r="P21" s="194">
        <v>0</v>
      </c>
      <c r="Q21" s="194">
        <v>0</v>
      </c>
      <c r="R21" s="159">
        <f>H21-G21</f>
        <v>200</v>
      </c>
      <c r="S21" s="159">
        <v>38400</v>
      </c>
      <c r="T21" s="159">
        <v>2200</v>
      </c>
    </row>
    <row r="22" spans="1:20">
      <c r="A22" s="159" t="s">
        <v>27</v>
      </c>
      <c r="B22" s="159" t="s">
        <v>173</v>
      </c>
      <c r="C22" s="159">
        <v>505800</v>
      </c>
      <c r="D22" s="159">
        <v>371500</v>
      </c>
      <c r="E22" s="159">
        <v>105900</v>
      </c>
      <c r="F22" s="159">
        <v>0</v>
      </c>
      <c r="G22" s="193">
        <v>0</v>
      </c>
      <c r="H22" s="193">
        <v>0</v>
      </c>
      <c r="I22" s="193">
        <v>0</v>
      </c>
      <c r="J22" s="193">
        <v>0</v>
      </c>
      <c r="K22" s="193">
        <v>0</v>
      </c>
      <c r="M22" s="194" t="e" cm="1">
        <f t="array" ref="M22:Q22">G22:K22/F22</f>
        <v>#DIV/0!</v>
      </c>
      <c r="N22" s="194" t="e">
        <v>#DIV/0!</v>
      </c>
      <c r="O22" s="194" t="e">
        <v>#DIV/0!</v>
      </c>
      <c r="P22" s="194" t="e">
        <v>#DIV/0!</v>
      </c>
      <c r="Q22" s="194" t="e">
        <v>#DIV/0!</v>
      </c>
      <c r="R22" s="159">
        <f>H22-G22</f>
        <v>0</v>
      </c>
      <c r="S22" s="159">
        <v>26500</v>
      </c>
      <c r="T22" s="159">
        <v>1900</v>
      </c>
    </row>
    <row r="23" spans="1:20">
      <c r="A23" s="159" t="s">
        <v>21</v>
      </c>
      <c r="B23" s="159" t="s">
        <v>174</v>
      </c>
      <c r="C23" s="159">
        <v>500600</v>
      </c>
      <c r="D23" s="159">
        <v>274400</v>
      </c>
      <c r="E23" s="159">
        <v>208700</v>
      </c>
      <c r="F23" s="159">
        <v>0</v>
      </c>
      <c r="G23" s="193">
        <v>0</v>
      </c>
      <c r="H23" s="193">
        <v>0</v>
      </c>
      <c r="I23" s="193">
        <v>0</v>
      </c>
      <c r="J23" s="193">
        <v>0</v>
      </c>
      <c r="K23" s="193">
        <v>0</v>
      </c>
      <c r="M23" s="194" t="e" cm="1">
        <f t="array" ref="M23:Q23">G23:K23/F23</f>
        <v>#DIV/0!</v>
      </c>
      <c r="N23" s="194" t="e">
        <v>#DIV/0!</v>
      </c>
      <c r="O23" s="194" t="e">
        <v>#DIV/0!</v>
      </c>
      <c r="P23" s="194" t="e">
        <v>#DIV/0!</v>
      </c>
      <c r="Q23" s="194" t="e">
        <v>#DIV/0!</v>
      </c>
      <c r="R23" s="159">
        <f>H23-G23</f>
        <v>0</v>
      </c>
      <c r="S23" s="159">
        <v>15300</v>
      </c>
      <c r="T23" s="159">
        <v>2200</v>
      </c>
    </row>
    <row r="24" spans="1:20">
      <c r="A24" s="159" t="s">
        <v>21</v>
      </c>
      <c r="B24" s="159" t="s">
        <v>175</v>
      </c>
      <c r="C24" s="159">
        <v>607900</v>
      </c>
      <c r="D24" s="159">
        <v>468500</v>
      </c>
      <c r="E24" s="159">
        <v>24300</v>
      </c>
      <c r="F24" s="159">
        <v>18900</v>
      </c>
      <c r="G24" s="193">
        <v>800</v>
      </c>
      <c r="H24" s="193">
        <v>1960</v>
      </c>
      <c r="I24" s="193">
        <v>13900</v>
      </c>
      <c r="J24" s="193">
        <v>440</v>
      </c>
      <c r="K24" s="193">
        <v>1800</v>
      </c>
      <c r="M24" s="194" cm="1">
        <f t="array" ref="M24:Q24">G24:K24/F24</f>
        <v>4.2328042328042326E-2</v>
      </c>
      <c r="N24" s="194">
        <v>0.1037037037037037</v>
      </c>
      <c r="O24" s="194">
        <v>0.73544973544973546</v>
      </c>
      <c r="P24" s="194">
        <v>2.328042328042328E-2</v>
      </c>
      <c r="Q24" s="194">
        <v>9.5238095238095233E-2</v>
      </c>
      <c r="R24" s="159">
        <v>27800</v>
      </c>
      <c r="S24" s="159">
        <v>61800</v>
      </c>
      <c r="T24" s="159">
        <v>6600</v>
      </c>
    </row>
    <row r="25" spans="1:20">
      <c r="A25" s="159" t="s">
        <v>15</v>
      </c>
      <c r="B25" s="159" t="s">
        <v>177</v>
      </c>
      <c r="C25" s="159">
        <v>676700</v>
      </c>
      <c r="D25" s="159">
        <v>204000</v>
      </c>
      <c r="E25" s="159">
        <v>315400</v>
      </c>
      <c r="F25" s="159">
        <v>46200</v>
      </c>
      <c r="G25" s="193">
        <v>680</v>
      </c>
      <c r="H25" s="193">
        <v>2800</v>
      </c>
      <c r="I25" s="193">
        <v>36000</v>
      </c>
      <c r="J25" s="193">
        <v>1900</v>
      </c>
      <c r="K25" s="193">
        <v>4820</v>
      </c>
      <c r="M25" s="194" cm="1">
        <f t="array" ref="M25:Q25">G25:K25/F25</f>
        <v>1.4718614718614719E-2</v>
      </c>
      <c r="N25" s="194">
        <v>6.0606060606060608E-2</v>
      </c>
      <c r="O25" s="194">
        <v>0.77922077922077926</v>
      </c>
      <c r="P25" s="194">
        <v>4.1125541125541128E-2</v>
      </c>
      <c r="Q25" s="194">
        <v>0.10432900432900433</v>
      </c>
      <c r="R25" s="159">
        <v>81200</v>
      </c>
      <c r="S25" s="159">
        <v>26700</v>
      </c>
      <c r="T25" s="159">
        <v>3200</v>
      </c>
    </row>
    <row r="26" spans="1:20">
      <c r="A26" s="159" t="s">
        <v>15</v>
      </c>
      <c r="B26" s="159" t="s">
        <v>178</v>
      </c>
      <c r="C26" s="159">
        <v>54400</v>
      </c>
      <c r="D26" s="159">
        <v>25300</v>
      </c>
      <c r="E26" s="159">
        <v>2500</v>
      </c>
      <c r="F26" s="159">
        <v>400</v>
      </c>
      <c r="G26" s="193">
        <v>0</v>
      </c>
      <c r="H26" s="193">
        <v>240</v>
      </c>
      <c r="I26" s="193">
        <v>0</v>
      </c>
      <c r="J26" s="193">
        <v>0</v>
      </c>
      <c r="K26" s="193">
        <v>160</v>
      </c>
      <c r="M26" s="194" cm="1">
        <f t="array" ref="M26:Q26">G26:K26/F26</f>
        <v>0</v>
      </c>
      <c r="N26" s="194">
        <v>0.6</v>
      </c>
      <c r="O26" s="194">
        <v>0</v>
      </c>
      <c r="P26" s="194">
        <v>0</v>
      </c>
      <c r="Q26" s="194">
        <v>0.4</v>
      </c>
      <c r="R26" s="159">
        <v>24200</v>
      </c>
      <c r="S26" s="159">
        <v>2000</v>
      </c>
      <c r="T26" s="159">
        <v>0</v>
      </c>
    </row>
    <row r="27" spans="1:20">
      <c r="A27" s="159" t="s">
        <v>15</v>
      </c>
      <c r="B27" s="159" t="s">
        <v>179</v>
      </c>
      <c r="C27" s="159">
        <v>119500</v>
      </c>
      <c r="D27" s="159">
        <v>78800</v>
      </c>
      <c r="E27" s="159">
        <v>17100</v>
      </c>
      <c r="F27" s="159">
        <v>8200</v>
      </c>
      <c r="G27" s="193">
        <v>0</v>
      </c>
      <c r="H27" s="193">
        <v>820</v>
      </c>
      <c r="I27" s="193">
        <v>7380</v>
      </c>
      <c r="J27" s="193">
        <v>0</v>
      </c>
      <c r="K27" s="193">
        <v>0</v>
      </c>
      <c r="M27" s="194" cm="1">
        <f t="array" ref="M27:Q27">G27:K27/F27</f>
        <v>0</v>
      </c>
      <c r="N27" s="194">
        <v>0.1</v>
      </c>
      <c r="O27" s="194">
        <v>0.9</v>
      </c>
      <c r="P27" s="194">
        <v>0</v>
      </c>
      <c r="Q27" s="194">
        <v>0</v>
      </c>
      <c r="R27" s="159">
        <v>10700</v>
      </c>
      <c r="S27" s="159">
        <v>3700</v>
      </c>
      <c r="T27" s="159">
        <v>1000</v>
      </c>
    </row>
    <row r="28" spans="1:20">
      <c r="A28" s="159" t="s">
        <v>15</v>
      </c>
      <c r="B28" s="159" t="s">
        <v>180</v>
      </c>
      <c r="C28" s="159">
        <v>550300</v>
      </c>
      <c r="D28" s="159">
        <v>232200</v>
      </c>
      <c r="E28" s="159">
        <v>255600</v>
      </c>
      <c r="F28" s="159">
        <v>40000</v>
      </c>
      <c r="G28" s="193">
        <v>400</v>
      </c>
      <c r="H28" s="193">
        <v>26000</v>
      </c>
      <c r="I28" s="193">
        <v>11900</v>
      </c>
      <c r="J28" s="193">
        <v>400</v>
      </c>
      <c r="K28" s="193">
        <v>1200</v>
      </c>
      <c r="L28" s="193">
        <v>100</v>
      </c>
      <c r="M28" s="194" cm="1">
        <f t="array" ref="M28:Q28">G28:K28/F28</f>
        <v>0.01</v>
      </c>
      <c r="N28" s="194">
        <v>0.65</v>
      </c>
      <c r="O28" s="194">
        <v>0.29749999999999999</v>
      </c>
      <c r="P28" s="194">
        <v>0.01</v>
      </c>
      <c r="Q28" s="194">
        <v>0.03</v>
      </c>
      <c r="R28" s="159">
        <v>0</v>
      </c>
      <c r="S28" s="159">
        <v>18500</v>
      </c>
      <c r="T28" s="159">
        <v>4000</v>
      </c>
    </row>
    <row r="29" spans="1:20">
      <c r="A29" s="159" t="s">
        <v>15</v>
      </c>
      <c r="B29" s="159" t="s">
        <v>181</v>
      </c>
      <c r="C29" s="159">
        <v>127000</v>
      </c>
      <c r="D29" s="159">
        <v>107200</v>
      </c>
      <c r="E29" s="159">
        <v>6700</v>
      </c>
      <c r="F29" s="159">
        <v>3000</v>
      </c>
      <c r="G29" s="193">
        <v>100</v>
      </c>
      <c r="H29" s="193">
        <v>1700</v>
      </c>
      <c r="I29" s="193">
        <v>750</v>
      </c>
      <c r="J29" s="193">
        <v>150</v>
      </c>
      <c r="K29" s="193">
        <v>300</v>
      </c>
      <c r="M29" s="194" cm="1">
        <f t="array" ref="M29:Q29">G29:K29/F29</f>
        <v>3.3333333333333333E-2</v>
      </c>
      <c r="N29" s="194">
        <v>0.56666666666666665</v>
      </c>
      <c r="O29" s="194">
        <v>0.25</v>
      </c>
      <c r="P29" s="194">
        <v>0.05</v>
      </c>
      <c r="Q29" s="194">
        <v>0.1</v>
      </c>
      <c r="R29" s="159">
        <v>4200</v>
      </c>
      <c r="S29" s="159">
        <v>4700</v>
      </c>
      <c r="T29" s="159">
        <v>1200</v>
      </c>
    </row>
    <row r="30" spans="1:20">
      <c r="A30" s="159" t="s">
        <v>33</v>
      </c>
      <c r="B30" s="159" t="s">
        <v>182</v>
      </c>
      <c r="C30" s="159">
        <v>585900</v>
      </c>
      <c r="D30" s="159">
        <v>529800</v>
      </c>
      <c r="E30" s="159">
        <v>1600</v>
      </c>
      <c r="F30" s="159">
        <v>0</v>
      </c>
      <c r="G30" s="193">
        <v>0</v>
      </c>
      <c r="H30" s="193">
        <v>0</v>
      </c>
      <c r="I30" s="193">
        <v>0</v>
      </c>
      <c r="J30" s="193">
        <v>0</v>
      </c>
      <c r="K30" s="193">
        <v>0</v>
      </c>
      <c r="M30" s="194" t="e" cm="1">
        <f t="array" ref="M30:Q30">G30:K30/F30</f>
        <v>#DIV/0!</v>
      </c>
      <c r="N30" s="194" t="e">
        <v>#DIV/0!</v>
      </c>
      <c r="O30" s="194" t="e">
        <v>#DIV/0!</v>
      </c>
      <c r="P30" s="194" t="e">
        <v>#DIV/0!</v>
      </c>
      <c r="Q30" s="194" t="e">
        <v>#DIV/0!</v>
      </c>
      <c r="R30" s="159">
        <v>0</v>
      </c>
      <c r="S30" s="159">
        <v>51500</v>
      </c>
      <c r="T30" s="159">
        <v>3000</v>
      </c>
    </row>
    <row r="31" spans="1:20">
      <c r="A31" s="159" t="s">
        <v>33</v>
      </c>
      <c r="B31" s="159" t="s">
        <v>183</v>
      </c>
      <c r="C31" s="159">
        <v>818400</v>
      </c>
      <c r="D31" s="159">
        <v>461900</v>
      </c>
      <c r="E31" s="159">
        <v>306400</v>
      </c>
      <c r="F31" s="159">
        <v>0</v>
      </c>
      <c r="G31" s="193">
        <v>0</v>
      </c>
      <c r="H31" s="193">
        <v>0</v>
      </c>
      <c r="I31" s="193">
        <v>0</v>
      </c>
      <c r="J31" s="193">
        <v>0</v>
      </c>
      <c r="K31" s="193">
        <v>0</v>
      </c>
      <c r="M31" s="194" t="e" cm="1">
        <f t="array" ref="M31:Q31">G31:K31/F31</f>
        <v>#DIV/0!</v>
      </c>
      <c r="N31" s="194" t="e">
        <v>#DIV/0!</v>
      </c>
      <c r="O31" s="194" t="e">
        <v>#DIV/0!</v>
      </c>
      <c r="P31" s="194" t="e">
        <v>#DIV/0!</v>
      </c>
      <c r="Q31" s="194" t="e">
        <v>#DIV/0!</v>
      </c>
      <c r="R31" s="159">
        <v>0</v>
      </c>
      <c r="S31" s="159">
        <v>45400</v>
      </c>
      <c r="T31" s="159">
        <v>4700.0000000000455</v>
      </c>
    </row>
    <row r="32" spans="1:20">
      <c r="A32" s="159" t="s">
        <v>31</v>
      </c>
      <c r="B32" s="159" t="s">
        <v>184</v>
      </c>
      <c r="C32" s="159">
        <v>1494300</v>
      </c>
      <c r="D32" s="159">
        <v>1370300</v>
      </c>
      <c r="E32" s="159">
        <v>21500</v>
      </c>
      <c r="F32" s="159">
        <v>3900</v>
      </c>
      <c r="G32" s="193">
        <v>0</v>
      </c>
      <c r="H32" s="193">
        <v>980</v>
      </c>
      <c r="I32" s="193">
        <v>2470</v>
      </c>
      <c r="J32" s="193">
        <v>200</v>
      </c>
      <c r="K32" s="193">
        <v>200</v>
      </c>
      <c r="L32" s="193">
        <v>50</v>
      </c>
      <c r="M32" s="194" cm="1">
        <f t="array" ref="M32:Q32">G32:K32/F32</f>
        <v>0</v>
      </c>
      <c r="N32" s="194">
        <v>0.25128205128205128</v>
      </c>
      <c r="O32" s="194">
        <v>0.6333333333333333</v>
      </c>
      <c r="P32" s="194">
        <v>5.128205128205128E-2</v>
      </c>
      <c r="Q32" s="194">
        <v>5.128205128205128E-2</v>
      </c>
      <c r="R32" s="159">
        <v>0</v>
      </c>
      <c r="S32" s="159">
        <v>88500</v>
      </c>
      <c r="T32" s="159">
        <v>10099.999999999909</v>
      </c>
    </row>
    <row r="33" spans="1:20">
      <c r="A33" s="159" t="s">
        <v>13</v>
      </c>
      <c r="B33" s="159" t="s">
        <v>390</v>
      </c>
      <c r="C33" s="159">
        <v>252700</v>
      </c>
      <c r="D33" s="159">
        <v>226145</v>
      </c>
      <c r="E33" s="159">
        <v>18280</v>
      </c>
      <c r="F33" s="159">
        <v>900</v>
      </c>
      <c r="G33" s="193">
        <v>100</v>
      </c>
      <c r="H33" s="193">
        <v>540</v>
      </c>
      <c r="I33" s="193">
        <v>210</v>
      </c>
      <c r="J33" s="193">
        <v>50</v>
      </c>
      <c r="K33" s="193">
        <v>0</v>
      </c>
      <c r="M33" s="194" cm="1">
        <f t="array" ref="M33:Q33">G33:K33/F33</f>
        <v>0.1111111111111111</v>
      </c>
      <c r="N33" s="194">
        <v>0.6</v>
      </c>
      <c r="O33" s="194">
        <v>0.23333333333333334</v>
      </c>
      <c r="P33" s="194">
        <v>5.5555555555555552E-2</v>
      </c>
      <c r="Q33" s="194">
        <v>0</v>
      </c>
      <c r="R33" s="159">
        <v>0</v>
      </c>
      <c r="S33" s="159">
        <v>4165</v>
      </c>
      <c r="T33" s="159">
        <v>3209.9999999999545</v>
      </c>
    </row>
    <row r="34" spans="1:20">
      <c r="A34" s="159" t="s">
        <v>13</v>
      </c>
      <c r="B34" s="159" t="s">
        <v>357</v>
      </c>
      <c r="C34" s="159">
        <v>418232</v>
      </c>
      <c r="D34" s="159">
        <v>342931</v>
      </c>
      <c r="E34" s="159">
        <v>60571</v>
      </c>
      <c r="F34" s="159">
        <v>2695</v>
      </c>
      <c r="G34" s="193">
        <v>305</v>
      </c>
      <c r="H34" s="193">
        <v>1560</v>
      </c>
      <c r="I34" s="193">
        <v>700</v>
      </c>
      <c r="J34" s="193">
        <v>130</v>
      </c>
      <c r="K34" s="193">
        <v>0</v>
      </c>
      <c r="M34" s="194" cm="1">
        <f t="array" ref="M34:Q34">G34:K34/F34</f>
        <v>0.11317254174397032</v>
      </c>
      <c r="N34" s="194">
        <v>0.57884972170686455</v>
      </c>
      <c r="O34" s="194">
        <v>0.25974025974025972</v>
      </c>
      <c r="P34" s="194">
        <v>4.8237476808905382E-2</v>
      </c>
      <c r="Q34" s="194">
        <v>0</v>
      </c>
      <c r="R34" s="159">
        <v>0</v>
      </c>
      <c r="S34" s="159">
        <v>11035</v>
      </c>
      <c r="T34" s="159">
        <v>1000</v>
      </c>
    </row>
    <row r="36" spans="1:20">
      <c r="G36" s="193">
        <f>SUM(G2:G35)</f>
        <v>5635</v>
      </c>
      <c r="H36" s="193">
        <f t="shared" ref="H36:L36" si="0">SUM(H2:H35)</f>
        <v>67320</v>
      </c>
      <c r="I36" s="193">
        <f t="shared" si="0"/>
        <v>93770</v>
      </c>
      <c r="J36" s="193">
        <f t="shared" si="0"/>
        <v>6290</v>
      </c>
      <c r="K36" s="193">
        <f t="shared" si="0"/>
        <v>9090</v>
      </c>
      <c r="L36" s="193">
        <f t="shared" si="0"/>
        <v>550</v>
      </c>
    </row>
    <row r="37" spans="1:20">
      <c r="G37" s="199">
        <f t="shared" ref="G37:L37" si="1">G36/SUM($G$36:$K$36)</f>
        <v>3.0943686334806843E-2</v>
      </c>
      <c r="H37" s="199">
        <f t="shared" si="1"/>
        <v>0.36967683479311386</v>
      </c>
      <c r="I37" s="199">
        <f t="shared" si="1"/>
        <v>0.5149227094258807</v>
      </c>
      <c r="J37" s="199">
        <f t="shared" si="1"/>
        <v>3.4540512341780842E-2</v>
      </c>
      <c r="K37" s="199">
        <f t="shared" si="1"/>
        <v>4.9916257104417779E-2</v>
      </c>
      <c r="L37" s="199">
        <f t="shared" si="1"/>
        <v>3.0202355783751134E-3</v>
      </c>
    </row>
    <row r="38" spans="1:20">
      <c r="G38" s="196" t="s">
        <v>396</v>
      </c>
      <c r="H38" s="196"/>
      <c r="I38" s="196"/>
      <c r="J38" s="196"/>
      <c r="K38" s="196" t="s">
        <v>399</v>
      </c>
      <c r="L38" s="196"/>
      <c r="M38" s="198"/>
      <c r="N38" s="198"/>
      <c r="O38" s="198"/>
      <c r="P38" s="198"/>
      <c r="Q38" s="198"/>
    </row>
    <row r="39" spans="1:20">
      <c r="B39" s="159" t="s">
        <v>170</v>
      </c>
      <c r="C39" s="159">
        <v>803000</v>
      </c>
      <c r="F39" s="159">
        <v>2200.0000000000027</v>
      </c>
      <c r="G39" s="196"/>
      <c r="H39" s="197">
        <v>40</v>
      </c>
      <c r="I39" s="197">
        <v>50</v>
      </c>
      <c r="J39" s="197">
        <v>5</v>
      </c>
      <c r="K39" s="197">
        <v>5</v>
      </c>
      <c r="L39" s="197"/>
      <c r="M39" s="202"/>
      <c r="N39" s="202"/>
      <c r="O39" s="202"/>
      <c r="P39" s="202"/>
      <c r="Q39" s="202"/>
    </row>
    <row r="40" spans="1:20">
      <c r="B40" s="159" t="s">
        <v>171</v>
      </c>
      <c r="C40" s="159">
        <v>376100</v>
      </c>
      <c r="F40" s="159">
        <v>2299.9999999999973</v>
      </c>
      <c r="G40" s="196"/>
      <c r="H40" s="196">
        <v>80</v>
      </c>
      <c r="I40" s="196">
        <v>20</v>
      </c>
      <c r="J40" s="196"/>
      <c r="K40" s="196"/>
      <c r="L40" s="196"/>
      <c r="M40" s="198"/>
      <c r="N40" s="198"/>
      <c r="O40" s="198"/>
      <c r="P40" s="198"/>
      <c r="Q40" s="198"/>
    </row>
    <row r="41" spans="1:20">
      <c r="B41" s="159" t="s">
        <v>172</v>
      </c>
      <c r="C41" s="159">
        <v>641100</v>
      </c>
      <c r="F41" s="159">
        <v>199.99999999999994</v>
      </c>
      <c r="G41" s="196"/>
      <c r="H41" s="196">
        <v>100</v>
      </c>
      <c r="I41" s="196"/>
      <c r="J41" s="196"/>
      <c r="K41" s="196"/>
      <c r="L41" s="196"/>
      <c r="M41" s="198"/>
      <c r="N41" s="198"/>
      <c r="O41" s="198"/>
      <c r="P41" s="198"/>
      <c r="Q41" s="198"/>
    </row>
    <row r="42" spans="1:20">
      <c r="B42" s="159" t="s">
        <v>173</v>
      </c>
      <c r="C42" s="159">
        <v>505800</v>
      </c>
      <c r="F42" s="159">
        <v>0</v>
      </c>
      <c r="G42" s="196"/>
      <c r="H42" s="196"/>
      <c r="I42" s="196"/>
      <c r="J42" s="196"/>
      <c r="K42" s="196"/>
      <c r="L42" s="196"/>
      <c r="M42" s="198"/>
      <c r="N42" s="198"/>
      <c r="O42" s="198"/>
      <c r="P42" s="198"/>
      <c r="Q42" s="198"/>
    </row>
    <row r="43" spans="1:20">
      <c r="B43" s="159" t="s">
        <v>174</v>
      </c>
      <c r="C43" s="159">
        <v>500600</v>
      </c>
      <c r="F43" s="159">
        <v>0</v>
      </c>
      <c r="G43" s="196"/>
      <c r="H43" s="196"/>
      <c r="I43" s="196"/>
      <c r="J43" s="196"/>
      <c r="K43" s="196"/>
      <c r="L43" s="196"/>
      <c r="M43" s="198"/>
      <c r="N43" s="198"/>
      <c r="O43" s="198"/>
      <c r="P43" s="198"/>
      <c r="Q43" s="198"/>
    </row>
    <row r="44" spans="1:20">
      <c r="B44" s="159" t="s">
        <v>175</v>
      </c>
      <c r="C44" s="159">
        <v>607900</v>
      </c>
      <c r="F44" s="159">
        <v>18900</v>
      </c>
      <c r="G44" s="196">
        <v>2</v>
      </c>
      <c r="H44" s="196">
        <f>100-SUM(I44:K44,G44)</f>
        <v>11</v>
      </c>
      <c r="I44" s="196">
        <v>80</v>
      </c>
      <c r="J44" s="196">
        <v>5</v>
      </c>
      <c r="K44" s="196">
        <v>2</v>
      </c>
      <c r="L44" s="196"/>
      <c r="M44" s="198"/>
      <c r="N44" s="198"/>
      <c r="O44" s="198"/>
      <c r="P44" s="198"/>
      <c r="Q44" s="198"/>
    </row>
    <row r="45" spans="1:20">
      <c r="B45" s="159" t="s">
        <v>177</v>
      </c>
      <c r="C45" s="159">
        <v>676700</v>
      </c>
      <c r="F45" s="159">
        <v>46200</v>
      </c>
      <c r="G45" s="196">
        <v>1.5</v>
      </c>
      <c r="H45" s="196">
        <f>100-SUM(I45:K45,G45)</f>
        <v>4.5</v>
      </c>
      <c r="I45" s="196">
        <v>80</v>
      </c>
      <c r="J45" s="196">
        <v>4</v>
      </c>
      <c r="K45" s="196">
        <v>10</v>
      </c>
      <c r="L45" s="196"/>
      <c r="M45" s="198"/>
      <c r="N45" s="198"/>
      <c r="O45" s="198"/>
      <c r="P45" s="198"/>
      <c r="Q45" s="198"/>
    </row>
    <row r="46" spans="1:20">
      <c r="B46" s="159" t="s">
        <v>178</v>
      </c>
      <c r="C46" s="159">
        <v>54400</v>
      </c>
      <c r="F46" s="159">
        <v>400</v>
      </c>
      <c r="G46" s="196"/>
      <c r="H46" s="196">
        <v>60</v>
      </c>
      <c r="I46" s="196"/>
      <c r="J46" s="196"/>
      <c r="K46" s="196">
        <v>40</v>
      </c>
      <c r="L46" s="196"/>
      <c r="M46" s="198"/>
      <c r="N46" s="198"/>
      <c r="O46" s="198"/>
      <c r="P46" s="198"/>
      <c r="Q46" s="198"/>
    </row>
    <row r="47" spans="1:20">
      <c r="B47" s="159" t="s">
        <v>179</v>
      </c>
      <c r="C47" s="159">
        <v>119500</v>
      </c>
      <c r="F47" s="159">
        <v>8200</v>
      </c>
      <c r="G47" s="196"/>
      <c r="H47" s="196">
        <v>10</v>
      </c>
      <c r="I47" s="196">
        <v>90</v>
      </c>
      <c r="J47" s="196"/>
      <c r="K47" s="196"/>
      <c r="L47" s="196"/>
      <c r="M47" s="198"/>
      <c r="N47" s="198"/>
      <c r="O47" s="198"/>
      <c r="P47" s="198"/>
      <c r="Q47" s="198"/>
    </row>
    <row r="48" spans="1:20">
      <c r="B48" s="159" t="s">
        <v>180</v>
      </c>
      <c r="C48" s="159">
        <v>550300</v>
      </c>
      <c r="F48" s="159">
        <v>40000</v>
      </c>
      <c r="G48" s="196">
        <v>1</v>
      </c>
      <c r="H48" s="196">
        <v>65</v>
      </c>
      <c r="I48" s="196">
        <v>30</v>
      </c>
      <c r="J48" s="196">
        <v>1</v>
      </c>
      <c r="K48" s="196">
        <v>3</v>
      </c>
      <c r="L48" s="196"/>
      <c r="M48" s="198"/>
      <c r="N48" s="198"/>
      <c r="O48" s="198"/>
      <c r="P48" s="198"/>
      <c r="Q48" s="198"/>
    </row>
    <row r="49" spans="2:17">
      <c r="B49" s="159" t="s">
        <v>181</v>
      </c>
      <c r="C49" s="159">
        <v>127000</v>
      </c>
      <c r="F49" s="159">
        <v>3000</v>
      </c>
      <c r="G49" s="196">
        <v>1</v>
      </c>
      <c r="H49" s="196">
        <f>100-SUM(I49:K49,G49)</f>
        <v>59</v>
      </c>
      <c r="I49" s="196">
        <v>25</v>
      </c>
      <c r="J49" s="196">
        <v>5</v>
      </c>
      <c r="K49" s="196">
        <v>10</v>
      </c>
      <c r="L49" s="196"/>
      <c r="M49" s="198"/>
      <c r="N49" s="198"/>
      <c r="O49" s="198"/>
      <c r="P49" s="198"/>
      <c r="Q49" s="198"/>
    </row>
    <row r="50" spans="2:17">
      <c r="B50" s="159" t="s">
        <v>182</v>
      </c>
      <c r="C50" s="159">
        <v>585900</v>
      </c>
      <c r="F50" s="159">
        <v>0</v>
      </c>
      <c r="G50" s="196"/>
      <c r="H50" s="196"/>
      <c r="I50" s="196"/>
      <c r="J50" s="196"/>
      <c r="K50" s="196"/>
      <c r="L50" s="196"/>
      <c r="M50" s="198"/>
      <c r="N50" s="198"/>
      <c r="O50" s="198"/>
      <c r="P50" s="198"/>
      <c r="Q50" s="198"/>
    </row>
    <row r="51" spans="2:17">
      <c r="B51" s="159" t="s">
        <v>183</v>
      </c>
      <c r="C51" s="159">
        <v>818400</v>
      </c>
      <c r="F51" s="159">
        <v>0</v>
      </c>
      <c r="G51" s="196"/>
      <c r="H51" s="196"/>
      <c r="I51" s="196"/>
      <c r="J51" s="196"/>
      <c r="K51" s="196"/>
      <c r="L51" s="196"/>
      <c r="M51" s="198"/>
      <c r="N51" s="198"/>
      <c r="O51" s="198"/>
      <c r="P51" s="198"/>
      <c r="Q51" s="198"/>
    </row>
    <row r="52" spans="2:17">
      <c r="B52" s="159" t="s">
        <v>184</v>
      </c>
      <c r="C52" s="159">
        <v>1494300</v>
      </c>
      <c r="F52" s="159">
        <v>3900</v>
      </c>
      <c r="G52" s="196"/>
      <c r="H52" s="197">
        <v>25</v>
      </c>
      <c r="I52" s="197">
        <v>65</v>
      </c>
      <c r="J52" s="197">
        <v>5</v>
      </c>
      <c r="K52" s="197">
        <v>5</v>
      </c>
      <c r="L52" s="197"/>
      <c r="M52" s="202"/>
      <c r="N52" s="202"/>
      <c r="O52" s="202"/>
      <c r="P52" s="202"/>
      <c r="Q52" s="202"/>
    </row>
    <row r="53" spans="2:17">
      <c r="B53" s="159" t="s">
        <v>390</v>
      </c>
      <c r="C53" s="159">
        <v>252700</v>
      </c>
      <c r="F53" s="159">
        <v>900</v>
      </c>
      <c r="G53" s="196">
        <v>1</v>
      </c>
      <c r="H53" s="196">
        <v>60</v>
      </c>
      <c r="I53" s="196">
        <v>29</v>
      </c>
      <c r="J53" s="196">
        <v>5</v>
      </c>
      <c r="K53" s="196">
        <v>5</v>
      </c>
      <c r="L53" s="196"/>
      <c r="M53" s="198"/>
      <c r="N53" s="198"/>
      <c r="O53" s="198"/>
      <c r="P53" s="198"/>
      <c r="Q53" s="198"/>
    </row>
    <row r="54" spans="2:17">
      <c r="B54" s="159" t="s">
        <v>357</v>
      </c>
      <c r="C54" s="159">
        <v>418232</v>
      </c>
      <c r="F54" s="159">
        <v>2695</v>
      </c>
      <c r="G54" s="196">
        <v>10</v>
      </c>
      <c r="H54" s="196">
        <v>54</v>
      </c>
      <c r="I54" s="196">
        <v>30</v>
      </c>
      <c r="J54" s="196">
        <v>5</v>
      </c>
      <c r="K54" s="196">
        <v>1</v>
      </c>
      <c r="L54" s="196"/>
      <c r="M54" s="198"/>
      <c r="N54" s="198"/>
      <c r="O54" s="198"/>
      <c r="P54" s="198"/>
      <c r="Q54" s="198"/>
    </row>
    <row r="55" spans="2:17">
      <c r="G55" s="196"/>
      <c r="H55" s="196"/>
      <c r="I55" s="196"/>
      <c r="J55" s="196"/>
      <c r="K55" s="196"/>
      <c r="L55" s="196"/>
      <c r="M55" s="198"/>
      <c r="N55" s="198"/>
      <c r="O55" s="198"/>
      <c r="P55" s="198"/>
      <c r="Q55" s="198"/>
    </row>
    <row r="56" spans="2:17">
      <c r="G56" s="196" t="s">
        <v>394</v>
      </c>
      <c r="H56" s="196">
        <v>30</v>
      </c>
      <c r="I56" s="196">
        <v>60</v>
      </c>
      <c r="J56" s="196">
        <v>5</v>
      </c>
      <c r="K56" s="196"/>
      <c r="L56" s="196"/>
      <c r="M56" s="198"/>
      <c r="N56" s="198"/>
      <c r="O56" s="198"/>
      <c r="P56" s="198"/>
      <c r="Q56" s="198"/>
    </row>
    <row r="57" spans="2:17">
      <c r="G57" s="196"/>
      <c r="H57" s="196"/>
      <c r="I57" s="196"/>
      <c r="J57" s="196"/>
      <c r="K57" s="196"/>
      <c r="L57" s="196"/>
      <c r="M57" s="198"/>
      <c r="N57" s="198"/>
      <c r="O57" s="198"/>
      <c r="P57" s="198"/>
      <c r="Q57" s="198"/>
    </row>
    <row r="58" spans="2:17">
      <c r="G58" s="196"/>
      <c r="H58" s="196"/>
      <c r="I58" s="196"/>
      <c r="J58" s="196"/>
      <c r="K58" s="196"/>
      <c r="L58" s="196"/>
      <c r="M58" s="198"/>
      <c r="N58" s="198"/>
      <c r="O58" s="198"/>
      <c r="P58" s="198"/>
      <c r="Q58" s="198"/>
    </row>
    <row r="59" spans="2:17">
      <c r="G59" s="196"/>
      <c r="H59" s="196"/>
      <c r="I59" s="196"/>
      <c r="J59" s="196"/>
      <c r="K59" s="196"/>
      <c r="L59" s="196"/>
      <c r="M59" s="198"/>
      <c r="N59" s="198"/>
      <c r="O59" s="198"/>
      <c r="P59" s="198"/>
      <c r="Q59" s="198"/>
    </row>
    <row r="60" spans="2:17">
      <c r="G60" s="196">
        <f t="shared" ref="G60:K69" si="2">G39/100</f>
        <v>0</v>
      </c>
      <c r="H60" s="196">
        <f t="shared" si="2"/>
        <v>0.4</v>
      </c>
      <c r="I60" s="196">
        <f t="shared" si="2"/>
        <v>0.5</v>
      </c>
      <c r="J60" s="196">
        <f t="shared" si="2"/>
        <v>0.05</v>
      </c>
      <c r="K60" s="196">
        <f t="shared" si="2"/>
        <v>0.05</v>
      </c>
      <c r="L60" s="196"/>
      <c r="M60" s="198"/>
      <c r="N60" s="198"/>
      <c r="O60" s="198"/>
      <c r="P60" s="198"/>
      <c r="Q60" s="198"/>
    </row>
    <row r="61" spans="2:17">
      <c r="G61" s="196">
        <f t="shared" si="2"/>
        <v>0</v>
      </c>
      <c r="H61" s="196">
        <f t="shared" si="2"/>
        <v>0.8</v>
      </c>
      <c r="I61" s="196">
        <f t="shared" si="2"/>
        <v>0.2</v>
      </c>
      <c r="J61" s="196">
        <f t="shared" si="2"/>
        <v>0</v>
      </c>
      <c r="K61" s="196">
        <f t="shared" si="2"/>
        <v>0</v>
      </c>
      <c r="L61" s="196"/>
      <c r="M61" s="198"/>
      <c r="N61" s="198"/>
      <c r="O61" s="198"/>
      <c r="P61" s="198"/>
      <c r="Q61" s="198"/>
    </row>
    <row r="62" spans="2:17">
      <c r="G62" s="196">
        <f t="shared" si="2"/>
        <v>0</v>
      </c>
      <c r="H62" s="196">
        <f t="shared" si="2"/>
        <v>1</v>
      </c>
      <c r="I62" s="196">
        <f t="shared" si="2"/>
        <v>0</v>
      </c>
      <c r="J62" s="196">
        <f t="shared" si="2"/>
        <v>0</v>
      </c>
      <c r="K62" s="196">
        <f t="shared" si="2"/>
        <v>0</v>
      </c>
      <c r="L62" s="196"/>
      <c r="M62" s="198"/>
      <c r="N62" s="198"/>
      <c r="O62" s="198"/>
      <c r="P62" s="198"/>
      <c r="Q62" s="198"/>
    </row>
    <row r="63" spans="2:17">
      <c r="G63" s="196">
        <f t="shared" si="2"/>
        <v>0</v>
      </c>
      <c r="H63" s="196">
        <f t="shared" si="2"/>
        <v>0</v>
      </c>
      <c r="I63" s="196">
        <f t="shared" si="2"/>
        <v>0</v>
      </c>
      <c r="J63" s="196">
        <f t="shared" si="2"/>
        <v>0</v>
      </c>
      <c r="K63" s="196">
        <f t="shared" si="2"/>
        <v>0</v>
      </c>
      <c r="L63" s="196"/>
      <c r="M63" s="198"/>
      <c r="N63" s="198"/>
      <c r="O63" s="198"/>
      <c r="P63" s="198"/>
      <c r="Q63" s="198"/>
    </row>
    <row r="64" spans="2:17">
      <c r="G64" s="196">
        <f t="shared" si="2"/>
        <v>0</v>
      </c>
      <c r="H64" s="196">
        <f t="shared" si="2"/>
        <v>0</v>
      </c>
      <c r="I64" s="196">
        <f t="shared" si="2"/>
        <v>0</v>
      </c>
      <c r="J64" s="196">
        <f t="shared" si="2"/>
        <v>0</v>
      </c>
      <c r="K64" s="196">
        <f t="shared" si="2"/>
        <v>0</v>
      </c>
      <c r="L64" s="196"/>
      <c r="M64" s="198"/>
      <c r="N64" s="198"/>
      <c r="O64" s="198"/>
      <c r="P64" s="198"/>
      <c r="Q64" s="198"/>
    </row>
    <row r="65" spans="7:17">
      <c r="G65" s="196">
        <f t="shared" si="2"/>
        <v>0.02</v>
      </c>
      <c r="H65" s="196">
        <f t="shared" si="2"/>
        <v>0.11</v>
      </c>
      <c r="I65" s="196">
        <f t="shared" si="2"/>
        <v>0.8</v>
      </c>
      <c r="J65" s="196">
        <f t="shared" si="2"/>
        <v>0.05</v>
      </c>
      <c r="K65" s="196">
        <f t="shared" si="2"/>
        <v>0.02</v>
      </c>
      <c r="L65" s="196"/>
      <c r="M65" s="198"/>
      <c r="N65" s="198"/>
      <c r="O65" s="198"/>
      <c r="P65" s="198"/>
      <c r="Q65" s="198"/>
    </row>
    <row r="66" spans="7:17">
      <c r="G66" s="196">
        <f t="shared" si="2"/>
        <v>1.4999999999999999E-2</v>
      </c>
      <c r="H66" s="196">
        <f t="shared" si="2"/>
        <v>4.4999999999999998E-2</v>
      </c>
      <c r="I66" s="196">
        <f t="shared" si="2"/>
        <v>0.8</v>
      </c>
      <c r="J66" s="196">
        <f t="shared" si="2"/>
        <v>0.04</v>
      </c>
      <c r="K66" s="196">
        <f t="shared" si="2"/>
        <v>0.1</v>
      </c>
      <c r="L66" s="196"/>
      <c r="M66" s="198"/>
      <c r="N66" s="198"/>
      <c r="O66" s="198"/>
      <c r="P66" s="198"/>
      <c r="Q66" s="198"/>
    </row>
    <row r="67" spans="7:17">
      <c r="G67" s="196">
        <f t="shared" si="2"/>
        <v>0</v>
      </c>
      <c r="H67" s="196">
        <f t="shared" si="2"/>
        <v>0.6</v>
      </c>
      <c r="I67" s="196">
        <f t="shared" si="2"/>
        <v>0</v>
      </c>
      <c r="J67" s="196">
        <f t="shared" si="2"/>
        <v>0</v>
      </c>
      <c r="K67" s="196">
        <f t="shared" si="2"/>
        <v>0.4</v>
      </c>
      <c r="L67" s="196"/>
      <c r="M67" s="198"/>
      <c r="N67" s="198"/>
      <c r="O67" s="198"/>
      <c r="P67" s="198"/>
      <c r="Q67" s="198"/>
    </row>
    <row r="68" spans="7:17">
      <c r="G68" s="196">
        <f t="shared" si="2"/>
        <v>0</v>
      </c>
      <c r="H68" s="196">
        <f t="shared" si="2"/>
        <v>0.1</v>
      </c>
      <c r="I68" s="196">
        <f t="shared" si="2"/>
        <v>0.9</v>
      </c>
      <c r="J68" s="196">
        <f t="shared" si="2"/>
        <v>0</v>
      </c>
      <c r="K68" s="196">
        <f t="shared" si="2"/>
        <v>0</v>
      </c>
      <c r="L68" s="196"/>
      <c r="M68" s="198"/>
      <c r="N68" s="198"/>
      <c r="O68" s="198"/>
      <c r="P68" s="198"/>
      <c r="Q68" s="198"/>
    </row>
    <row r="69" spans="7:17">
      <c r="G69" s="196">
        <f t="shared" si="2"/>
        <v>0.01</v>
      </c>
      <c r="H69" s="196">
        <f t="shared" si="2"/>
        <v>0.65</v>
      </c>
      <c r="I69" s="196">
        <f t="shared" si="2"/>
        <v>0.3</v>
      </c>
      <c r="J69" s="196">
        <f t="shared" si="2"/>
        <v>0.01</v>
      </c>
      <c r="K69" s="196">
        <f t="shared" si="2"/>
        <v>0.03</v>
      </c>
      <c r="L69" s="196"/>
      <c r="M69" s="198"/>
      <c r="N69" s="198"/>
      <c r="O69" s="198"/>
      <c r="P69" s="198"/>
      <c r="Q69" s="198"/>
    </row>
    <row r="70" spans="7:17">
      <c r="G70" s="196">
        <f t="shared" ref="G70:K75" si="3">G49/100</f>
        <v>0.01</v>
      </c>
      <c r="H70" s="196">
        <f t="shared" si="3"/>
        <v>0.59</v>
      </c>
      <c r="I70" s="196">
        <f t="shared" si="3"/>
        <v>0.25</v>
      </c>
      <c r="J70" s="196">
        <f t="shared" si="3"/>
        <v>0.05</v>
      </c>
      <c r="K70" s="196">
        <f t="shared" si="3"/>
        <v>0.1</v>
      </c>
      <c r="L70" s="196"/>
      <c r="M70" s="198"/>
      <c r="N70" s="198"/>
      <c r="O70" s="198"/>
      <c r="P70" s="198"/>
      <c r="Q70" s="198"/>
    </row>
    <row r="71" spans="7:17">
      <c r="G71" s="196">
        <f t="shared" si="3"/>
        <v>0</v>
      </c>
      <c r="H71" s="196">
        <f t="shared" si="3"/>
        <v>0</v>
      </c>
      <c r="I71" s="196">
        <f t="shared" si="3"/>
        <v>0</v>
      </c>
      <c r="J71" s="196">
        <f t="shared" si="3"/>
        <v>0</v>
      </c>
      <c r="K71" s="196">
        <f t="shared" si="3"/>
        <v>0</v>
      </c>
      <c r="L71" s="196"/>
      <c r="M71" s="198"/>
      <c r="N71" s="198"/>
      <c r="O71" s="198"/>
      <c r="P71" s="198"/>
      <c r="Q71" s="198"/>
    </row>
    <row r="72" spans="7:17">
      <c r="G72" s="196">
        <f t="shared" si="3"/>
        <v>0</v>
      </c>
      <c r="H72" s="196">
        <f t="shared" si="3"/>
        <v>0</v>
      </c>
      <c r="I72" s="196">
        <f t="shared" si="3"/>
        <v>0</v>
      </c>
      <c r="J72" s="196">
        <f t="shared" si="3"/>
        <v>0</v>
      </c>
      <c r="K72" s="196">
        <f t="shared" si="3"/>
        <v>0</v>
      </c>
      <c r="L72" s="196"/>
      <c r="M72" s="198"/>
      <c r="N72" s="198"/>
      <c r="O72" s="198"/>
      <c r="P72" s="198"/>
      <c r="Q72" s="198"/>
    </row>
    <row r="73" spans="7:17">
      <c r="G73" s="196">
        <f t="shared" si="3"/>
        <v>0</v>
      </c>
      <c r="H73" s="196">
        <f t="shared" si="3"/>
        <v>0.25</v>
      </c>
      <c r="I73" s="196">
        <f t="shared" si="3"/>
        <v>0.65</v>
      </c>
      <c r="J73" s="196">
        <f t="shared" si="3"/>
        <v>0.05</v>
      </c>
      <c r="K73" s="196">
        <f t="shared" si="3"/>
        <v>0.05</v>
      </c>
      <c r="L73" s="196"/>
      <c r="M73" s="198"/>
      <c r="N73" s="198"/>
      <c r="O73" s="198"/>
      <c r="P73" s="198"/>
      <c r="Q73" s="198"/>
    </row>
    <row r="74" spans="7:17">
      <c r="G74" s="196">
        <f t="shared" si="3"/>
        <v>0.01</v>
      </c>
      <c r="H74" s="196">
        <f t="shared" si="3"/>
        <v>0.6</v>
      </c>
      <c r="I74" s="196">
        <f t="shared" si="3"/>
        <v>0.28999999999999998</v>
      </c>
      <c r="J74" s="196">
        <f t="shared" si="3"/>
        <v>0.05</v>
      </c>
      <c r="K74" s="196">
        <f t="shared" si="3"/>
        <v>0.05</v>
      </c>
      <c r="L74" s="196"/>
      <c r="M74" s="198"/>
      <c r="N74" s="198"/>
      <c r="O74" s="198"/>
      <c r="P74" s="198"/>
      <c r="Q74" s="198"/>
    </row>
    <row r="75" spans="7:17">
      <c r="G75" s="196">
        <f t="shared" si="3"/>
        <v>0.1</v>
      </c>
      <c r="H75" s="196">
        <f t="shared" si="3"/>
        <v>0.54</v>
      </c>
      <c r="I75" s="196">
        <f t="shared" si="3"/>
        <v>0.3</v>
      </c>
      <c r="J75" s="196">
        <f t="shared" si="3"/>
        <v>0.05</v>
      </c>
      <c r="K75" s="196">
        <f t="shared" si="3"/>
        <v>0.01</v>
      </c>
      <c r="L75" s="196"/>
      <c r="M75" s="198"/>
      <c r="N75" s="198"/>
      <c r="O75" s="198"/>
      <c r="P75" s="198"/>
      <c r="Q75" s="198"/>
    </row>
    <row r="76" spans="7:17">
      <c r="G76" s="196"/>
      <c r="H76" s="196"/>
      <c r="I76" s="196"/>
      <c r="J76" s="196"/>
      <c r="K76" s="196"/>
      <c r="L76" s="196"/>
      <c r="M76" s="198"/>
      <c r="N76" s="198"/>
      <c r="O76" s="198"/>
      <c r="P76" s="198"/>
      <c r="Q76" s="198"/>
    </row>
    <row r="77" spans="7:17">
      <c r="G77" s="196" cm="1">
        <f t="array" ref="G77:K77">F19*G60:K60</f>
        <v>0</v>
      </c>
      <c r="H77" s="196">
        <v>880</v>
      </c>
      <c r="I77" s="196">
        <v>1100</v>
      </c>
      <c r="J77" s="196">
        <v>110</v>
      </c>
      <c r="K77" s="196">
        <v>110</v>
      </c>
      <c r="L77" s="196"/>
      <c r="M77" s="198"/>
      <c r="N77" s="198"/>
      <c r="O77" s="198"/>
      <c r="P77" s="198"/>
      <c r="Q77" s="198"/>
    </row>
    <row r="78" spans="7:17">
      <c r="G78" s="196" cm="1">
        <f t="array" ref="G78:K78">F20*G61:K61</f>
        <v>0</v>
      </c>
      <c r="H78" s="196">
        <v>1840</v>
      </c>
      <c r="I78" s="196">
        <v>460</v>
      </c>
      <c r="J78" s="196">
        <v>0</v>
      </c>
      <c r="K78" s="196">
        <v>0</v>
      </c>
      <c r="L78" s="196"/>
      <c r="M78" s="198"/>
      <c r="N78" s="198"/>
      <c r="O78" s="198"/>
      <c r="P78" s="198"/>
      <c r="Q78" s="198"/>
    </row>
    <row r="79" spans="7:17">
      <c r="G79" s="196" cm="1">
        <f t="array" ref="G79:K79">F21*G62:K62</f>
        <v>0</v>
      </c>
      <c r="H79" s="196">
        <v>200</v>
      </c>
      <c r="I79" s="196">
        <v>0</v>
      </c>
      <c r="J79" s="196">
        <v>0</v>
      </c>
      <c r="K79" s="196">
        <v>0</v>
      </c>
      <c r="L79" s="196"/>
      <c r="M79" s="198"/>
      <c r="N79" s="198"/>
      <c r="O79" s="198"/>
      <c r="P79" s="198"/>
      <c r="Q79" s="198"/>
    </row>
    <row r="80" spans="7:17">
      <c r="G80" s="196" cm="1">
        <f t="array" ref="G80:K80">F22*G63:K63</f>
        <v>0</v>
      </c>
      <c r="H80" s="196">
        <v>0</v>
      </c>
      <c r="I80" s="196">
        <v>0</v>
      </c>
      <c r="J80" s="196">
        <v>0</v>
      </c>
      <c r="K80" s="196">
        <v>0</v>
      </c>
      <c r="L80" s="196"/>
      <c r="M80" s="198"/>
      <c r="N80" s="198"/>
      <c r="O80" s="198"/>
      <c r="P80" s="198"/>
      <c r="Q80" s="198"/>
    </row>
    <row r="81" spans="7:17">
      <c r="G81" s="196" cm="1">
        <f t="array" ref="G81:K81">F23*G64:K64</f>
        <v>0</v>
      </c>
      <c r="H81" s="196">
        <v>0</v>
      </c>
      <c r="I81" s="196">
        <v>0</v>
      </c>
      <c r="J81" s="196">
        <v>0</v>
      </c>
      <c r="K81" s="196">
        <v>0</v>
      </c>
      <c r="L81" s="196"/>
      <c r="M81" s="198"/>
      <c r="N81" s="198"/>
      <c r="O81" s="198"/>
      <c r="P81" s="198"/>
      <c r="Q81" s="198"/>
    </row>
    <row r="82" spans="7:17">
      <c r="G82" s="196" cm="1">
        <f t="array" ref="G82:K82">F24*G65:K65</f>
        <v>378</v>
      </c>
      <c r="H82" s="196">
        <v>2079</v>
      </c>
      <c r="I82" s="196">
        <v>15120</v>
      </c>
      <c r="J82" s="196">
        <v>945</v>
      </c>
      <c r="K82" s="196">
        <v>378</v>
      </c>
      <c r="L82" s="196"/>
      <c r="M82" s="198"/>
      <c r="N82" s="198"/>
      <c r="O82" s="198"/>
      <c r="P82" s="198"/>
      <c r="Q82" s="198"/>
    </row>
    <row r="83" spans="7:17">
      <c r="G83" s="196" cm="1">
        <f t="array" ref="G83:K83">F25*G66:K66</f>
        <v>693</v>
      </c>
      <c r="H83" s="196">
        <v>2079</v>
      </c>
      <c r="I83" s="196">
        <v>36960</v>
      </c>
      <c r="J83" s="196">
        <v>1848</v>
      </c>
      <c r="K83" s="196">
        <v>4620</v>
      </c>
      <c r="L83" s="196"/>
      <c r="M83" s="198"/>
      <c r="N83" s="198"/>
      <c r="O83" s="198"/>
      <c r="P83" s="198"/>
      <c r="Q83" s="198"/>
    </row>
    <row r="84" spans="7:17">
      <c r="G84" s="196" cm="1">
        <f t="array" ref="G84:K84">F26*G67:K67</f>
        <v>0</v>
      </c>
      <c r="H84" s="196">
        <v>240</v>
      </c>
      <c r="I84" s="196">
        <v>0</v>
      </c>
      <c r="J84" s="196">
        <v>0</v>
      </c>
      <c r="K84" s="196">
        <v>160</v>
      </c>
      <c r="L84" s="196"/>
      <c r="M84" s="198"/>
      <c r="N84" s="198"/>
      <c r="O84" s="198"/>
      <c r="P84" s="198"/>
      <c r="Q84" s="198"/>
    </row>
    <row r="85" spans="7:17">
      <c r="G85" s="196" cm="1">
        <f t="array" ref="G85:K85">F27*G68:K68</f>
        <v>0</v>
      </c>
      <c r="H85" s="196">
        <v>820</v>
      </c>
      <c r="I85" s="196">
        <v>7380</v>
      </c>
      <c r="J85" s="196">
        <v>0</v>
      </c>
      <c r="K85" s="196">
        <v>0</v>
      </c>
      <c r="L85" s="196"/>
      <c r="M85" s="198"/>
      <c r="N85" s="198"/>
      <c r="O85" s="198"/>
      <c r="P85" s="198"/>
      <c r="Q85" s="198"/>
    </row>
    <row r="86" spans="7:17">
      <c r="G86" s="196" cm="1">
        <f t="array" ref="G86:K86">F28*G69:K69</f>
        <v>400</v>
      </c>
      <c r="H86" s="196">
        <v>26000</v>
      </c>
      <c r="I86" s="196">
        <v>12000</v>
      </c>
      <c r="J86" s="196">
        <v>400</v>
      </c>
      <c r="K86" s="196">
        <v>1200</v>
      </c>
      <c r="L86" s="196"/>
      <c r="M86" s="198"/>
      <c r="N86" s="198"/>
      <c r="O86" s="198"/>
      <c r="P86" s="198"/>
      <c r="Q86" s="198"/>
    </row>
    <row r="87" spans="7:17">
      <c r="G87" s="196" cm="1">
        <f t="array" ref="G87:K87">F29*G70:K70</f>
        <v>30</v>
      </c>
      <c r="H87" s="196">
        <v>1770</v>
      </c>
      <c r="I87" s="196">
        <v>750</v>
      </c>
      <c r="J87" s="196">
        <v>150</v>
      </c>
      <c r="K87" s="196">
        <v>300</v>
      </c>
      <c r="L87" s="196"/>
      <c r="M87" s="198"/>
      <c r="N87" s="198"/>
      <c r="O87" s="198"/>
      <c r="P87" s="198"/>
      <c r="Q87" s="198"/>
    </row>
    <row r="88" spans="7:17">
      <c r="G88" s="196" cm="1">
        <f t="array" ref="G88:K88">F30*G71:K71</f>
        <v>0</v>
      </c>
      <c r="H88" s="196">
        <v>0</v>
      </c>
      <c r="I88" s="196">
        <v>0</v>
      </c>
      <c r="J88" s="196">
        <v>0</v>
      </c>
      <c r="K88" s="196">
        <v>0</v>
      </c>
      <c r="L88" s="196"/>
      <c r="M88" s="198"/>
      <c r="N88" s="198"/>
      <c r="O88" s="198"/>
      <c r="P88" s="198"/>
      <c r="Q88" s="198"/>
    </row>
    <row r="89" spans="7:17">
      <c r="G89" s="196" cm="1">
        <f t="array" ref="G89:K89">F31*G72:K72</f>
        <v>0</v>
      </c>
      <c r="H89" s="196">
        <v>0</v>
      </c>
      <c r="I89" s="196">
        <v>0</v>
      </c>
      <c r="J89" s="196">
        <v>0</v>
      </c>
      <c r="K89" s="196">
        <v>0</v>
      </c>
      <c r="L89" s="196"/>
      <c r="M89" s="198"/>
      <c r="N89" s="198"/>
      <c r="O89" s="198"/>
      <c r="P89" s="198"/>
      <c r="Q89" s="198"/>
    </row>
    <row r="90" spans="7:17">
      <c r="G90" s="196" cm="1">
        <f t="array" ref="G90:K90">F32*G73:K73</f>
        <v>0</v>
      </c>
      <c r="H90" s="196">
        <v>975</v>
      </c>
      <c r="I90" s="196">
        <v>2535</v>
      </c>
      <c r="J90" s="196">
        <v>195</v>
      </c>
      <c r="K90" s="196">
        <v>195</v>
      </c>
      <c r="L90" s="196"/>
      <c r="M90" s="198"/>
      <c r="N90" s="198"/>
      <c r="O90" s="198"/>
      <c r="P90" s="198"/>
      <c r="Q90" s="198"/>
    </row>
    <row r="91" spans="7:17">
      <c r="G91" s="196" cm="1">
        <f t="array" ref="G91:K91">F33*G74:K74</f>
        <v>9</v>
      </c>
      <c r="H91" s="196">
        <v>540</v>
      </c>
      <c r="I91" s="196">
        <v>261</v>
      </c>
      <c r="J91" s="196">
        <v>45</v>
      </c>
      <c r="K91" s="196">
        <v>45</v>
      </c>
      <c r="L91" s="196"/>
      <c r="M91" s="198"/>
      <c r="N91" s="198"/>
      <c r="O91" s="198"/>
      <c r="P91" s="198"/>
      <c r="Q91" s="198"/>
    </row>
    <row r="92" spans="7:17">
      <c r="G92" s="196" cm="1">
        <f t="array" ref="G92:K92">F34*G75:K75</f>
        <v>269.5</v>
      </c>
      <c r="H92" s="196">
        <v>1455.3000000000002</v>
      </c>
      <c r="I92" s="196">
        <v>808.5</v>
      </c>
      <c r="J92" s="196">
        <v>134.75</v>
      </c>
      <c r="K92" s="196">
        <v>26.95</v>
      </c>
      <c r="L92" s="196"/>
      <c r="M92" s="198"/>
      <c r="N92" s="198"/>
      <c r="O92" s="198"/>
      <c r="P92" s="198"/>
      <c r="Q92" s="198"/>
    </row>
    <row r="93" spans="7:17">
      <c r="G93" s="196"/>
      <c r="H93" s="196"/>
      <c r="I93" s="196"/>
      <c r="J93" s="196"/>
      <c r="K93" s="196"/>
      <c r="L93" s="196"/>
      <c r="M93" s="198"/>
      <c r="N93" s="198"/>
      <c r="O93" s="198"/>
      <c r="P93" s="198"/>
      <c r="Q93" s="198"/>
    </row>
    <row r="94" spans="7:17">
      <c r="G94" s="196"/>
      <c r="H94" s="196"/>
      <c r="I94" s="196"/>
      <c r="J94" s="196"/>
      <c r="K94" s="196"/>
      <c r="L94" s="196"/>
      <c r="M94" s="198"/>
      <c r="N94" s="198"/>
      <c r="O94" s="198"/>
      <c r="P94" s="198"/>
      <c r="Q94" s="198"/>
    </row>
    <row r="95" spans="7:17">
      <c r="G95" s="196">
        <f>SUM(G77:G92)</f>
        <v>1779.5</v>
      </c>
      <c r="H95" s="196">
        <f>SUM(H77:H92)</f>
        <v>38878.300000000003</v>
      </c>
      <c r="I95" s="196">
        <f>SUM(I77:I92)</f>
        <v>77374.5</v>
      </c>
      <c r="J95" s="196">
        <f>SUM(J77:J92)</f>
        <v>3827.75</v>
      </c>
      <c r="K95" s="196">
        <f>SUM(K77:K92)</f>
        <v>7034.95</v>
      </c>
      <c r="L95" s="196"/>
      <c r="M95" s="198"/>
      <c r="N95" s="198"/>
      <c r="O95" s="198"/>
      <c r="P95" s="198"/>
      <c r="Q95" s="198"/>
    </row>
    <row r="96" spans="7:17">
      <c r="G96" s="198">
        <f>G95/SUM($G$95:$K$95)</f>
        <v>1.3805810931378254E-2</v>
      </c>
      <c r="H96" s="198">
        <f>H95/SUM($G$95:$K$95)</f>
        <v>0.30162768144613833</v>
      </c>
      <c r="I96" s="198">
        <f>I95/SUM($G$95:$K$95)</f>
        <v>0.60029093448155479</v>
      </c>
      <c r="J96" s="198">
        <f>J95/SUM($G$95:$K$95)</f>
        <v>2.9696652313898911E-2</v>
      </c>
      <c r="K96" s="198">
        <f>K95/SUM($G$95:$K$95)</f>
        <v>5.4578920827029753E-2</v>
      </c>
      <c r="L96" s="198"/>
      <c r="M96" s="198"/>
      <c r="N96" s="198"/>
      <c r="O96" s="198"/>
      <c r="P96" s="198"/>
      <c r="Q96" s="198"/>
    </row>
    <row r="99" spans="7:17">
      <c r="G99" s="196" t="s">
        <v>397</v>
      </c>
    </row>
    <row r="101" spans="7:17">
      <c r="G101" s="193">
        <v>15</v>
      </c>
      <c r="H101" s="193">
        <v>39</v>
      </c>
      <c r="I101" s="193">
        <v>36</v>
      </c>
      <c r="J101" s="193">
        <v>10</v>
      </c>
    </row>
    <row r="102" spans="7:17">
      <c r="G102" s="193">
        <v>12</v>
      </c>
      <c r="H102" s="193">
        <v>37</v>
      </c>
      <c r="I102" s="193">
        <v>43</v>
      </c>
      <c r="J102" s="193">
        <v>8</v>
      </c>
    </row>
    <row r="103" spans="7:17">
      <c r="G103" s="193">
        <v>4</v>
      </c>
      <c r="H103" s="195">
        <v>56</v>
      </c>
      <c r="I103" s="193">
        <v>40</v>
      </c>
      <c r="J103" s="191"/>
      <c r="K103" s="191"/>
      <c r="L103" s="191"/>
      <c r="M103" s="200"/>
      <c r="N103" s="200"/>
      <c r="O103" s="200"/>
      <c r="P103" s="200"/>
      <c r="Q103" s="200"/>
    </row>
    <row r="104" spans="7:17">
      <c r="G104" s="193">
        <v>3</v>
      </c>
      <c r="H104" s="193">
        <v>57</v>
      </c>
      <c r="I104" s="193">
        <v>40</v>
      </c>
    </row>
    <row r="105" spans="7:17">
      <c r="G105" s="193">
        <v>5</v>
      </c>
      <c r="H105" s="193">
        <v>48</v>
      </c>
      <c r="I105" s="193">
        <v>42</v>
      </c>
      <c r="J105" s="193">
        <v>5</v>
      </c>
    </row>
    <row r="106" spans="7:17">
      <c r="G106" s="193">
        <v>3</v>
      </c>
      <c r="H106" s="193">
        <v>22</v>
      </c>
      <c r="I106" s="193">
        <v>75</v>
      </c>
    </row>
    <row r="107" spans="7:17">
      <c r="G107" s="193">
        <v>3</v>
      </c>
      <c r="H107" s="193">
        <v>57</v>
      </c>
      <c r="I107" s="193">
        <v>20</v>
      </c>
      <c r="J107" s="193">
        <v>20</v>
      </c>
    </row>
    <row r="108" spans="7:17">
      <c r="G108" s="193">
        <v>0</v>
      </c>
      <c r="H108" s="193">
        <v>0</v>
      </c>
    </row>
    <row r="109" spans="7:17">
      <c r="G109" s="193">
        <v>5</v>
      </c>
      <c r="H109" s="193">
        <v>67</v>
      </c>
      <c r="I109" s="193">
        <v>25</v>
      </c>
      <c r="J109" s="193">
        <v>3</v>
      </c>
    </row>
    <row r="110" spans="7:17">
      <c r="G110" s="193">
        <v>0</v>
      </c>
      <c r="H110" s="193">
        <v>0</v>
      </c>
    </row>
    <row r="111" spans="7:17">
      <c r="G111" s="193">
        <v>0</v>
      </c>
      <c r="H111" s="193">
        <v>0</v>
      </c>
    </row>
    <row r="112" spans="7:17">
      <c r="G112" s="193">
        <v>3</v>
      </c>
      <c r="H112" s="193">
        <v>97</v>
      </c>
    </row>
    <row r="113" spans="7:11">
      <c r="G113" s="193">
        <v>3</v>
      </c>
      <c r="H113" s="193">
        <v>72</v>
      </c>
      <c r="I113" s="193">
        <v>20</v>
      </c>
      <c r="J113" s="193">
        <v>5</v>
      </c>
    </row>
    <row r="114" spans="7:11">
      <c r="G114" s="193">
        <v>3</v>
      </c>
      <c r="H114" s="193">
        <v>72</v>
      </c>
      <c r="I114" s="193">
        <v>20</v>
      </c>
      <c r="J114" s="193">
        <v>5</v>
      </c>
    </row>
    <row r="115" spans="7:11">
      <c r="G115" s="193">
        <v>3</v>
      </c>
      <c r="H115" s="193">
        <v>72</v>
      </c>
      <c r="I115" s="193">
        <v>20</v>
      </c>
      <c r="J115" s="193">
        <v>5</v>
      </c>
    </row>
    <row r="116" spans="7:11">
      <c r="G116" s="193">
        <v>3</v>
      </c>
      <c r="H116" s="193">
        <v>72</v>
      </c>
      <c r="I116" s="193">
        <v>20</v>
      </c>
      <c r="J116" s="193">
        <v>5</v>
      </c>
    </row>
    <row r="117" spans="7:11">
      <c r="G117" s="193">
        <v>3</v>
      </c>
      <c r="H117" s="193">
        <v>72</v>
      </c>
      <c r="I117" s="193">
        <v>20</v>
      </c>
      <c r="J117" s="193">
        <v>5</v>
      </c>
    </row>
    <row r="119" spans="7:11">
      <c r="G119" s="193">
        <f t="shared" ref="G119:K128" si="4">G101/100</f>
        <v>0.15</v>
      </c>
      <c r="H119" s="193">
        <f t="shared" si="4"/>
        <v>0.39</v>
      </c>
      <c r="I119" s="193">
        <f t="shared" si="4"/>
        <v>0.36</v>
      </c>
      <c r="J119" s="193">
        <f t="shared" si="4"/>
        <v>0.1</v>
      </c>
      <c r="K119" s="193">
        <f t="shared" si="4"/>
        <v>0</v>
      </c>
    </row>
    <row r="120" spans="7:11">
      <c r="G120" s="193">
        <f t="shared" si="4"/>
        <v>0.12</v>
      </c>
      <c r="H120" s="193">
        <f t="shared" si="4"/>
        <v>0.37</v>
      </c>
      <c r="I120" s="193">
        <f t="shared" si="4"/>
        <v>0.43</v>
      </c>
      <c r="J120" s="193">
        <f t="shared" si="4"/>
        <v>0.08</v>
      </c>
      <c r="K120" s="193">
        <f t="shared" si="4"/>
        <v>0</v>
      </c>
    </row>
    <row r="121" spans="7:11">
      <c r="G121" s="193">
        <f t="shared" si="4"/>
        <v>0.04</v>
      </c>
      <c r="H121" s="193">
        <f t="shared" si="4"/>
        <v>0.56000000000000005</v>
      </c>
      <c r="I121" s="193">
        <f t="shared" si="4"/>
        <v>0.4</v>
      </c>
      <c r="J121" s="193">
        <f t="shared" si="4"/>
        <v>0</v>
      </c>
      <c r="K121" s="193">
        <f t="shared" si="4"/>
        <v>0</v>
      </c>
    </row>
    <row r="122" spans="7:11">
      <c r="G122" s="193">
        <f t="shared" si="4"/>
        <v>0.03</v>
      </c>
      <c r="H122" s="193">
        <f t="shared" si="4"/>
        <v>0.56999999999999995</v>
      </c>
      <c r="I122" s="193">
        <f t="shared" si="4"/>
        <v>0.4</v>
      </c>
      <c r="J122" s="193">
        <f t="shared" si="4"/>
        <v>0</v>
      </c>
      <c r="K122" s="193">
        <f t="shared" si="4"/>
        <v>0</v>
      </c>
    </row>
    <row r="123" spans="7:11">
      <c r="G123" s="193">
        <f t="shared" si="4"/>
        <v>0.05</v>
      </c>
      <c r="H123" s="193">
        <f t="shared" si="4"/>
        <v>0.48</v>
      </c>
      <c r="I123" s="193">
        <f t="shared" si="4"/>
        <v>0.42</v>
      </c>
      <c r="J123" s="193">
        <f t="shared" si="4"/>
        <v>0.05</v>
      </c>
      <c r="K123" s="193">
        <f t="shared" si="4"/>
        <v>0</v>
      </c>
    </row>
    <row r="124" spans="7:11">
      <c r="G124" s="193">
        <f t="shared" si="4"/>
        <v>0.03</v>
      </c>
      <c r="H124" s="193">
        <f t="shared" si="4"/>
        <v>0.22</v>
      </c>
      <c r="I124" s="193">
        <f t="shared" si="4"/>
        <v>0.75</v>
      </c>
      <c r="J124" s="193">
        <f t="shared" si="4"/>
        <v>0</v>
      </c>
      <c r="K124" s="193">
        <f t="shared" si="4"/>
        <v>0</v>
      </c>
    </row>
    <row r="125" spans="7:11">
      <c r="G125" s="193">
        <f t="shared" si="4"/>
        <v>0.03</v>
      </c>
      <c r="H125" s="193">
        <f t="shared" si="4"/>
        <v>0.56999999999999995</v>
      </c>
      <c r="I125" s="193">
        <f t="shared" si="4"/>
        <v>0.2</v>
      </c>
      <c r="J125" s="193">
        <f t="shared" si="4"/>
        <v>0.2</v>
      </c>
      <c r="K125" s="193">
        <f t="shared" si="4"/>
        <v>0</v>
      </c>
    </row>
    <row r="126" spans="7:11">
      <c r="G126" s="193">
        <f t="shared" si="4"/>
        <v>0</v>
      </c>
      <c r="H126" s="193">
        <f t="shared" si="4"/>
        <v>0</v>
      </c>
      <c r="I126" s="193">
        <f t="shared" si="4"/>
        <v>0</v>
      </c>
      <c r="J126" s="193">
        <f t="shared" si="4"/>
        <v>0</v>
      </c>
      <c r="K126" s="193">
        <f t="shared" si="4"/>
        <v>0</v>
      </c>
    </row>
    <row r="127" spans="7:11">
      <c r="G127" s="193">
        <f t="shared" si="4"/>
        <v>0.05</v>
      </c>
      <c r="H127" s="193">
        <f t="shared" si="4"/>
        <v>0.67</v>
      </c>
      <c r="I127" s="193">
        <f t="shared" si="4"/>
        <v>0.25</v>
      </c>
      <c r="J127" s="193">
        <f t="shared" si="4"/>
        <v>0.03</v>
      </c>
      <c r="K127" s="193">
        <f t="shared" si="4"/>
        <v>0</v>
      </c>
    </row>
    <row r="128" spans="7:11">
      <c r="G128" s="193">
        <f t="shared" si="4"/>
        <v>0</v>
      </c>
      <c r="H128" s="193">
        <f t="shared" si="4"/>
        <v>0</v>
      </c>
      <c r="I128" s="193">
        <f t="shared" si="4"/>
        <v>0</v>
      </c>
      <c r="J128" s="193">
        <f t="shared" si="4"/>
        <v>0</v>
      </c>
      <c r="K128" s="193">
        <f t="shared" si="4"/>
        <v>0</v>
      </c>
    </row>
    <row r="129" spans="7:11">
      <c r="G129" s="193">
        <f t="shared" ref="G129:K135" si="5">G111/100</f>
        <v>0</v>
      </c>
      <c r="H129" s="193">
        <f t="shared" si="5"/>
        <v>0</v>
      </c>
      <c r="I129" s="193">
        <f t="shared" si="5"/>
        <v>0</v>
      </c>
      <c r="J129" s="193">
        <f t="shared" si="5"/>
        <v>0</v>
      </c>
      <c r="K129" s="193">
        <f t="shared" si="5"/>
        <v>0</v>
      </c>
    </row>
    <row r="130" spans="7:11">
      <c r="G130" s="193">
        <f t="shared" si="5"/>
        <v>0.03</v>
      </c>
      <c r="H130" s="193">
        <f t="shared" si="5"/>
        <v>0.97</v>
      </c>
      <c r="I130" s="193">
        <f t="shared" si="5"/>
        <v>0</v>
      </c>
      <c r="J130" s="193">
        <f t="shared" si="5"/>
        <v>0</v>
      </c>
      <c r="K130" s="193">
        <f t="shared" si="5"/>
        <v>0</v>
      </c>
    </row>
    <row r="131" spans="7:11">
      <c r="G131" s="193">
        <f t="shared" si="5"/>
        <v>0.03</v>
      </c>
      <c r="H131" s="193">
        <f t="shared" si="5"/>
        <v>0.72</v>
      </c>
      <c r="I131" s="193">
        <f t="shared" si="5"/>
        <v>0.2</v>
      </c>
      <c r="J131" s="193">
        <f t="shared" si="5"/>
        <v>0.05</v>
      </c>
      <c r="K131" s="193">
        <f t="shared" si="5"/>
        <v>0</v>
      </c>
    </row>
    <row r="132" spans="7:11">
      <c r="G132" s="193">
        <f t="shared" si="5"/>
        <v>0.03</v>
      </c>
      <c r="H132" s="193">
        <f t="shared" si="5"/>
        <v>0.72</v>
      </c>
      <c r="I132" s="193">
        <f t="shared" si="5"/>
        <v>0.2</v>
      </c>
      <c r="J132" s="193">
        <f t="shared" si="5"/>
        <v>0.05</v>
      </c>
      <c r="K132" s="193">
        <f t="shared" si="5"/>
        <v>0</v>
      </c>
    </row>
    <row r="133" spans="7:11">
      <c r="G133" s="193">
        <f t="shared" si="5"/>
        <v>0.03</v>
      </c>
      <c r="H133" s="193">
        <f t="shared" si="5"/>
        <v>0.72</v>
      </c>
      <c r="I133" s="193">
        <f t="shared" si="5"/>
        <v>0.2</v>
      </c>
      <c r="J133" s="193">
        <f t="shared" si="5"/>
        <v>0.05</v>
      </c>
      <c r="K133" s="193">
        <f t="shared" si="5"/>
        <v>0</v>
      </c>
    </row>
    <row r="134" spans="7:11">
      <c r="G134" s="193">
        <f t="shared" si="5"/>
        <v>0.03</v>
      </c>
      <c r="H134" s="193">
        <f t="shared" si="5"/>
        <v>0.72</v>
      </c>
      <c r="I134" s="193">
        <f t="shared" si="5"/>
        <v>0.2</v>
      </c>
      <c r="J134" s="193">
        <f t="shared" si="5"/>
        <v>0.05</v>
      </c>
      <c r="K134" s="193">
        <f t="shared" si="5"/>
        <v>0</v>
      </c>
    </row>
    <row r="135" spans="7:11">
      <c r="G135" s="193">
        <f t="shared" si="5"/>
        <v>0.03</v>
      </c>
      <c r="H135" s="193">
        <f t="shared" si="5"/>
        <v>0.72</v>
      </c>
      <c r="I135" s="193">
        <f t="shared" si="5"/>
        <v>0.2</v>
      </c>
      <c r="J135" s="193">
        <f t="shared" si="5"/>
        <v>0.05</v>
      </c>
      <c r="K135" s="193">
        <f t="shared" si="5"/>
        <v>0</v>
      </c>
    </row>
    <row r="137" spans="7:11">
      <c r="G137" s="193" cm="1">
        <f t="array" ref="G137:K137">F2*G119:K119</f>
        <v>1426.5</v>
      </c>
      <c r="H137" s="193">
        <v>3708.9</v>
      </c>
      <c r="I137" s="193">
        <v>3423.6</v>
      </c>
      <c r="J137" s="193">
        <v>951</v>
      </c>
      <c r="K137" s="193">
        <v>0</v>
      </c>
    </row>
    <row r="138" spans="7:11">
      <c r="G138" s="193" cm="1">
        <f t="array" ref="G138:K138">F3*G120:K120</f>
        <v>205.2</v>
      </c>
      <c r="H138" s="193">
        <v>632.70000000000005</v>
      </c>
      <c r="I138" s="193">
        <v>735.3</v>
      </c>
      <c r="J138" s="193">
        <v>136.80000000000001</v>
      </c>
      <c r="K138" s="193">
        <v>0</v>
      </c>
    </row>
    <row r="139" spans="7:11">
      <c r="G139" s="193" cm="1">
        <f t="array" ref="G139:K139">F4*G121:K121</f>
        <v>82.4</v>
      </c>
      <c r="H139" s="193">
        <v>1153.6000000000001</v>
      </c>
      <c r="I139" s="193">
        <v>824</v>
      </c>
      <c r="J139" s="193">
        <v>0</v>
      </c>
      <c r="K139" s="193">
        <v>0</v>
      </c>
    </row>
    <row r="140" spans="7:11">
      <c r="G140" s="193" cm="1">
        <f t="array" ref="G140:K140">F5*G122:K122</f>
        <v>16.5</v>
      </c>
      <c r="H140" s="193">
        <v>313.5</v>
      </c>
      <c r="I140" s="193">
        <v>220</v>
      </c>
      <c r="J140" s="193">
        <v>0</v>
      </c>
      <c r="K140" s="193">
        <v>0</v>
      </c>
    </row>
    <row r="141" spans="7:11">
      <c r="G141" s="193" cm="1">
        <f t="array" ref="G141:K141">F6*G123:K123</f>
        <v>1058.5</v>
      </c>
      <c r="H141" s="193">
        <v>10161.6</v>
      </c>
      <c r="I141" s="193">
        <v>8891.4</v>
      </c>
      <c r="J141" s="193">
        <v>1058.5</v>
      </c>
      <c r="K141" s="193">
        <v>0</v>
      </c>
    </row>
    <row r="142" spans="7:11">
      <c r="G142" s="193" cm="1">
        <f t="array" ref="G142:K142">F7*G124:K124</f>
        <v>26.7</v>
      </c>
      <c r="H142" s="193">
        <v>195.8</v>
      </c>
      <c r="I142" s="193">
        <v>667.5</v>
      </c>
      <c r="J142" s="193">
        <v>0</v>
      </c>
      <c r="K142" s="193">
        <v>0</v>
      </c>
    </row>
    <row r="143" spans="7:11">
      <c r="G143" s="193" cm="1">
        <f t="array" ref="G143:K143">F8*G125:K125</f>
        <v>32.1</v>
      </c>
      <c r="H143" s="193">
        <v>609.9</v>
      </c>
      <c r="I143" s="193">
        <v>214</v>
      </c>
      <c r="J143" s="193">
        <v>214</v>
      </c>
      <c r="K143" s="193">
        <v>0</v>
      </c>
    </row>
    <row r="144" spans="7:11">
      <c r="G144" s="193" cm="1">
        <f t="array" ref="G144:K144">F9*G126:K126</f>
        <v>0</v>
      </c>
      <c r="H144" s="193">
        <v>0</v>
      </c>
      <c r="I144" s="193">
        <v>0</v>
      </c>
      <c r="J144" s="193">
        <v>0</v>
      </c>
      <c r="K144" s="193">
        <v>0</v>
      </c>
    </row>
    <row r="145" spans="7:18">
      <c r="G145" s="193" cm="1">
        <f t="array" ref="G145:K145">F10*G127:K127</f>
        <v>776.5</v>
      </c>
      <c r="H145" s="193">
        <v>10405.1</v>
      </c>
      <c r="I145" s="193">
        <v>3882.5</v>
      </c>
      <c r="J145" s="193">
        <v>465.9</v>
      </c>
      <c r="K145" s="193">
        <v>0</v>
      </c>
    </row>
    <row r="146" spans="7:18">
      <c r="G146" s="193" cm="1">
        <f t="array" ref="G146:K146">F11*G128:K128</f>
        <v>0</v>
      </c>
      <c r="H146" s="193">
        <v>0</v>
      </c>
      <c r="I146" s="193">
        <v>0</v>
      </c>
      <c r="J146" s="193">
        <v>0</v>
      </c>
      <c r="K146" s="193">
        <v>0</v>
      </c>
    </row>
    <row r="147" spans="7:18">
      <c r="G147" s="193" cm="1">
        <f t="array" ref="G147:K147">F12*G129:K129</f>
        <v>0</v>
      </c>
      <c r="H147" s="193">
        <v>0</v>
      </c>
      <c r="I147" s="193">
        <v>0</v>
      </c>
      <c r="J147" s="193">
        <v>0</v>
      </c>
      <c r="K147" s="193">
        <v>0</v>
      </c>
    </row>
    <row r="148" spans="7:18">
      <c r="G148" s="193" cm="1">
        <f t="array" ref="G148:K148">F13*G130:K130</f>
        <v>5.0999999999999996</v>
      </c>
      <c r="H148" s="193">
        <v>164.9</v>
      </c>
      <c r="I148" s="193">
        <v>0</v>
      </c>
      <c r="J148" s="193">
        <v>0</v>
      </c>
      <c r="K148" s="193">
        <v>0</v>
      </c>
    </row>
    <row r="149" spans="7:18">
      <c r="G149" s="193" cm="1">
        <f t="array" ref="G149:K149">F14*G131:K131</f>
        <v>0</v>
      </c>
      <c r="H149" s="193">
        <v>0</v>
      </c>
      <c r="I149" s="193">
        <v>0</v>
      </c>
      <c r="J149" s="193">
        <v>0</v>
      </c>
      <c r="K149" s="193">
        <v>0</v>
      </c>
    </row>
    <row r="150" spans="7:18">
      <c r="G150" s="193" cm="1">
        <f t="array" ref="G150:K150">F15*G132:K132</f>
        <v>33</v>
      </c>
      <c r="H150" s="193">
        <v>792</v>
      </c>
      <c r="I150" s="193">
        <v>220</v>
      </c>
      <c r="J150" s="193">
        <v>55</v>
      </c>
      <c r="K150" s="193">
        <v>0</v>
      </c>
      <c r="R150" s="159">
        <v>5</v>
      </c>
    </row>
    <row r="151" spans="7:18">
      <c r="G151" s="193" cm="1">
        <f t="array" ref="G151:K151">F16*G133:K133</f>
        <v>0</v>
      </c>
      <c r="H151" s="193">
        <v>0</v>
      </c>
      <c r="I151" s="193">
        <v>0</v>
      </c>
      <c r="J151" s="193">
        <v>0</v>
      </c>
      <c r="K151" s="193">
        <v>0</v>
      </c>
      <c r="R151" s="159" t="s">
        <v>334</v>
      </c>
    </row>
    <row r="152" spans="7:18">
      <c r="G152" s="193" cm="1">
        <f t="array" ref="G152:K152">F17*G134:K134</f>
        <v>0</v>
      </c>
      <c r="H152" s="193">
        <v>0</v>
      </c>
      <c r="I152" s="193">
        <v>0</v>
      </c>
      <c r="J152" s="193">
        <v>0</v>
      </c>
      <c r="K152" s="193">
        <v>0</v>
      </c>
      <c r="R152" s="159">
        <v>52</v>
      </c>
    </row>
    <row r="153" spans="7:18">
      <c r="G153" s="193" cm="1">
        <f t="array" ref="G153:K153">F18*G135:K135</f>
        <v>0</v>
      </c>
      <c r="H153" s="193">
        <v>0</v>
      </c>
      <c r="I153" s="193">
        <v>0</v>
      </c>
      <c r="J153" s="193">
        <v>0</v>
      </c>
      <c r="K153" s="193">
        <v>0</v>
      </c>
      <c r="R153" s="159" t="s">
        <v>335</v>
      </c>
    </row>
    <row r="154" spans="7:18">
      <c r="R154" s="159">
        <v>32</v>
      </c>
    </row>
    <row r="155" spans="7:18">
      <c r="G155" s="193">
        <f>ROUND(G137,0)</f>
        <v>1427</v>
      </c>
      <c r="H155" s="193">
        <f t="shared" ref="H155:K155" si="6">ROUND(H137,0)</f>
        <v>3709</v>
      </c>
      <c r="I155" s="193">
        <f t="shared" si="6"/>
        <v>3424</v>
      </c>
      <c r="J155" s="193">
        <f t="shared" si="6"/>
        <v>951</v>
      </c>
      <c r="K155" s="193">
        <f t="shared" si="6"/>
        <v>0</v>
      </c>
      <c r="R155" s="159" t="s">
        <v>336</v>
      </c>
    </row>
    <row r="156" spans="7:18">
      <c r="G156" s="193">
        <f t="shared" ref="G156:K156" si="7">ROUND(G138,0)</f>
        <v>205</v>
      </c>
      <c r="H156" s="193">
        <f t="shared" si="7"/>
        <v>633</v>
      </c>
      <c r="I156" s="193">
        <f t="shared" si="7"/>
        <v>735</v>
      </c>
      <c r="J156" s="193">
        <f t="shared" si="7"/>
        <v>137</v>
      </c>
      <c r="K156" s="193">
        <f t="shared" si="7"/>
        <v>0</v>
      </c>
      <c r="R156" s="159">
        <v>6</v>
      </c>
    </row>
    <row r="157" spans="7:18">
      <c r="G157" s="193">
        <f t="shared" ref="G157:K157" si="8">ROUND(G139,0)</f>
        <v>82</v>
      </c>
      <c r="H157" s="193">
        <f t="shared" si="8"/>
        <v>1154</v>
      </c>
      <c r="I157" s="193">
        <f t="shared" si="8"/>
        <v>824</v>
      </c>
      <c r="J157" s="193">
        <f t="shared" si="8"/>
        <v>0</v>
      </c>
      <c r="K157" s="193">
        <f t="shared" si="8"/>
        <v>0</v>
      </c>
      <c r="R157" s="159" t="s">
        <v>338</v>
      </c>
    </row>
    <row r="158" spans="7:18">
      <c r="G158" s="193">
        <f t="shared" ref="G158:K158" si="9">ROUND(G140,0)</f>
        <v>17</v>
      </c>
      <c r="H158" s="193">
        <f t="shared" si="9"/>
        <v>314</v>
      </c>
      <c r="I158" s="193">
        <f t="shared" si="9"/>
        <v>220</v>
      </c>
      <c r="J158" s="193">
        <f t="shared" si="9"/>
        <v>0</v>
      </c>
      <c r="K158" s="193">
        <f t="shared" si="9"/>
        <v>0</v>
      </c>
      <c r="R158" s="159">
        <v>5</v>
      </c>
    </row>
    <row r="159" spans="7:18">
      <c r="G159" s="193">
        <f t="shared" ref="G159:K159" si="10">ROUND(G141,0)</f>
        <v>1059</v>
      </c>
      <c r="H159" s="193">
        <f t="shared" si="10"/>
        <v>10162</v>
      </c>
      <c r="I159" s="193">
        <f t="shared" si="10"/>
        <v>8891</v>
      </c>
      <c r="J159" s="193">
        <f t="shared" si="10"/>
        <v>1059</v>
      </c>
      <c r="K159" s="193">
        <f t="shared" si="10"/>
        <v>0</v>
      </c>
      <c r="R159" s="159" t="s">
        <v>341</v>
      </c>
    </row>
    <row r="160" spans="7:18">
      <c r="G160" s="193">
        <f t="shared" ref="G160:K160" si="11">ROUND(G142,0)</f>
        <v>27</v>
      </c>
      <c r="H160" s="193">
        <f t="shared" si="11"/>
        <v>196</v>
      </c>
      <c r="I160" s="193">
        <f t="shared" si="11"/>
        <v>668</v>
      </c>
      <c r="J160" s="193">
        <f t="shared" si="11"/>
        <v>0</v>
      </c>
      <c r="K160" s="193">
        <f t="shared" si="11"/>
        <v>0</v>
      </c>
    </row>
    <row r="161" spans="7:12">
      <c r="G161" s="193">
        <f t="shared" ref="G161:K161" si="12">ROUND(G143,0)</f>
        <v>32</v>
      </c>
      <c r="H161" s="193">
        <f t="shared" si="12"/>
        <v>610</v>
      </c>
      <c r="I161" s="193">
        <f t="shared" si="12"/>
        <v>214</v>
      </c>
      <c r="J161" s="193">
        <f t="shared" si="12"/>
        <v>214</v>
      </c>
      <c r="K161" s="193">
        <f t="shared" si="12"/>
        <v>0</v>
      </c>
    </row>
    <row r="162" spans="7:12">
      <c r="G162" s="193">
        <f t="shared" ref="G162:K162" si="13">ROUND(G144,0)</f>
        <v>0</v>
      </c>
      <c r="H162" s="193">
        <f t="shared" si="13"/>
        <v>0</v>
      </c>
      <c r="I162" s="193">
        <f t="shared" si="13"/>
        <v>0</v>
      </c>
      <c r="J162" s="193">
        <f t="shared" si="13"/>
        <v>0</v>
      </c>
      <c r="K162" s="193">
        <f t="shared" si="13"/>
        <v>0</v>
      </c>
    </row>
    <row r="163" spans="7:12">
      <c r="G163" s="193">
        <f t="shared" ref="G163:K163" si="14">ROUND(G145,0)</f>
        <v>777</v>
      </c>
      <c r="H163" s="193">
        <f t="shared" si="14"/>
        <v>10405</v>
      </c>
      <c r="I163" s="193">
        <f t="shared" si="14"/>
        <v>3883</v>
      </c>
      <c r="J163" s="193">
        <f t="shared" si="14"/>
        <v>466</v>
      </c>
      <c r="K163" s="193">
        <f t="shared" si="14"/>
        <v>0</v>
      </c>
    </row>
    <row r="164" spans="7:12">
      <c r="G164" s="193">
        <f t="shared" ref="G164:K164" si="15">ROUND(G146,0)</f>
        <v>0</v>
      </c>
      <c r="H164" s="193">
        <f t="shared" si="15"/>
        <v>0</v>
      </c>
      <c r="I164" s="193">
        <f t="shared" si="15"/>
        <v>0</v>
      </c>
      <c r="J164" s="193">
        <f t="shared" si="15"/>
        <v>0</v>
      </c>
      <c r="K164" s="193">
        <f t="shared" si="15"/>
        <v>0</v>
      </c>
    </row>
    <row r="165" spans="7:12">
      <c r="G165" s="193">
        <f>ROUND(G147,0)</f>
        <v>0</v>
      </c>
      <c r="H165" s="193">
        <f t="shared" ref="H165:K165" si="16">ROUND(H147,0)</f>
        <v>0</v>
      </c>
      <c r="I165" s="193">
        <f t="shared" si="16"/>
        <v>0</v>
      </c>
      <c r="J165" s="193">
        <f t="shared" si="16"/>
        <v>0</v>
      </c>
      <c r="K165" s="193">
        <f t="shared" si="16"/>
        <v>0</v>
      </c>
    </row>
    <row r="166" spans="7:12">
      <c r="G166" s="193">
        <f t="shared" ref="G166:K166" si="17">ROUND(G148,0)</f>
        <v>5</v>
      </c>
      <c r="H166" s="193">
        <f t="shared" si="17"/>
        <v>165</v>
      </c>
      <c r="I166" s="193">
        <f t="shared" si="17"/>
        <v>0</v>
      </c>
      <c r="J166" s="193">
        <f t="shared" si="17"/>
        <v>0</v>
      </c>
      <c r="K166" s="193">
        <f t="shared" si="17"/>
        <v>0</v>
      </c>
    </row>
    <row r="167" spans="7:12">
      <c r="G167" s="193">
        <f t="shared" ref="G167:K167" si="18">ROUND(G149,0)</f>
        <v>0</v>
      </c>
      <c r="H167" s="193">
        <f t="shared" si="18"/>
        <v>0</v>
      </c>
      <c r="I167" s="193">
        <f t="shared" si="18"/>
        <v>0</v>
      </c>
      <c r="J167" s="193">
        <f t="shared" si="18"/>
        <v>0</v>
      </c>
      <c r="K167" s="193">
        <f t="shared" si="18"/>
        <v>0</v>
      </c>
    </row>
    <row r="168" spans="7:12">
      <c r="G168" s="193">
        <f t="shared" ref="G168:K168" si="19">ROUND(G150,0)</f>
        <v>33</v>
      </c>
      <c r="H168" s="193">
        <f t="shared" si="19"/>
        <v>792</v>
      </c>
      <c r="I168" s="193">
        <f t="shared" si="19"/>
        <v>220</v>
      </c>
      <c r="J168" s="193">
        <f t="shared" si="19"/>
        <v>55</v>
      </c>
      <c r="K168" s="193">
        <f t="shared" si="19"/>
        <v>0</v>
      </c>
    </row>
    <row r="169" spans="7:12">
      <c r="G169" s="193">
        <f t="shared" ref="G169:K169" si="20">ROUND(G151,0)</f>
        <v>0</v>
      </c>
      <c r="H169" s="193">
        <f t="shared" si="20"/>
        <v>0</v>
      </c>
      <c r="I169" s="193">
        <f t="shared" si="20"/>
        <v>0</v>
      </c>
      <c r="J169" s="193">
        <f t="shared" si="20"/>
        <v>0</v>
      </c>
      <c r="K169" s="193">
        <f t="shared" si="20"/>
        <v>0</v>
      </c>
    </row>
    <row r="170" spans="7:12">
      <c r="G170" s="193">
        <f t="shared" ref="G170:K170" si="21">ROUND(G152,0)</f>
        <v>0</v>
      </c>
      <c r="H170" s="193">
        <f t="shared" si="21"/>
        <v>0</v>
      </c>
      <c r="I170" s="193">
        <f t="shared" si="21"/>
        <v>0</v>
      </c>
      <c r="J170" s="193">
        <f t="shared" si="21"/>
        <v>0</v>
      </c>
      <c r="K170" s="193">
        <f t="shared" si="21"/>
        <v>0</v>
      </c>
    </row>
    <row r="171" spans="7:12">
      <c r="G171" s="193">
        <f t="shared" ref="G171:K171" si="22">ROUND(G153,0)</f>
        <v>0</v>
      </c>
      <c r="H171" s="193">
        <f t="shared" si="22"/>
        <v>0</v>
      </c>
      <c r="I171" s="193">
        <f t="shared" si="22"/>
        <v>0</v>
      </c>
      <c r="J171" s="193">
        <f t="shared" si="22"/>
        <v>0</v>
      </c>
      <c r="K171" s="193">
        <f t="shared" si="22"/>
        <v>0</v>
      </c>
    </row>
    <row r="173" spans="7:12">
      <c r="G173" s="193">
        <f>SUM(G155:G171)</f>
        <v>3664</v>
      </c>
      <c r="H173" s="193">
        <f t="shared" ref="H173:K173" si="23">SUM(H155:H171)</f>
        <v>28140</v>
      </c>
      <c r="I173" s="193">
        <f t="shared" si="23"/>
        <v>19079</v>
      </c>
      <c r="J173" s="193">
        <f t="shared" si="23"/>
        <v>2882</v>
      </c>
      <c r="K173" s="193">
        <f t="shared" si="23"/>
        <v>0</v>
      </c>
    </row>
    <row r="174" spans="7:12">
      <c r="G174" s="194">
        <f>G173/SUM($G$173:$K$173)</f>
        <v>6.814842369571282E-2</v>
      </c>
      <c r="H174" s="194">
        <f>H173/SUM($G$173:$K$173)</f>
        <v>0.52338882172417001</v>
      </c>
      <c r="I174" s="194">
        <f>I173/SUM($G$173:$K$173)</f>
        <v>0.35485910908583651</v>
      </c>
      <c r="J174" s="194">
        <f>J173/SUM($G$173:$K$173)</f>
        <v>5.3603645494280663E-2</v>
      </c>
      <c r="K174" s="194">
        <f>K173/SUM($G$173:$K$173)</f>
        <v>0</v>
      </c>
      <c r="L174" s="19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80A7C-C9DD-483B-93D8-B4AD220CEA71}">
  <dimension ref="A1:Q34"/>
  <sheetViews>
    <sheetView topLeftCell="A10" workbookViewId="0">
      <selection activeCell="E23" sqref="E23:E41"/>
    </sheetView>
  </sheetViews>
  <sheetFormatPr defaultRowHeight="14.4"/>
  <cols>
    <col min="1" max="16384" width="8.6640625" style="159"/>
  </cols>
  <sheetData>
    <row r="1" spans="1:17">
      <c r="B1" s="159" t="s">
        <v>243</v>
      </c>
      <c r="C1" s="159" t="s">
        <v>169</v>
      </c>
      <c r="D1" s="159" t="s">
        <v>6</v>
      </c>
      <c r="E1" s="159" t="s">
        <v>157</v>
      </c>
      <c r="F1" s="159" t="s">
        <v>162</v>
      </c>
      <c r="G1" s="203" t="s">
        <v>334</v>
      </c>
      <c r="H1" s="203" t="s">
        <v>335</v>
      </c>
      <c r="I1" s="203" t="s">
        <v>336</v>
      </c>
      <c r="J1" s="203" t="s">
        <v>341</v>
      </c>
      <c r="K1" s="203" t="s">
        <v>395</v>
      </c>
      <c r="L1" s="203" t="s">
        <v>398</v>
      </c>
      <c r="M1" s="159" t="s">
        <v>160</v>
      </c>
      <c r="N1" s="159" t="s">
        <v>161</v>
      </c>
      <c r="O1" s="159" t="s">
        <v>163</v>
      </c>
      <c r="Q1" s="159" t="s">
        <v>159</v>
      </c>
    </row>
    <row r="2" spans="1:17">
      <c r="A2" s="159" t="s">
        <v>400</v>
      </c>
      <c r="B2" s="159" t="s">
        <v>27</v>
      </c>
      <c r="C2" s="159" t="s">
        <v>170</v>
      </c>
      <c r="D2" s="159">
        <v>803000</v>
      </c>
      <c r="E2" s="159">
        <v>728400</v>
      </c>
      <c r="F2" s="159">
        <v>38200</v>
      </c>
      <c r="G2" s="159">
        <v>0</v>
      </c>
      <c r="H2" s="159">
        <v>880</v>
      </c>
      <c r="I2" s="159">
        <v>1100</v>
      </c>
      <c r="J2" s="159">
        <v>110</v>
      </c>
      <c r="K2" s="159">
        <v>110</v>
      </c>
      <c r="L2" s="159">
        <v>0</v>
      </c>
      <c r="M2" s="159">
        <v>0</v>
      </c>
      <c r="N2" s="159">
        <v>32100</v>
      </c>
      <c r="O2" s="159">
        <v>2100</v>
      </c>
      <c r="Q2" s="159">
        <v>2200</v>
      </c>
    </row>
    <row r="3" spans="1:17">
      <c r="A3" s="159" t="s">
        <v>400</v>
      </c>
      <c r="B3" s="159" t="s">
        <v>27</v>
      </c>
      <c r="C3" s="159" t="s">
        <v>171</v>
      </c>
      <c r="D3" s="159">
        <v>376100</v>
      </c>
      <c r="E3" s="159">
        <v>316700</v>
      </c>
      <c r="F3" s="159">
        <v>42100</v>
      </c>
      <c r="G3" s="159">
        <v>0</v>
      </c>
      <c r="H3" s="159">
        <v>1840</v>
      </c>
      <c r="I3" s="159">
        <v>460</v>
      </c>
      <c r="J3" s="159">
        <v>0</v>
      </c>
      <c r="K3" s="159">
        <v>0</v>
      </c>
      <c r="L3" s="159">
        <v>0</v>
      </c>
      <c r="M3" s="159">
        <v>0</v>
      </c>
      <c r="N3" s="159">
        <v>13300</v>
      </c>
      <c r="O3" s="159">
        <v>1700</v>
      </c>
      <c r="Q3" s="159">
        <v>2300</v>
      </c>
    </row>
    <row r="4" spans="1:17">
      <c r="A4" s="159" t="s">
        <v>400</v>
      </c>
      <c r="B4" s="159" t="s">
        <v>27</v>
      </c>
      <c r="C4" s="159" t="s">
        <v>172</v>
      </c>
      <c r="D4" s="159">
        <v>641100</v>
      </c>
      <c r="E4" s="159">
        <v>599300</v>
      </c>
      <c r="F4" s="159">
        <v>1000</v>
      </c>
      <c r="G4" s="159">
        <v>0</v>
      </c>
      <c r="H4" s="159">
        <v>200</v>
      </c>
      <c r="I4" s="159">
        <v>0</v>
      </c>
      <c r="J4" s="159">
        <v>0</v>
      </c>
      <c r="K4" s="159">
        <v>0</v>
      </c>
      <c r="L4" s="159">
        <v>0</v>
      </c>
      <c r="M4" s="159">
        <v>0</v>
      </c>
      <c r="N4" s="159">
        <v>38400</v>
      </c>
      <c r="O4" s="159">
        <v>2200</v>
      </c>
      <c r="Q4" s="159">
        <v>200</v>
      </c>
    </row>
    <row r="5" spans="1:17">
      <c r="A5" s="159" t="s">
        <v>400</v>
      </c>
      <c r="B5" s="159" t="s">
        <v>27</v>
      </c>
      <c r="C5" s="159" t="s">
        <v>173</v>
      </c>
      <c r="D5" s="159">
        <v>505800</v>
      </c>
      <c r="E5" s="159">
        <v>371500</v>
      </c>
      <c r="F5" s="159">
        <v>105900</v>
      </c>
      <c r="G5" s="159">
        <v>0</v>
      </c>
      <c r="H5" s="159">
        <v>0</v>
      </c>
      <c r="I5" s="159">
        <v>0</v>
      </c>
      <c r="J5" s="159">
        <v>0</v>
      </c>
      <c r="K5" s="159">
        <v>0</v>
      </c>
      <c r="L5" s="159">
        <v>0</v>
      </c>
      <c r="M5" s="159">
        <v>0</v>
      </c>
      <c r="N5" s="159">
        <v>26500</v>
      </c>
      <c r="O5" s="159">
        <v>1900</v>
      </c>
      <c r="Q5" s="159">
        <v>0</v>
      </c>
    </row>
    <row r="6" spans="1:17">
      <c r="A6" s="159" t="s">
        <v>400</v>
      </c>
      <c r="B6" s="159" t="s">
        <v>21</v>
      </c>
      <c r="C6" s="159" t="s">
        <v>174</v>
      </c>
      <c r="D6" s="159">
        <v>500600</v>
      </c>
      <c r="E6" s="159">
        <v>274400</v>
      </c>
      <c r="F6" s="159">
        <v>208700</v>
      </c>
      <c r="G6" s="159">
        <v>0</v>
      </c>
      <c r="H6" s="159">
        <v>0</v>
      </c>
      <c r="I6" s="159">
        <v>0</v>
      </c>
      <c r="J6" s="159">
        <v>0</v>
      </c>
      <c r="K6" s="159">
        <v>0</v>
      </c>
      <c r="L6" s="159">
        <v>0</v>
      </c>
      <c r="M6" s="159">
        <v>0</v>
      </c>
      <c r="N6" s="159">
        <v>15300</v>
      </c>
      <c r="O6" s="159">
        <v>2200</v>
      </c>
      <c r="Q6" s="159">
        <v>0</v>
      </c>
    </row>
    <row r="7" spans="1:17">
      <c r="A7" s="159" t="s">
        <v>400</v>
      </c>
      <c r="B7" s="159" t="s">
        <v>21</v>
      </c>
      <c r="C7" s="159" t="s">
        <v>175</v>
      </c>
      <c r="D7" s="159">
        <v>607900</v>
      </c>
      <c r="E7" s="159">
        <v>468500</v>
      </c>
      <c r="F7" s="159">
        <v>24300</v>
      </c>
      <c r="G7" s="159">
        <v>800</v>
      </c>
      <c r="H7" s="159">
        <v>1960</v>
      </c>
      <c r="I7" s="159">
        <v>13900</v>
      </c>
      <c r="J7" s="159">
        <v>440</v>
      </c>
      <c r="K7" s="159">
        <v>1800</v>
      </c>
      <c r="L7" s="159">
        <v>0</v>
      </c>
      <c r="M7" s="159">
        <v>27800</v>
      </c>
      <c r="N7" s="159">
        <v>61800</v>
      </c>
      <c r="O7" s="159">
        <v>6600</v>
      </c>
      <c r="Q7" s="159">
        <v>18900</v>
      </c>
    </row>
    <row r="8" spans="1:17">
      <c r="A8" s="159" t="s">
        <v>400</v>
      </c>
      <c r="B8" s="159" t="s">
        <v>13</v>
      </c>
      <c r="C8" s="159" t="s">
        <v>390</v>
      </c>
      <c r="D8" s="159">
        <v>252700</v>
      </c>
      <c r="E8" s="159">
        <v>226145</v>
      </c>
      <c r="F8" s="159">
        <v>18280</v>
      </c>
      <c r="G8" s="159">
        <v>100</v>
      </c>
      <c r="H8" s="159">
        <v>540</v>
      </c>
      <c r="I8" s="159">
        <v>210</v>
      </c>
      <c r="J8" s="159">
        <v>50</v>
      </c>
      <c r="K8" s="159">
        <v>0</v>
      </c>
      <c r="L8" s="159">
        <v>0</v>
      </c>
      <c r="M8" s="159">
        <v>0</v>
      </c>
      <c r="N8" s="159">
        <v>4165</v>
      </c>
      <c r="O8" s="159">
        <v>3209.9999999999545</v>
      </c>
      <c r="Q8" s="159">
        <v>900</v>
      </c>
    </row>
    <row r="9" spans="1:17">
      <c r="A9" s="159" t="s">
        <v>400</v>
      </c>
      <c r="B9" s="159" t="s">
        <v>13</v>
      </c>
      <c r="C9" s="159" t="s">
        <v>357</v>
      </c>
      <c r="D9" s="159">
        <v>418232</v>
      </c>
      <c r="E9" s="159">
        <v>342931</v>
      </c>
      <c r="F9" s="159">
        <v>60571</v>
      </c>
      <c r="G9" s="159">
        <v>305</v>
      </c>
      <c r="H9" s="159">
        <v>1560</v>
      </c>
      <c r="I9" s="159">
        <v>700</v>
      </c>
      <c r="J9" s="159">
        <v>130</v>
      </c>
      <c r="K9" s="159">
        <v>0</v>
      </c>
      <c r="L9" s="159">
        <v>0</v>
      </c>
      <c r="M9" s="159">
        <v>0</v>
      </c>
      <c r="N9" s="159">
        <v>11035</v>
      </c>
      <c r="O9" s="159">
        <v>1000</v>
      </c>
      <c r="Q9" s="159">
        <v>2695</v>
      </c>
    </row>
    <row r="10" spans="1:17">
      <c r="A10" s="159" t="s">
        <v>400</v>
      </c>
      <c r="B10" s="159" t="s">
        <v>15</v>
      </c>
      <c r="C10" s="159" t="s">
        <v>177</v>
      </c>
      <c r="D10" s="159">
        <v>676700</v>
      </c>
      <c r="E10" s="159">
        <v>204000</v>
      </c>
      <c r="F10" s="159">
        <v>315400</v>
      </c>
      <c r="G10" s="159">
        <v>680</v>
      </c>
      <c r="H10" s="159">
        <v>2800</v>
      </c>
      <c r="I10" s="159">
        <v>36000</v>
      </c>
      <c r="J10" s="159">
        <v>1900</v>
      </c>
      <c r="K10" s="159">
        <v>4820</v>
      </c>
      <c r="L10" s="159">
        <v>0</v>
      </c>
      <c r="M10" s="159">
        <v>81200</v>
      </c>
      <c r="N10" s="159">
        <v>26700</v>
      </c>
      <c r="O10" s="159">
        <v>3200</v>
      </c>
      <c r="Q10" s="159">
        <v>46200</v>
      </c>
    </row>
    <row r="11" spans="1:17">
      <c r="A11" s="159" t="s">
        <v>400</v>
      </c>
      <c r="B11" s="159" t="s">
        <v>15</v>
      </c>
      <c r="C11" s="159" t="s">
        <v>178</v>
      </c>
      <c r="D11" s="159">
        <v>54400</v>
      </c>
      <c r="E11" s="159">
        <v>25300</v>
      </c>
      <c r="F11" s="159">
        <v>2500</v>
      </c>
      <c r="G11" s="159">
        <v>0</v>
      </c>
      <c r="H11" s="159">
        <v>240</v>
      </c>
      <c r="I11" s="159">
        <v>0</v>
      </c>
      <c r="J11" s="159">
        <v>0</v>
      </c>
      <c r="K11" s="159">
        <v>160</v>
      </c>
      <c r="L11" s="159">
        <v>0</v>
      </c>
      <c r="M11" s="159">
        <v>24200</v>
      </c>
      <c r="N11" s="159">
        <v>2000</v>
      </c>
      <c r="O11" s="159">
        <v>0</v>
      </c>
      <c r="Q11" s="159">
        <v>400</v>
      </c>
    </row>
    <row r="12" spans="1:17">
      <c r="A12" s="159" t="s">
        <v>400</v>
      </c>
      <c r="B12" s="159" t="s">
        <v>15</v>
      </c>
      <c r="C12" s="159" t="s">
        <v>179</v>
      </c>
      <c r="D12" s="159">
        <v>119500</v>
      </c>
      <c r="E12" s="159">
        <v>78800</v>
      </c>
      <c r="F12" s="159">
        <v>17100</v>
      </c>
      <c r="G12" s="159">
        <v>0</v>
      </c>
      <c r="H12" s="159">
        <v>820</v>
      </c>
      <c r="I12" s="159">
        <v>7380</v>
      </c>
      <c r="J12" s="159">
        <v>0</v>
      </c>
      <c r="K12" s="159">
        <v>0</v>
      </c>
      <c r="L12" s="159">
        <v>0</v>
      </c>
      <c r="M12" s="159">
        <v>10700</v>
      </c>
      <c r="N12" s="159">
        <v>3700</v>
      </c>
      <c r="O12" s="159">
        <v>1000</v>
      </c>
      <c r="Q12" s="159">
        <v>8200</v>
      </c>
    </row>
    <row r="13" spans="1:17">
      <c r="A13" s="159" t="s">
        <v>400</v>
      </c>
      <c r="B13" s="159" t="s">
        <v>15</v>
      </c>
      <c r="C13" s="159" t="s">
        <v>180</v>
      </c>
      <c r="D13" s="159">
        <v>550300</v>
      </c>
      <c r="E13" s="159">
        <v>232200</v>
      </c>
      <c r="F13" s="159">
        <v>255600</v>
      </c>
      <c r="G13" s="159">
        <v>400</v>
      </c>
      <c r="H13" s="159">
        <v>26000</v>
      </c>
      <c r="I13" s="159">
        <v>11900</v>
      </c>
      <c r="J13" s="159">
        <v>400</v>
      </c>
      <c r="K13" s="159">
        <v>1200</v>
      </c>
      <c r="L13" s="159">
        <v>100</v>
      </c>
      <c r="M13" s="159">
        <v>0</v>
      </c>
      <c r="N13" s="159">
        <v>18500</v>
      </c>
      <c r="O13" s="159">
        <v>4000</v>
      </c>
      <c r="Q13" s="159">
        <v>40000</v>
      </c>
    </row>
    <row r="14" spans="1:17">
      <c r="A14" s="159" t="s">
        <v>400</v>
      </c>
      <c r="B14" s="159" t="s">
        <v>15</v>
      </c>
      <c r="C14" s="159" t="s">
        <v>181</v>
      </c>
      <c r="D14" s="159">
        <v>127000</v>
      </c>
      <c r="E14" s="159">
        <v>107200</v>
      </c>
      <c r="F14" s="159">
        <v>6700</v>
      </c>
      <c r="G14" s="159">
        <v>100</v>
      </c>
      <c r="H14" s="159">
        <v>1700</v>
      </c>
      <c r="I14" s="159">
        <v>750</v>
      </c>
      <c r="J14" s="159">
        <v>150</v>
      </c>
      <c r="K14" s="159">
        <v>300</v>
      </c>
      <c r="L14" s="159">
        <v>0</v>
      </c>
      <c r="M14" s="159">
        <v>4200</v>
      </c>
      <c r="N14" s="159">
        <v>4700</v>
      </c>
      <c r="O14" s="159">
        <v>1200</v>
      </c>
      <c r="Q14" s="159">
        <v>3000</v>
      </c>
    </row>
    <row r="15" spans="1:17">
      <c r="A15" s="159" t="s">
        <v>400</v>
      </c>
      <c r="B15" s="159" t="s">
        <v>33</v>
      </c>
      <c r="C15" s="159" t="s">
        <v>182</v>
      </c>
      <c r="D15" s="159">
        <v>585900</v>
      </c>
      <c r="E15" s="159">
        <v>529800</v>
      </c>
      <c r="F15" s="159">
        <v>1600</v>
      </c>
      <c r="G15" s="159">
        <v>0</v>
      </c>
      <c r="H15" s="159">
        <v>0</v>
      </c>
      <c r="I15" s="159">
        <v>0</v>
      </c>
      <c r="J15" s="159">
        <v>0</v>
      </c>
      <c r="K15" s="159">
        <v>0</v>
      </c>
      <c r="L15" s="159">
        <v>0</v>
      </c>
      <c r="M15" s="159">
        <v>0</v>
      </c>
      <c r="N15" s="159">
        <v>51500</v>
      </c>
      <c r="O15" s="159">
        <v>3000</v>
      </c>
      <c r="Q15" s="159">
        <v>0</v>
      </c>
    </row>
    <row r="16" spans="1:17">
      <c r="A16" s="159" t="s">
        <v>400</v>
      </c>
      <c r="B16" s="159" t="s">
        <v>33</v>
      </c>
      <c r="C16" s="159" t="s">
        <v>183</v>
      </c>
      <c r="D16" s="159">
        <v>818400</v>
      </c>
      <c r="E16" s="159">
        <v>461900</v>
      </c>
      <c r="F16" s="159">
        <v>306400</v>
      </c>
      <c r="G16" s="159">
        <v>0</v>
      </c>
      <c r="H16" s="159">
        <v>0</v>
      </c>
      <c r="I16" s="159">
        <v>0</v>
      </c>
      <c r="J16" s="159">
        <v>0</v>
      </c>
      <c r="K16" s="159">
        <v>0</v>
      </c>
      <c r="L16" s="159">
        <v>0</v>
      </c>
      <c r="M16" s="159">
        <v>0</v>
      </c>
      <c r="N16" s="159">
        <v>45400</v>
      </c>
      <c r="O16" s="159">
        <v>4700.0000000000455</v>
      </c>
      <c r="Q16" s="159">
        <v>0</v>
      </c>
    </row>
    <row r="17" spans="1:17">
      <c r="A17" s="159" t="s">
        <v>400</v>
      </c>
      <c r="B17" s="159" t="s">
        <v>31</v>
      </c>
      <c r="C17" s="159" t="s">
        <v>184</v>
      </c>
      <c r="D17" s="159">
        <v>1494300</v>
      </c>
      <c r="E17" s="159">
        <v>1370300</v>
      </c>
      <c r="F17" s="159">
        <v>21500</v>
      </c>
      <c r="G17" s="159">
        <v>0</v>
      </c>
      <c r="H17" s="159">
        <v>980</v>
      </c>
      <c r="I17" s="159">
        <v>2470</v>
      </c>
      <c r="J17" s="159">
        <v>200</v>
      </c>
      <c r="K17" s="159">
        <v>200</v>
      </c>
      <c r="L17" s="159">
        <v>50</v>
      </c>
      <c r="M17" s="159">
        <v>0</v>
      </c>
      <c r="N17" s="159">
        <v>88500</v>
      </c>
      <c r="O17" s="159">
        <v>10099.999999999909</v>
      </c>
      <c r="Q17" s="159">
        <v>3900</v>
      </c>
    </row>
    <row r="18" spans="1:17">
      <c r="A18" s="159" t="s">
        <v>301</v>
      </c>
      <c r="B18" s="159" t="s">
        <v>300</v>
      </c>
      <c r="C18" s="159" t="s">
        <v>289</v>
      </c>
      <c r="D18" s="159">
        <v>310820</v>
      </c>
      <c r="E18" s="159">
        <v>0</v>
      </c>
      <c r="F18" s="159">
        <v>310730</v>
      </c>
      <c r="G18" s="159">
        <v>0</v>
      </c>
      <c r="H18" s="159">
        <v>0</v>
      </c>
      <c r="I18" s="159">
        <v>0</v>
      </c>
      <c r="J18" s="159">
        <v>0</v>
      </c>
      <c r="K18" s="159">
        <v>0</v>
      </c>
      <c r="L18" s="159">
        <v>0</v>
      </c>
      <c r="M18" s="159">
        <v>0</v>
      </c>
      <c r="N18" s="159">
        <v>0</v>
      </c>
      <c r="O18" s="159">
        <v>90</v>
      </c>
      <c r="Q18" s="159">
        <v>0</v>
      </c>
    </row>
    <row r="19" spans="1:17">
      <c r="A19" s="159" t="s">
        <v>301</v>
      </c>
      <c r="B19" s="159" t="s">
        <v>300</v>
      </c>
      <c r="C19" s="159" t="s">
        <v>239</v>
      </c>
      <c r="D19" s="159">
        <v>731212</v>
      </c>
      <c r="E19" s="159">
        <v>0</v>
      </c>
      <c r="F19" s="159">
        <v>729900</v>
      </c>
      <c r="G19" s="159">
        <v>0</v>
      </c>
      <c r="H19" s="159">
        <v>800</v>
      </c>
      <c r="I19" s="159">
        <v>220</v>
      </c>
      <c r="J19" s="159">
        <v>80</v>
      </c>
      <c r="K19" s="159">
        <v>0</v>
      </c>
      <c r="L19" s="159">
        <v>0</v>
      </c>
      <c r="M19" s="159">
        <v>0</v>
      </c>
      <c r="N19" s="159">
        <v>0</v>
      </c>
      <c r="O19" s="159">
        <v>212</v>
      </c>
      <c r="Q19" s="159">
        <v>1100</v>
      </c>
    </row>
    <row r="20" spans="1:17">
      <c r="A20" s="159" t="s">
        <v>301</v>
      </c>
      <c r="B20" s="159" t="s">
        <v>300</v>
      </c>
      <c r="C20" s="159" t="s">
        <v>222</v>
      </c>
      <c r="D20" s="159">
        <v>426056</v>
      </c>
      <c r="E20" s="159">
        <v>0</v>
      </c>
      <c r="F20" s="159">
        <v>425932</v>
      </c>
      <c r="G20" s="159">
        <v>0</v>
      </c>
      <c r="H20" s="159">
        <v>0</v>
      </c>
      <c r="I20" s="159">
        <v>0</v>
      </c>
      <c r="J20" s="159">
        <v>0</v>
      </c>
      <c r="K20" s="159">
        <v>0</v>
      </c>
      <c r="L20" s="159">
        <v>0</v>
      </c>
      <c r="M20" s="159">
        <v>0</v>
      </c>
      <c r="N20" s="159">
        <v>0</v>
      </c>
      <c r="O20" s="159">
        <v>124</v>
      </c>
      <c r="Q20" s="159">
        <v>0</v>
      </c>
    </row>
    <row r="21" spans="1:17">
      <c r="A21" s="159" t="s">
        <v>301</v>
      </c>
      <c r="B21" s="159" t="s">
        <v>300</v>
      </c>
      <c r="C21" s="159" t="s">
        <v>240</v>
      </c>
      <c r="D21" s="159">
        <v>430546</v>
      </c>
      <c r="E21" s="159">
        <v>0</v>
      </c>
      <c r="F21" s="159">
        <v>430421</v>
      </c>
      <c r="G21" s="159">
        <v>0</v>
      </c>
      <c r="H21" s="159">
        <v>0</v>
      </c>
      <c r="I21" s="159">
        <v>0</v>
      </c>
      <c r="J21" s="159">
        <v>0</v>
      </c>
      <c r="K21" s="159">
        <v>0</v>
      </c>
      <c r="L21" s="159">
        <v>0</v>
      </c>
      <c r="M21" s="159">
        <v>0</v>
      </c>
      <c r="N21" s="159">
        <v>0</v>
      </c>
      <c r="O21" s="159">
        <v>125</v>
      </c>
      <c r="Q21" s="159">
        <v>0</v>
      </c>
    </row>
    <row r="22" spans="1:17">
      <c r="A22" s="159" t="s">
        <v>301</v>
      </c>
      <c r="B22" s="159" t="s">
        <v>300</v>
      </c>
      <c r="C22" s="159" t="s">
        <v>224</v>
      </c>
      <c r="D22" s="159">
        <v>267635</v>
      </c>
      <c r="E22" s="159">
        <v>0</v>
      </c>
      <c r="F22" s="159">
        <v>267557</v>
      </c>
      <c r="G22" s="159">
        <v>0</v>
      </c>
      <c r="H22" s="159">
        <v>0</v>
      </c>
      <c r="I22" s="159">
        <v>0</v>
      </c>
      <c r="J22" s="159">
        <v>0</v>
      </c>
      <c r="K22" s="159">
        <v>0</v>
      </c>
      <c r="L22" s="159">
        <v>0</v>
      </c>
      <c r="M22" s="159">
        <v>0</v>
      </c>
      <c r="N22" s="159">
        <v>0</v>
      </c>
      <c r="O22" s="159">
        <v>78</v>
      </c>
      <c r="Q22" s="159">
        <v>0</v>
      </c>
    </row>
    <row r="23" spans="1:17">
      <c r="A23" s="159" t="s">
        <v>301</v>
      </c>
      <c r="B23" s="159" t="s">
        <v>282</v>
      </c>
      <c r="C23" s="159" t="s">
        <v>234</v>
      </c>
      <c r="D23" s="159">
        <v>336010</v>
      </c>
      <c r="E23" s="159">
        <v>96270</v>
      </c>
      <c r="F23" s="159">
        <v>218500</v>
      </c>
      <c r="G23" s="159">
        <v>760</v>
      </c>
      <c r="H23" s="159">
        <v>10160</v>
      </c>
      <c r="I23" s="159">
        <v>9090</v>
      </c>
      <c r="J23" s="159">
        <v>1060</v>
      </c>
      <c r="K23" s="159">
        <v>0</v>
      </c>
      <c r="L23" s="159">
        <v>100</v>
      </c>
      <c r="M23" s="159">
        <v>0</v>
      </c>
      <c r="N23" s="159">
        <v>0</v>
      </c>
      <c r="O23" s="159">
        <v>70</v>
      </c>
      <c r="Q23" s="159">
        <v>21170</v>
      </c>
    </row>
    <row r="24" spans="1:17">
      <c r="A24" s="159" t="s">
        <v>301</v>
      </c>
      <c r="B24" s="159" t="s">
        <v>282</v>
      </c>
      <c r="C24" s="159" t="s">
        <v>355</v>
      </c>
      <c r="D24" s="159">
        <v>553568</v>
      </c>
      <c r="E24" s="159">
        <v>242524</v>
      </c>
      <c r="F24" s="159">
        <v>301444</v>
      </c>
      <c r="G24" s="159">
        <v>1520</v>
      </c>
      <c r="H24" s="159">
        <v>3270</v>
      </c>
      <c r="I24" s="159">
        <v>3120</v>
      </c>
      <c r="J24" s="159">
        <v>950</v>
      </c>
      <c r="K24" s="159">
        <v>500</v>
      </c>
      <c r="L24" s="159">
        <v>150</v>
      </c>
      <c r="M24" s="159">
        <v>0</v>
      </c>
      <c r="N24" s="159">
        <v>0</v>
      </c>
      <c r="O24" s="159">
        <v>90</v>
      </c>
      <c r="Q24" s="159">
        <v>9510</v>
      </c>
    </row>
    <row r="25" spans="1:17">
      <c r="A25" s="159" t="s">
        <v>301</v>
      </c>
      <c r="B25" s="159" t="s">
        <v>282</v>
      </c>
      <c r="C25" s="159" t="s">
        <v>232</v>
      </c>
      <c r="D25" s="159">
        <v>824920</v>
      </c>
      <c r="E25" s="159">
        <v>22748</v>
      </c>
      <c r="F25" s="159">
        <v>799879</v>
      </c>
      <c r="G25" s="159">
        <v>80</v>
      </c>
      <c r="H25" s="159">
        <v>1150</v>
      </c>
      <c r="I25" s="159">
        <v>830</v>
      </c>
      <c r="J25" s="159">
        <v>0</v>
      </c>
      <c r="K25" s="159">
        <v>0</v>
      </c>
      <c r="L25" s="159">
        <v>0</v>
      </c>
      <c r="M25" s="159">
        <v>0</v>
      </c>
      <c r="N25" s="159">
        <v>0</v>
      </c>
      <c r="O25" s="159">
        <v>233</v>
      </c>
      <c r="Q25" s="159">
        <v>2060</v>
      </c>
    </row>
    <row r="26" spans="1:17">
      <c r="A26" s="159" t="s">
        <v>301</v>
      </c>
      <c r="B26" s="159" t="s">
        <v>282</v>
      </c>
      <c r="C26" s="159" t="s">
        <v>235</v>
      </c>
      <c r="D26" s="159">
        <v>349635</v>
      </c>
      <c r="E26" s="159">
        <v>3760</v>
      </c>
      <c r="F26" s="159">
        <v>344885</v>
      </c>
      <c r="G26" s="159">
        <v>0</v>
      </c>
      <c r="H26" s="159">
        <v>200</v>
      </c>
      <c r="I26" s="159">
        <v>690</v>
      </c>
      <c r="J26" s="159">
        <v>0</v>
      </c>
      <c r="K26" s="159">
        <v>0</v>
      </c>
      <c r="L26" s="159">
        <v>0</v>
      </c>
      <c r="M26" s="159">
        <v>0</v>
      </c>
      <c r="N26" s="159">
        <v>0</v>
      </c>
      <c r="O26" s="159">
        <v>100</v>
      </c>
      <c r="Q26" s="159">
        <v>890</v>
      </c>
    </row>
    <row r="27" spans="1:17">
      <c r="A27" s="159" t="s">
        <v>301</v>
      </c>
      <c r="B27" s="159" t="s">
        <v>282</v>
      </c>
      <c r="C27" s="159" t="s">
        <v>287</v>
      </c>
      <c r="D27" s="159">
        <v>62205</v>
      </c>
      <c r="E27" s="159">
        <v>7916</v>
      </c>
      <c r="F27" s="159">
        <v>53723</v>
      </c>
      <c r="G27" s="159">
        <v>0</v>
      </c>
      <c r="H27" s="159">
        <v>330</v>
      </c>
      <c r="I27" s="159">
        <v>170</v>
      </c>
      <c r="J27" s="159">
        <v>0</v>
      </c>
      <c r="K27" s="159">
        <v>0</v>
      </c>
      <c r="L27" s="159">
        <v>50</v>
      </c>
      <c r="M27" s="159">
        <v>0</v>
      </c>
      <c r="N27" s="159">
        <v>0</v>
      </c>
      <c r="O27" s="159">
        <v>16</v>
      </c>
      <c r="Q27" s="159">
        <v>550</v>
      </c>
    </row>
    <row r="28" spans="1:17">
      <c r="A28" s="159" t="s">
        <v>301</v>
      </c>
      <c r="B28" s="159" t="s">
        <v>282</v>
      </c>
      <c r="C28" s="159" t="s">
        <v>236</v>
      </c>
      <c r="D28" s="159">
        <v>445864</v>
      </c>
      <c r="E28" s="159">
        <v>22292</v>
      </c>
      <c r="F28" s="159">
        <v>422379</v>
      </c>
      <c r="G28" s="159">
        <v>0</v>
      </c>
      <c r="H28" s="159">
        <v>610</v>
      </c>
      <c r="I28" s="159">
        <v>250</v>
      </c>
      <c r="J28" s="159">
        <v>210</v>
      </c>
      <c r="K28" s="159">
        <v>0</v>
      </c>
      <c r="L28" s="159">
        <v>0</v>
      </c>
      <c r="M28" s="159">
        <v>0</v>
      </c>
      <c r="N28" s="159">
        <v>0</v>
      </c>
      <c r="O28" s="159">
        <v>123</v>
      </c>
      <c r="Q28" s="159">
        <v>1070</v>
      </c>
    </row>
    <row r="29" spans="1:17">
      <c r="A29" s="159" t="s">
        <v>301</v>
      </c>
      <c r="B29" s="159" t="s">
        <v>282</v>
      </c>
      <c r="C29" s="159" t="s">
        <v>283</v>
      </c>
      <c r="D29" s="159">
        <v>165671</v>
      </c>
      <c r="E29" s="159">
        <v>41339</v>
      </c>
      <c r="F29" s="159">
        <v>124296</v>
      </c>
      <c r="G29" s="159">
        <v>0</v>
      </c>
      <c r="H29" s="159">
        <v>0</v>
      </c>
      <c r="I29" s="159">
        <v>0</v>
      </c>
      <c r="J29" s="159">
        <v>0</v>
      </c>
      <c r="K29" s="159">
        <v>0</v>
      </c>
      <c r="L29" s="159">
        <v>0</v>
      </c>
      <c r="M29" s="159">
        <v>0</v>
      </c>
      <c r="N29" s="159">
        <v>0</v>
      </c>
      <c r="O29" s="159">
        <v>36</v>
      </c>
      <c r="Q29" s="159">
        <v>0</v>
      </c>
    </row>
    <row r="30" spans="1:17">
      <c r="A30" s="159" t="s">
        <v>301</v>
      </c>
      <c r="B30" s="159" t="s">
        <v>282</v>
      </c>
      <c r="C30" s="159" t="s">
        <v>386</v>
      </c>
      <c r="D30" s="159">
        <v>258520</v>
      </c>
      <c r="E30" s="159">
        <v>87500</v>
      </c>
      <c r="F30" s="159">
        <v>169260</v>
      </c>
      <c r="G30" s="159">
        <v>210</v>
      </c>
      <c r="H30" s="159">
        <v>710</v>
      </c>
      <c r="I30" s="159">
        <v>650</v>
      </c>
      <c r="J30" s="159">
        <v>140</v>
      </c>
      <c r="K30" s="159">
        <v>0</v>
      </c>
      <c r="L30" s="159">
        <v>0</v>
      </c>
      <c r="M30" s="159">
        <v>0</v>
      </c>
      <c r="N30" s="159">
        <v>0</v>
      </c>
      <c r="O30" s="159">
        <v>50</v>
      </c>
      <c r="Q30" s="159">
        <v>1710</v>
      </c>
    </row>
    <row r="31" spans="1:17">
      <c r="A31" s="159" t="s">
        <v>301</v>
      </c>
      <c r="B31" s="159" t="s">
        <v>282</v>
      </c>
      <c r="C31" s="159" t="s">
        <v>284</v>
      </c>
      <c r="D31" s="159">
        <v>507390</v>
      </c>
      <c r="E31" s="159">
        <v>144788</v>
      </c>
      <c r="F31" s="159">
        <v>346967</v>
      </c>
      <c r="G31" s="159">
        <v>680</v>
      </c>
      <c r="H31" s="159">
        <v>10400</v>
      </c>
      <c r="I31" s="159">
        <v>3880</v>
      </c>
      <c r="J31" s="159">
        <v>470</v>
      </c>
      <c r="K31" s="159">
        <v>0</v>
      </c>
      <c r="L31" s="159">
        <v>100</v>
      </c>
      <c r="M31" s="159">
        <v>0</v>
      </c>
      <c r="N31" s="159">
        <v>0</v>
      </c>
      <c r="O31" s="159">
        <v>105</v>
      </c>
      <c r="Q31" s="159">
        <v>15530</v>
      </c>
    </row>
    <row r="32" spans="1:17">
      <c r="A32" s="159" t="s">
        <v>301</v>
      </c>
      <c r="B32" s="159" t="s">
        <v>282</v>
      </c>
      <c r="C32" s="159" t="s">
        <v>210</v>
      </c>
      <c r="D32" s="159">
        <v>134640</v>
      </c>
      <c r="E32" s="159">
        <v>50640</v>
      </c>
      <c r="F32" s="159">
        <v>83976</v>
      </c>
      <c r="G32" s="159">
        <v>0</v>
      </c>
      <c r="H32" s="159">
        <v>0</v>
      </c>
      <c r="I32" s="159">
        <v>0</v>
      </c>
      <c r="J32" s="159">
        <v>0</v>
      </c>
      <c r="K32" s="159">
        <v>0</v>
      </c>
      <c r="L32" s="159">
        <v>0</v>
      </c>
      <c r="M32" s="159">
        <v>0</v>
      </c>
      <c r="N32" s="159">
        <v>0</v>
      </c>
      <c r="O32" s="159">
        <v>24</v>
      </c>
      <c r="Q32" s="159">
        <v>0</v>
      </c>
    </row>
    <row r="33" spans="1:17">
      <c r="A33" s="159" t="s">
        <v>301</v>
      </c>
      <c r="B33" s="159" t="s">
        <v>282</v>
      </c>
      <c r="C33" s="159" t="s">
        <v>288</v>
      </c>
      <c r="D33" s="159">
        <v>69997</v>
      </c>
      <c r="E33" s="159">
        <v>2657</v>
      </c>
      <c r="F33" s="159">
        <v>67320</v>
      </c>
      <c r="G33" s="159">
        <v>0</v>
      </c>
      <c r="H33" s="159">
        <v>0</v>
      </c>
      <c r="I33" s="159">
        <v>0</v>
      </c>
      <c r="J33" s="159">
        <v>0</v>
      </c>
      <c r="K33" s="159">
        <v>0</v>
      </c>
      <c r="L33" s="159">
        <v>0</v>
      </c>
      <c r="M33" s="159">
        <v>0</v>
      </c>
      <c r="N33" s="159">
        <v>0</v>
      </c>
      <c r="O33" s="159">
        <v>20</v>
      </c>
      <c r="Q33" s="159">
        <v>0</v>
      </c>
    </row>
    <row r="34" spans="1:17">
      <c r="A34" s="159" t="s">
        <v>301</v>
      </c>
      <c r="B34" s="159" t="s">
        <v>282</v>
      </c>
      <c r="C34" s="159" t="s">
        <v>214</v>
      </c>
      <c r="D34" s="159">
        <v>207074</v>
      </c>
      <c r="E34" s="159">
        <v>4673</v>
      </c>
      <c r="F34" s="159">
        <v>202172</v>
      </c>
      <c r="G34" s="159">
        <v>0</v>
      </c>
      <c r="H34" s="159">
        <v>170</v>
      </c>
      <c r="I34" s="159">
        <v>0</v>
      </c>
      <c r="J34" s="159">
        <v>0</v>
      </c>
      <c r="K34" s="159">
        <v>0</v>
      </c>
      <c r="L34" s="159">
        <v>0</v>
      </c>
      <c r="M34" s="159">
        <v>0</v>
      </c>
      <c r="N34" s="159">
        <v>0</v>
      </c>
      <c r="O34" s="159">
        <v>59</v>
      </c>
      <c r="Q34" s="159">
        <v>170</v>
      </c>
    </row>
  </sheetData>
  <sortState xmlns:xlrd2="http://schemas.microsoft.com/office/spreadsheetml/2017/richdata2" ref="A2:O34">
    <sortCondition ref="A31:A34"/>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D636-7233-406C-8F4E-CAE01880D9D9}">
  <dimension ref="A1:M46"/>
  <sheetViews>
    <sheetView tabSelected="1" workbookViewId="0">
      <selection activeCell="B23" sqref="B23"/>
    </sheetView>
  </sheetViews>
  <sheetFormatPr defaultRowHeight="14.4"/>
  <cols>
    <col min="1" max="16384" width="8.6640625" style="159"/>
  </cols>
  <sheetData>
    <row r="1" spans="1:13">
      <c r="A1" s="159" t="s">
        <v>281</v>
      </c>
      <c r="B1" s="159" t="s">
        <v>382</v>
      </c>
      <c r="C1" s="159" t="s">
        <v>383</v>
      </c>
      <c r="E1" s="159" t="s">
        <v>281</v>
      </c>
      <c r="F1" s="159" t="s">
        <v>378</v>
      </c>
      <c r="G1" s="159" t="s">
        <v>379</v>
      </c>
      <c r="H1" s="159" t="s">
        <v>380</v>
      </c>
    </row>
    <row r="2" spans="1:13">
      <c r="A2" s="159" t="s">
        <v>234</v>
      </c>
      <c r="B2" s="159">
        <v>239740</v>
      </c>
      <c r="C2" s="159">
        <v>93770</v>
      </c>
      <c r="E2" s="159" t="s">
        <v>235</v>
      </c>
      <c r="F2" s="159">
        <v>1.1000000000000001</v>
      </c>
      <c r="G2" s="159">
        <v>342396</v>
      </c>
      <c r="H2" s="159">
        <v>3722</v>
      </c>
      <c r="J2" s="159">
        <f t="shared" ref="J2:J13" si="0">B2/G2</f>
        <v>0.70018341335763268</v>
      </c>
      <c r="L2" s="159">
        <f>J2*H2</f>
        <v>2606.0826645171087</v>
      </c>
      <c r="M2" s="159">
        <f>ROUND(L2,0)</f>
        <v>2606</v>
      </c>
    </row>
    <row r="3" spans="1:13">
      <c r="A3" s="159" t="s">
        <v>289</v>
      </c>
      <c r="B3" s="159">
        <v>310820</v>
      </c>
      <c r="C3" s="159">
        <v>0</v>
      </c>
      <c r="E3" s="159" t="s">
        <v>212</v>
      </c>
      <c r="F3" s="159">
        <v>3.9</v>
      </c>
      <c r="G3" s="159">
        <v>66628</v>
      </c>
      <c r="H3" s="159">
        <v>2629</v>
      </c>
      <c r="J3" s="159">
        <f t="shared" si="0"/>
        <v>4.6650057033079184</v>
      </c>
      <c r="L3" s="159">
        <f t="shared" ref="L3:L13" si="1">J3*H3</f>
        <v>12264.299993996518</v>
      </c>
      <c r="M3" s="159">
        <f t="shared" ref="M3:M15" si="2">ROUND(L3,0)</f>
        <v>12264</v>
      </c>
    </row>
    <row r="4" spans="1:13">
      <c r="A4" s="159" t="s">
        <v>355</v>
      </c>
      <c r="B4" s="159">
        <v>311044</v>
      </c>
      <c r="C4" s="159">
        <v>242524</v>
      </c>
      <c r="E4" s="159" t="s">
        <v>214</v>
      </c>
      <c r="F4" s="159">
        <v>2.2999999999999998</v>
      </c>
      <c r="G4" s="159">
        <v>200629</v>
      </c>
      <c r="H4" s="159">
        <v>4632</v>
      </c>
      <c r="J4" s="159">
        <f t="shared" si="0"/>
        <v>1.5503441675929204</v>
      </c>
      <c r="L4" s="159">
        <f t="shared" si="1"/>
        <v>7181.1941842904071</v>
      </c>
      <c r="M4" s="159">
        <f t="shared" si="2"/>
        <v>7181</v>
      </c>
    </row>
    <row r="5" spans="1:13">
      <c r="A5" s="159" t="s">
        <v>239</v>
      </c>
      <c r="B5" s="159">
        <v>731212</v>
      </c>
      <c r="C5" s="159">
        <v>0</v>
      </c>
      <c r="E5" s="159" t="s">
        <v>236</v>
      </c>
      <c r="F5" s="159">
        <v>5.3</v>
      </c>
      <c r="G5" s="159">
        <v>419589</v>
      </c>
      <c r="H5" s="159">
        <v>22082</v>
      </c>
      <c r="J5" s="159">
        <f t="shared" si="0"/>
        <v>1.7426862953985924</v>
      </c>
      <c r="L5" s="159">
        <f t="shared" si="1"/>
        <v>38481.99877499172</v>
      </c>
      <c r="M5" s="159">
        <f t="shared" si="2"/>
        <v>38482</v>
      </c>
    </row>
    <row r="6" spans="1:13">
      <c r="A6" s="159" t="s">
        <v>232</v>
      </c>
      <c r="B6" s="159">
        <v>802172</v>
      </c>
      <c r="C6" s="159">
        <v>22157</v>
      </c>
      <c r="E6" s="159" t="s">
        <v>283</v>
      </c>
      <c r="F6" s="159">
        <v>33.200000000000003</v>
      </c>
      <c r="G6" s="159">
        <v>123002</v>
      </c>
      <c r="H6" s="159">
        <v>40897</v>
      </c>
      <c r="J6" s="159">
        <f t="shared" si="0"/>
        <v>6.5216175346742329</v>
      </c>
      <c r="L6" s="159">
        <f t="shared" si="1"/>
        <v>266714.59231557208</v>
      </c>
      <c r="M6" s="159">
        <f t="shared" si="2"/>
        <v>266715</v>
      </c>
    </row>
    <row r="7" spans="1:13">
      <c r="A7" s="159" t="s">
        <v>235</v>
      </c>
      <c r="B7" s="159">
        <v>345875</v>
      </c>
      <c r="C7" s="159">
        <v>3662</v>
      </c>
      <c r="E7" s="159" t="s">
        <v>210</v>
      </c>
      <c r="F7" s="159">
        <v>60.3</v>
      </c>
      <c r="G7" s="159">
        <v>83050</v>
      </c>
      <c r="H7" s="159">
        <v>50067</v>
      </c>
      <c r="J7" s="159">
        <f t="shared" si="0"/>
        <v>4.1646598434677902</v>
      </c>
      <c r="L7" s="159">
        <f t="shared" si="1"/>
        <v>208512.02438290184</v>
      </c>
      <c r="M7" s="159">
        <f t="shared" si="2"/>
        <v>208512</v>
      </c>
    </row>
    <row r="8" spans="1:13">
      <c r="A8" s="159" t="s">
        <v>287</v>
      </c>
      <c r="B8" s="159">
        <v>54289</v>
      </c>
      <c r="C8" s="159">
        <v>7711</v>
      </c>
      <c r="E8" s="159" t="s">
        <v>284</v>
      </c>
      <c r="F8" s="159">
        <v>39.9</v>
      </c>
      <c r="G8" s="159">
        <v>358902</v>
      </c>
      <c r="H8" s="159">
        <v>143311</v>
      </c>
      <c r="J8" s="159">
        <f t="shared" si="0"/>
        <v>0.15126413338460082</v>
      </c>
      <c r="L8" s="159">
        <f t="shared" si="1"/>
        <v>21677.81421948053</v>
      </c>
      <c r="M8" s="159">
        <f t="shared" si="2"/>
        <v>21678</v>
      </c>
    </row>
    <row r="9" spans="1:13">
      <c r="A9" s="159" t="s">
        <v>222</v>
      </c>
      <c r="B9" s="159">
        <v>426056</v>
      </c>
      <c r="C9" s="159">
        <v>0</v>
      </c>
      <c r="E9" s="159" t="s">
        <v>381</v>
      </c>
      <c r="F9" s="159">
        <v>14.6</v>
      </c>
      <c r="G9" s="159">
        <v>53802</v>
      </c>
      <c r="H9" s="159">
        <v>7845</v>
      </c>
      <c r="J9" s="159">
        <f t="shared" si="0"/>
        <v>7.9189621203672722</v>
      </c>
      <c r="L9" s="159">
        <f t="shared" si="1"/>
        <v>62124.257834281249</v>
      </c>
      <c r="M9" s="159">
        <f t="shared" si="2"/>
        <v>62124</v>
      </c>
    </row>
    <row r="10" spans="1:13">
      <c r="A10" s="159" t="s">
        <v>236</v>
      </c>
      <c r="B10" s="159">
        <v>423572</v>
      </c>
      <c r="C10" s="159">
        <v>21713</v>
      </c>
      <c r="E10" s="159" t="s">
        <v>347</v>
      </c>
      <c r="F10" s="159">
        <v>51.2</v>
      </c>
      <c r="G10" s="159">
        <v>169205</v>
      </c>
      <c r="H10" s="159">
        <v>86572</v>
      </c>
      <c r="J10" s="159">
        <f t="shared" si="0"/>
        <v>2.5033066398747081</v>
      </c>
      <c r="L10" s="159">
        <f>H10*J16</f>
        <v>87500.434235106906</v>
      </c>
      <c r="M10" s="159">
        <f t="shared" si="2"/>
        <v>87500</v>
      </c>
    </row>
    <row r="11" spans="1:13">
      <c r="A11" s="159" t="s">
        <v>240</v>
      </c>
      <c r="B11" s="159">
        <v>430546</v>
      </c>
      <c r="C11" s="159">
        <v>0</v>
      </c>
      <c r="E11" s="159" t="s">
        <v>346</v>
      </c>
      <c r="F11" s="159">
        <v>78</v>
      </c>
      <c r="G11" s="159">
        <v>307744</v>
      </c>
      <c r="H11" s="159">
        <v>239951</v>
      </c>
      <c r="J11" s="159">
        <f t="shared" si="0"/>
        <v>1.3990394613704897</v>
      </c>
      <c r="L11" s="159">
        <f>H11*J16</f>
        <v>242524.33460181279</v>
      </c>
      <c r="M11" s="159">
        <f t="shared" si="2"/>
        <v>242524</v>
      </c>
    </row>
    <row r="12" spans="1:13">
      <c r="A12" s="159" t="s">
        <v>283</v>
      </c>
      <c r="B12" s="159">
        <v>124332</v>
      </c>
      <c r="C12" s="159">
        <v>40266</v>
      </c>
      <c r="E12" s="159" t="s">
        <v>234</v>
      </c>
      <c r="F12" s="159">
        <v>40.200000000000003</v>
      </c>
      <c r="G12" s="159">
        <v>237271</v>
      </c>
      <c r="H12" s="159">
        <v>95279</v>
      </c>
      <c r="J12" s="159">
        <f t="shared" si="0"/>
        <v>0.52400841232177553</v>
      </c>
      <c r="L12" s="159">
        <f t="shared" si="1"/>
        <v>49926.997517606447</v>
      </c>
      <c r="M12" s="159">
        <f t="shared" si="2"/>
        <v>49927</v>
      </c>
    </row>
    <row r="13" spans="1:13">
      <c r="A13" s="159" t="s">
        <v>386</v>
      </c>
      <c r="B13" s="159">
        <v>171020</v>
      </c>
      <c r="C13" s="159">
        <v>85228</v>
      </c>
      <c r="E13" s="159" t="s">
        <v>232</v>
      </c>
      <c r="F13" s="159">
        <v>2.8</v>
      </c>
      <c r="G13" s="159">
        <v>792200</v>
      </c>
      <c r="H13" s="159">
        <v>22465</v>
      </c>
      <c r="J13" s="159">
        <f t="shared" si="0"/>
        <v>0.21587982832618025</v>
      </c>
      <c r="L13" s="159">
        <f t="shared" si="1"/>
        <v>4849.7403433476393</v>
      </c>
      <c r="M13" s="159">
        <f t="shared" si="2"/>
        <v>4850</v>
      </c>
    </row>
    <row r="14" spans="1:13">
      <c r="A14" s="159" t="s">
        <v>224</v>
      </c>
      <c r="B14" s="159">
        <v>267635</v>
      </c>
      <c r="C14" s="159">
        <v>0</v>
      </c>
      <c r="L14" s="159">
        <v>171019.62499135127</v>
      </c>
      <c r="M14" s="159">
        <f t="shared" si="2"/>
        <v>171020</v>
      </c>
    </row>
    <row r="15" spans="1:13">
      <c r="A15" s="159" t="s">
        <v>284</v>
      </c>
      <c r="B15" s="159">
        <v>362602</v>
      </c>
      <c r="C15" s="159">
        <v>141028</v>
      </c>
      <c r="G15" s="159">
        <f>H15*E21</f>
        <v>171019.62499135127</v>
      </c>
      <c r="H15" s="159">
        <f>G10/J15</f>
        <v>0.35476539420357311</v>
      </c>
      <c r="J15" s="159">
        <f>G10+G11</f>
        <v>476949</v>
      </c>
      <c r="L15" s="159">
        <v>311044.37500864873</v>
      </c>
      <c r="M15" s="159">
        <f t="shared" si="2"/>
        <v>311044</v>
      </c>
    </row>
    <row r="16" spans="1:13">
      <c r="A16" s="159" t="s">
        <v>210</v>
      </c>
      <c r="B16" s="159">
        <v>84000</v>
      </c>
      <c r="C16" s="159">
        <v>49325</v>
      </c>
      <c r="G16" s="159">
        <f>H16*E22</f>
        <v>311044.37500864873</v>
      </c>
      <c r="H16" s="159">
        <f>G11/J15</f>
        <v>0.64523460579642689</v>
      </c>
      <c r="J16" s="159">
        <f>E21/J15</f>
        <v>1.0107244170760397</v>
      </c>
    </row>
    <row r="17" spans="1:6">
      <c r="A17" s="159" t="s">
        <v>288</v>
      </c>
      <c r="B17" s="159">
        <v>67340</v>
      </c>
      <c r="C17" s="159">
        <v>2588</v>
      </c>
    </row>
    <row r="18" spans="1:6">
      <c r="A18" s="159" t="s">
        <v>214</v>
      </c>
      <c r="B18" s="159">
        <v>202401</v>
      </c>
      <c r="C18" s="159">
        <v>4552</v>
      </c>
    </row>
    <row r="21" spans="1:6">
      <c r="E21" s="159">
        <v>482064</v>
      </c>
      <c r="F21" s="159">
        <v>492340</v>
      </c>
    </row>
    <row r="22" spans="1:6">
      <c r="E22" s="159">
        <v>482064</v>
      </c>
    </row>
    <row r="26" spans="1:6">
      <c r="A26" s="163" t="s">
        <v>401</v>
      </c>
    </row>
    <row r="27" spans="1:6">
      <c r="A27" s="159" t="s">
        <v>281</v>
      </c>
      <c r="B27" s="159" t="s">
        <v>382</v>
      </c>
      <c r="C27" s="159" t="s">
        <v>383</v>
      </c>
    </row>
    <row r="28" spans="1:6">
      <c r="A28" s="159" t="s">
        <v>235</v>
      </c>
      <c r="B28" s="159">
        <v>345875</v>
      </c>
      <c r="C28" s="159">
        <v>3760</v>
      </c>
      <c r="D28" s="159">
        <f>C28*$D$46</f>
        <v>3662.3653739400679</v>
      </c>
      <c r="E28" s="159">
        <v>3662</v>
      </c>
    </row>
    <row r="29" spans="1:6">
      <c r="A29" s="159" t="s">
        <v>288</v>
      </c>
      <c r="B29" s="159">
        <v>67340</v>
      </c>
      <c r="C29" s="159">
        <v>2657</v>
      </c>
      <c r="D29" s="159">
        <f t="shared" ref="D29:D39" si="3">C29*$D$46</f>
        <v>2588.0065953613725</v>
      </c>
      <c r="E29" s="159">
        <v>2588</v>
      </c>
    </row>
    <row r="30" spans="1:6">
      <c r="A30" s="159" t="s">
        <v>214</v>
      </c>
      <c r="B30" s="159">
        <v>202401</v>
      </c>
      <c r="C30" s="159">
        <v>4673</v>
      </c>
      <c r="D30" s="159">
        <f t="shared" si="3"/>
        <v>4551.6578171334941</v>
      </c>
      <c r="E30" s="159">
        <v>4552</v>
      </c>
    </row>
    <row r="31" spans="1:6">
      <c r="A31" s="159" t="s">
        <v>236</v>
      </c>
      <c r="B31" s="159">
        <v>423572</v>
      </c>
      <c r="C31" s="159">
        <v>22292</v>
      </c>
      <c r="D31" s="159">
        <f t="shared" si="3"/>
        <v>21713.151307412765</v>
      </c>
      <c r="E31" s="159">
        <v>21713</v>
      </c>
    </row>
    <row r="32" spans="1:6">
      <c r="A32" s="159" t="s">
        <v>283</v>
      </c>
      <c r="B32" s="159">
        <v>124332</v>
      </c>
      <c r="C32" s="159">
        <v>41339</v>
      </c>
      <c r="D32" s="159">
        <f t="shared" si="3"/>
        <v>40265.564413113956</v>
      </c>
      <c r="E32" s="159">
        <v>40266</v>
      </c>
    </row>
    <row r="33" spans="1:5">
      <c r="A33" s="159" t="s">
        <v>210</v>
      </c>
      <c r="B33" s="159">
        <v>84000</v>
      </c>
      <c r="C33" s="159">
        <v>50640</v>
      </c>
      <c r="D33" s="159">
        <f t="shared" si="3"/>
        <v>49325.048546894956</v>
      </c>
      <c r="E33" s="159">
        <v>49325</v>
      </c>
    </row>
    <row r="34" spans="1:5">
      <c r="A34" s="159" t="s">
        <v>284</v>
      </c>
      <c r="B34" s="159">
        <v>362602</v>
      </c>
      <c r="C34" s="159">
        <v>144788</v>
      </c>
      <c r="D34" s="159">
        <f t="shared" si="3"/>
        <v>141028.33983032833</v>
      </c>
      <c r="E34" s="159">
        <v>141028</v>
      </c>
    </row>
    <row r="35" spans="1:5">
      <c r="A35" s="159" t="s">
        <v>287</v>
      </c>
      <c r="B35" s="159">
        <v>54289</v>
      </c>
      <c r="C35" s="159">
        <v>7916</v>
      </c>
      <c r="D35" s="159">
        <f t="shared" si="3"/>
        <v>7710.4479521568028</v>
      </c>
      <c r="E35" s="159">
        <v>7711</v>
      </c>
    </row>
    <row r="36" spans="1:5">
      <c r="A36" s="159" t="s">
        <v>176</v>
      </c>
      <c r="B36" s="159">
        <v>171020</v>
      </c>
      <c r="C36" s="159">
        <v>87500</v>
      </c>
      <c r="D36" s="159">
        <f t="shared" si="3"/>
        <v>85227.917611637225</v>
      </c>
      <c r="E36" s="159">
        <v>85228</v>
      </c>
    </row>
    <row r="37" spans="1:5">
      <c r="A37" s="159" t="s">
        <v>355</v>
      </c>
      <c r="B37" s="159">
        <v>311044</v>
      </c>
      <c r="D37" s="159">
        <f t="shared" si="3"/>
        <v>0</v>
      </c>
      <c r="E37" s="159">
        <v>0</v>
      </c>
    </row>
    <row r="38" spans="1:5">
      <c r="A38" s="159" t="s">
        <v>234</v>
      </c>
      <c r="B38" s="159">
        <v>239740</v>
      </c>
      <c r="C38" s="159">
        <v>96270</v>
      </c>
      <c r="D38" s="159">
        <f t="shared" si="3"/>
        <v>93770.190039683599</v>
      </c>
      <c r="E38" s="159">
        <v>93770</v>
      </c>
    </row>
    <row r="39" spans="1:5">
      <c r="A39" s="159" t="s">
        <v>232</v>
      </c>
      <c r="B39" s="159">
        <v>802172</v>
      </c>
      <c r="C39" s="159">
        <v>22748</v>
      </c>
      <c r="D39" s="159">
        <f t="shared" si="3"/>
        <v>22157.310512337412</v>
      </c>
      <c r="E39" s="159">
        <v>22157</v>
      </c>
    </row>
    <row r="40" spans="1:5">
      <c r="A40" s="159" t="s">
        <v>240</v>
      </c>
      <c r="B40" s="159">
        <v>430546</v>
      </c>
      <c r="C40" s="159">
        <v>0</v>
      </c>
    </row>
    <row r="41" spans="1:5">
      <c r="A41" s="159" t="s">
        <v>239</v>
      </c>
      <c r="B41" s="159">
        <v>731212</v>
      </c>
      <c r="C41" s="159">
        <v>0</v>
      </c>
    </row>
    <row r="42" spans="1:5">
      <c r="A42" s="159" t="s">
        <v>289</v>
      </c>
      <c r="B42" s="159">
        <v>310820</v>
      </c>
      <c r="C42" s="159">
        <v>0</v>
      </c>
    </row>
    <row r="43" spans="1:5">
      <c r="A43" s="159" t="s">
        <v>222</v>
      </c>
      <c r="B43" s="159">
        <v>426056</v>
      </c>
      <c r="C43" s="159">
        <v>0</v>
      </c>
    </row>
    <row r="44" spans="1:5">
      <c r="A44" s="159" t="s">
        <v>224</v>
      </c>
      <c r="B44" s="159">
        <v>267635</v>
      </c>
      <c r="C44" s="159">
        <v>0</v>
      </c>
    </row>
    <row r="46" spans="1:5">
      <c r="C46" s="159">
        <f>SUM(C28:C39)</f>
        <v>484583</v>
      </c>
      <c r="D46" s="159">
        <f>E46/C46</f>
        <v>0.9740333441329968</v>
      </c>
      <c r="E46" s="159">
        <v>472000</v>
      </c>
    </row>
  </sheetData>
  <sortState xmlns:xlrd2="http://schemas.microsoft.com/office/spreadsheetml/2017/richdata2" ref="A2:C18">
    <sortCondition ref="A9:A18"/>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7268-1E5B-4DD4-8466-605B864B3A48}">
  <dimension ref="A1:F24"/>
  <sheetViews>
    <sheetView zoomScale="92" workbookViewId="0">
      <selection activeCell="F2" sqref="F2"/>
    </sheetView>
  </sheetViews>
  <sheetFormatPr defaultRowHeight="15.6"/>
  <cols>
    <col min="1" max="1" width="33.58203125" style="126" bestFit="1" customWidth="1"/>
    <col min="2" max="3" width="11.4140625" style="126" customWidth="1"/>
    <col min="4" max="4" width="11.33203125" style="126" customWidth="1"/>
    <col min="5" max="16384" width="8.6640625" style="126"/>
  </cols>
  <sheetData>
    <row r="1" spans="1:6">
      <c r="A1" s="126" t="s">
        <v>191</v>
      </c>
      <c r="B1" s="126" t="s">
        <v>243</v>
      </c>
      <c r="C1" s="126" t="s">
        <v>192</v>
      </c>
      <c r="D1" s="126" t="s">
        <v>193</v>
      </c>
    </row>
    <row r="2" spans="1:6">
      <c r="A2" s="144" t="s">
        <v>194</v>
      </c>
      <c r="B2" s="144" t="s">
        <v>232</v>
      </c>
      <c r="C2" s="144" t="s">
        <v>195</v>
      </c>
      <c r="D2" s="126">
        <v>822435</v>
      </c>
      <c r="F2" s="126" t="s">
        <v>228</v>
      </c>
    </row>
    <row r="3" spans="1:6">
      <c r="A3" s="144" t="s">
        <v>196</v>
      </c>
      <c r="B3" s="144" t="s">
        <v>176</v>
      </c>
      <c r="C3" s="144" t="s">
        <v>197</v>
      </c>
      <c r="D3" s="126">
        <v>492340</v>
      </c>
    </row>
    <row r="4" spans="1:6">
      <c r="A4" s="144" t="s">
        <v>198</v>
      </c>
      <c r="B4" s="144" t="s">
        <v>233</v>
      </c>
      <c r="C4" s="144" t="s">
        <v>199</v>
      </c>
      <c r="D4" s="126">
        <v>55268</v>
      </c>
      <c r="F4" s="126" t="s">
        <v>229</v>
      </c>
    </row>
    <row r="5" spans="1:6">
      <c r="A5" s="144" t="s">
        <v>200</v>
      </c>
      <c r="B5" s="144" t="s">
        <v>234</v>
      </c>
      <c r="C5" s="144" t="s">
        <v>201</v>
      </c>
      <c r="D5" s="126">
        <v>244704</v>
      </c>
    </row>
    <row r="6" spans="1:6">
      <c r="A6" s="144" t="s">
        <v>202</v>
      </c>
      <c r="B6" s="144" t="s">
        <v>235</v>
      </c>
      <c r="C6" s="144" t="s">
        <v>203</v>
      </c>
      <c r="D6" s="126">
        <v>352875</v>
      </c>
    </row>
    <row r="7" spans="1:6">
      <c r="A7" s="144" t="s">
        <v>204</v>
      </c>
      <c r="B7" s="144" t="s">
        <v>236</v>
      </c>
      <c r="C7" s="144" t="s">
        <v>205</v>
      </c>
      <c r="D7" s="126">
        <v>431584</v>
      </c>
    </row>
    <row r="8" spans="1:6">
      <c r="A8" s="144" t="s">
        <v>206</v>
      </c>
      <c r="B8" s="144" t="s">
        <v>206</v>
      </c>
      <c r="C8" s="144" t="s">
        <v>207</v>
      </c>
      <c r="D8" s="126">
        <v>127025</v>
      </c>
    </row>
    <row r="9" spans="1:6">
      <c r="A9" s="144" t="s">
        <v>208</v>
      </c>
      <c r="B9" s="144" t="s">
        <v>237</v>
      </c>
      <c r="C9" s="144" t="s">
        <v>209</v>
      </c>
      <c r="D9" s="126">
        <v>370030</v>
      </c>
    </row>
    <row r="10" spans="1:6">
      <c r="A10" s="144" t="s">
        <v>210</v>
      </c>
      <c r="B10" s="144" t="s">
        <v>210</v>
      </c>
      <c r="C10" s="144" t="s">
        <v>211</v>
      </c>
      <c r="D10" s="126">
        <v>85920</v>
      </c>
    </row>
    <row r="11" spans="1:6">
      <c r="A11" s="144" t="s">
        <v>212</v>
      </c>
      <c r="B11" s="144" t="s">
        <v>212</v>
      </c>
      <c r="C11" s="144" t="s">
        <v>213</v>
      </c>
      <c r="D11" s="126">
        <v>68779</v>
      </c>
    </row>
    <row r="12" spans="1:6">
      <c r="A12" s="144" t="s">
        <v>214</v>
      </c>
      <c r="B12" s="144" t="s">
        <v>214</v>
      </c>
      <c r="C12" s="144" t="s">
        <v>215</v>
      </c>
      <c r="D12" s="126">
        <v>205946</v>
      </c>
    </row>
    <row r="13" spans="1:6">
      <c r="A13" s="144" t="s">
        <v>216</v>
      </c>
      <c r="B13" s="144" t="s">
        <v>238</v>
      </c>
      <c r="C13" s="144" t="s">
        <v>217</v>
      </c>
      <c r="D13" s="126">
        <v>319208</v>
      </c>
    </row>
    <row r="14" spans="1:6">
      <c r="A14" s="144" t="s">
        <v>218</v>
      </c>
      <c r="B14" s="144" t="s">
        <v>239</v>
      </c>
      <c r="C14" s="144" t="s">
        <v>219</v>
      </c>
      <c r="D14" s="126">
        <v>749100</v>
      </c>
    </row>
    <row r="15" spans="1:6">
      <c r="A15" s="144" t="s">
        <v>220</v>
      </c>
      <c r="B15" s="144" t="s">
        <v>240</v>
      </c>
      <c r="C15" s="144" t="s">
        <v>221</v>
      </c>
      <c r="D15" s="126">
        <v>444412</v>
      </c>
    </row>
    <row r="16" spans="1:6">
      <c r="A16" s="144" t="s">
        <v>222</v>
      </c>
      <c r="B16" s="144" t="s">
        <v>241</v>
      </c>
      <c r="C16" s="144" t="s">
        <v>223</v>
      </c>
      <c r="D16" s="126">
        <v>438557</v>
      </c>
    </row>
    <row r="17" spans="1:4">
      <c r="A17" s="144" t="s">
        <v>224</v>
      </c>
      <c r="B17" s="144" t="s">
        <v>224</v>
      </c>
      <c r="C17" s="144" t="s">
        <v>225</v>
      </c>
      <c r="D17" s="126">
        <v>275267</v>
      </c>
    </row>
    <row r="20" spans="1:4">
      <c r="A20" s="145" t="s">
        <v>226</v>
      </c>
      <c r="B20" s="146"/>
      <c r="C20" s="146" t="s">
        <v>227</v>
      </c>
      <c r="D20" s="148">
        <v>5483450</v>
      </c>
    </row>
    <row r="23" spans="1:4">
      <c r="A23" s="145" t="s">
        <v>230</v>
      </c>
      <c r="B23" s="146"/>
      <c r="C23" s="147"/>
      <c r="D23" s="148">
        <v>317675</v>
      </c>
    </row>
    <row r="24" spans="1:4">
      <c r="A24" s="149" t="s">
        <v>231</v>
      </c>
      <c r="B24" s="152"/>
      <c r="C24" s="150"/>
      <c r="D24" s="151">
        <v>174665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DD20F-7D68-421D-89CE-7A253B999D9B}">
  <dimension ref="B2:B18"/>
  <sheetViews>
    <sheetView zoomScale="91" workbookViewId="0">
      <selection activeCell="B18" sqref="B18"/>
    </sheetView>
  </sheetViews>
  <sheetFormatPr defaultRowHeight="15.6"/>
  <cols>
    <col min="1" max="16384" width="8.6640625" style="126"/>
  </cols>
  <sheetData>
    <row r="2" spans="2:2">
      <c r="B2" s="126" t="s">
        <v>255</v>
      </c>
    </row>
    <row r="3" spans="2:2">
      <c r="B3" s="126" t="s">
        <v>256</v>
      </c>
    </row>
    <row r="5" spans="2:2">
      <c r="B5" s="126" t="s">
        <v>245</v>
      </c>
    </row>
    <row r="6" spans="2:2">
      <c r="B6" s="126" t="s">
        <v>244</v>
      </c>
    </row>
    <row r="8" spans="2:2">
      <c r="B8" s="126" t="s">
        <v>280</v>
      </c>
    </row>
    <row r="9" spans="2:2">
      <c r="B9" s="126" t="s">
        <v>279</v>
      </c>
    </row>
    <row r="11" spans="2:2">
      <c r="B11" s="126" t="s">
        <v>295</v>
      </c>
    </row>
    <row r="12" spans="2:2">
      <c r="B12" s="126" t="s">
        <v>296</v>
      </c>
    </row>
    <row r="14" spans="2:2">
      <c r="B14" s="126" t="s">
        <v>297</v>
      </c>
    </row>
    <row r="15" spans="2:2">
      <c r="B15" s="126" t="s">
        <v>298</v>
      </c>
    </row>
    <row r="17" spans="2:2">
      <c r="B17" s="126" t="s">
        <v>299</v>
      </c>
    </row>
    <row r="18" spans="2:2">
      <c r="B18" s="126" t="s">
        <v>285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A07F-42B2-44BC-998A-3C250C8FA2D7}">
  <dimension ref="A1:C20"/>
  <sheetViews>
    <sheetView workbookViewId="0">
      <selection activeCell="A12" sqref="A12"/>
    </sheetView>
  </sheetViews>
  <sheetFormatPr defaultRowHeight="15.6"/>
  <cols>
    <col min="1" max="16384" width="8.6640625" style="158"/>
  </cols>
  <sheetData>
    <row r="1" spans="1:3">
      <c r="A1" s="158" t="s">
        <v>281</v>
      </c>
      <c r="B1" s="158">
        <v>2021</v>
      </c>
      <c r="C1" s="158">
        <v>2023</v>
      </c>
    </row>
    <row r="2" spans="1:3">
      <c r="A2" s="158" t="s">
        <v>301</v>
      </c>
      <c r="B2" s="158">
        <v>5227193</v>
      </c>
      <c r="C2" s="158">
        <v>5483450</v>
      </c>
    </row>
    <row r="3" spans="1:3">
      <c r="A3" s="158" t="s">
        <v>282</v>
      </c>
      <c r="B3" s="158">
        <v>3120448</v>
      </c>
      <c r="C3" s="158">
        <v>3256906</v>
      </c>
    </row>
    <row r="4" spans="1:3">
      <c r="A4" s="158" t="s">
        <v>235</v>
      </c>
      <c r="B4" s="158">
        <v>338919</v>
      </c>
      <c r="C4" s="158">
        <v>352875</v>
      </c>
    </row>
    <row r="5" spans="1:3">
      <c r="A5" s="158" t="s">
        <v>288</v>
      </c>
      <c r="B5" s="158">
        <v>65915</v>
      </c>
      <c r="C5" s="158">
        <v>68779</v>
      </c>
    </row>
    <row r="6" spans="1:3">
      <c r="A6" s="158" t="s">
        <v>214</v>
      </c>
      <c r="B6" s="158">
        <v>198856</v>
      </c>
      <c r="C6" s="158">
        <v>205946</v>
      </c>
    </row>
    <row r="7" spans="1:3">
      <c r="A7" s="158" t="s">
        <v>236</v>
      </c>
      <c r="B7" s="158">
        <v>415606</v>
      </c>
      <c r="C7" s="158">
        <v>431584</v>
      </c>
    </row>
    <row r="8" spans="1:3">
      <c r="A8" s="158" t="s">
        <v>283</v>
      </c>
      <c r="B8" s="158">
        <v>121671</v>
      </c>
      <c r="C8" s="158">
        <v>127025</v>
      </c>
    </row>
    <row r="9" spans="1:3">
      <c r="A9" s="158" t="s">
        <v>210</v>
      </c>
      <c r="B9" s="158">
        <v>82099</v>
      </c>
      <c r="C9" s="158">
        <v>85920</v>
      </c>
    </row>
    <row r="10" spans="1:3">
      <c r="A10" s="158" t="s">
        <v>284</v>
      </c>
      <c r="B10" s="158">
        <v>355202</v>
      </c>
      <c r="C10" s="158">
        <v>370030</v>
      </c>
    </row>
    <row r="11" spans="1:3">
      <c r="A11" s="158" t="s">
        <v>287</v>
      </c>
      <c r="B11" s="158">
        <v>53317</v>
      </c>
      <c r="C11" s="158">
        <v>55268</v>
      </c>
    </row>
    <row r="12" spans="1:3">
      <c r="A12" s="158" t="s">
        <v>176</v>
      </c>
      <c r="B12" s="158">
        <v>471834</v>
      </c>
      <c r="C12" s="158">
        <v>492340</v>
      </c>
    </row>
    <row r="13" spans="1:3">
      <c r="A13" s="158" t="s">
        <v>234</v>
      </c>
      <c r="B13" s="158">
        <v>234802</v>
      </c>
      <c r="C13" s="158">
        <v>244704</v>
      </c>
    </row>
    <row r="14" spans="1:3">
      <c r="A14" s="158" t="s">
        <v>232</v>
      </c>
      <c r="B14" s="158">
        <v>782227</v>
      </c>
      <c r="C14" s="158">
        <v>822435</v>
      </c>
    </row>
    <row r="15" spans="1:3">
      <c r="A15" s="158" t="s">
        <v>300</v>
      </c>
      <c r="B15" s="158">
        <v>2106745</v>
      </c>
      <c r="C15" s="158">
        <v>2226544</v>
      </c>
    </row>
    <row r="16" spans="1:3">
      <c r="A16" s="158" t="s">
        <v>240</v>
      </c>
      <c r="B16" s="158">
        <v>416906</v>
      </c>
      <c r="C16" s="158">
        <v>444412</v>
      </c>
    </row>
    <row r="17" spans="1:3">
      <c r="A17" s="158" t="s">
        <v>239</v>
      </c>
      <c r="B17" s="158">
        <v>713488</v>
      </c>
      <c r="C17" s="158">
        <v>749100</v>
      </c>
    </row>
    <row r="18" spans="1:3">
      <c r="A18" s="158" t="s">
        <v>289</v>
      </c>
      <c r="B18" s="158">
        <v>302507</v>
      </c>
      <c r="C18" s="158">
        <v>319208</v>
      </c>
    </row>
    <row r="19" spans="1:3">
      <c r="A19" s="158" t="s">
        <v>222</v>
      </c>
      <c r="B19" s="158">
        <v>413727</v>
      </c>
      <c r="C19" s="158">
        <v>438557</v>
      </c>
    </row>
    <row r="20" spans="1:3">
      <c r="A20" s="158" t="s">
        <v>224</v>
      </c>
      <c r="B20" s="158">
        <v>260117</v>
      </c>
      <c r="C20" s="158">
        <v>275267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5340-441E-44C1-836E-3AD4BD33A0DF}">
  <dimension ref="A1:U59"/>
  <sheetViews>
    <sheetView topLeftCell="J29" zoomScale="91" workbookViewId="0">
      <selection activeCell="L43" sqref="L43:P44"/>
    </sheetView>
  </sheetViews>
  <sheetFormatPr defaultRowHeight="15.6"/>
  <cols>
    <col min="1" max="16384" width="8.6640625" style="126"/>
  </cols>
  <sheetData>
    <row r="1" spans="1:18">
      <c r="A1" s="129" t="s">
        <v>243</v>
      </c>
      <c r="B1" s="129" t="s">
        <v>242</v>
      </c>
      <c r="C1" s="129" t="s">
        <v>162</v>
      </c>
      <c r="D1" s="129" t="s">
        <v>159</v>
      </c>
      <c r="E1" s="129" t="s">
        <v>163</v>
      </c>
      <c r="F1" s="129"/>
    </row>
    <row r="2" spans="1:18">
      <c r="A2" s="144" t="s">
        <v>232</v>
      </c>
      <c r="B2" s="126">
        <v>802172</v>
      </c>
      <c r="C2" s="153">
        <f t="shared" ref="C2:C17" si="0">B2-(D2+E2)</f>
        <v>799875</v>
      </c>
      <c r="D2" s="129">
        <v>2064</v>
      </c>
      <c r="E2" s="126">
        <v>233</v>
      </c>
      <c r="F2" s="179">
        <f>D2/B2</f>
        <v>2.573014266267085E-3</v>
      </c>
      <c r="G2" s="126">
        <f>B2*$K$7</f>
        <v>232.62988000000001</v>
      </c>
      <c r="I2" s="129" t="s">
        <v>245</v>
      </c>
      <c r="K2" s="126">
        <v>-2017</v>
      </c>
    </row>
    <row r="3" spans="1:18">
      <c r="A3" s="144" t="s">
        <v>176</v>
      </c>
      <c r="B3" s="126">
        <v>482064</v>
      </c>
      <c r="C3" s="153">
        <f t="shared" si="0"/>
        <v>470709</v>
      </c>
      <c r="D3" s="163">
        <v>11215</v>
      </c>
      <c r="E3" s="126">
        <v>140</v>
      </c>
      <c r="F3" s="179">
        <f>D3/B3</f>
        <v>2.3264545786451592E-2</v>
      </c>
      <c r="G3" s="126">
        <f t="shared" ref="G3:G17" si="1">B3*$K$7</f>
        <v>139.79856000000001</v>
      </c>
      <c r="I3" s="126" t="s">
        <v>244</v>
      </c>
    </row>
    <row r="4" spans="1:18">
      <c r="A4" s="144" t="s">
        <v>287</v>
      </c>
      <c r="B4" s="126">
        <v>54289</v>
      </c>
      <c r="C4" s="153">
        <f t="shared" si="0"/>
        <v>53723</v>
      </c>
      <c r="D4" s="129">
        <v>550</v>
      </c>
      <c r="E4" s="126">
        <v>16</v>
      </c>
      <c r="F4" s="179">
        <f t="shared" ref="F4:F17" si="2">D4/B4</f>
        <v>1.013096575733574E-2</v>
      </c>
      <c r="G4" s="126">
        <f t="shared" si="1"/>
        <v>15.74381</v>
      </c>
    </row>
    <row r="5" spans="1:18">
      <c r="A5" s="144" t="s">
        <v>234</v>
      </c>
      <c r="B5" s="126">
        <v>239740</v>
      </c>
      <c r="C5" s="153">
        <f t="shared" si="0"/>
        <v>218502</v>
      </c>
      <c r="D5" s="126">
        <v>21168</v>
      </c>
      <c r="E5" s="126">
        <v>70</v>
      </c>
      <c r="F5" s="179">
        <f t="shared" si="2"/>
        <v>8.8295653624760162E-2</v>
      </c>
      <c r="G5" s="126">
        <f t="shared" si="1"/>
        <v>69.524600000000007</v>
      </c>
      <c r="I5" s="129" t="s">
        <v>246</v>
      </c>
      <c r="J5" s="126">
        <v>4615683</v>
      </c>
      <c r="K5" s="129">
        <v>0.98965000000000003</v>
      </c>
      <c r="L5" s="126">
        <f>K5*SUM(B2:B17)</f>
        <v>5299235.3103999998</v>
      </c>
      <c r="N5" s="159"/>
    </row>
    <row r="6" spans="1:18">
      <c r="A6" s="144" t="s">
        <v>235</v>
      </c>
      <c r="B6" s="126">
        <v>345875</v>
      </c>
      <c r="C6" s="153">
        <f t="shared" si="0"/>
        <v>344890</v>
      </c>
      <c r="D6" s="129">
        <v>885</v>
      </c>
      <c r="E6" s="126">
        <v>100</v>
      </c>
      <c r="F6" s="179">
        <f t="shared" si="2"/>
        <v>2.5587278641127577E-3</v>
      </c>
      <c r="G6" s="126">
        <f>B6*$K$7</f>
        <v>100.30374999999999</v>
      </c>
      <c r="I6" s="129" t="s">
        <v>248</v>
      </c>
      <c r="J6" s="126">
        <v>46850</v>
      </c>
      <c r="K6" s="129">
        <v>1.004E-2</v>
      </c>
      <c r="L6" s="126">
        <f>K6*SUM(B2:B17)</f>
        <v>53760.74624</v>
      </c>
    </row>
    <row r="7" spans="1:18">
      <c r="A7" s="144" t="s">
        <v>236</v>
      </c>
      <c r="B7" s="126">
        <v>423572</v>
      </c>
      <c r="C7" s="153">
        <f t="shared" si="0"/>
        <v>422366</v>
      </c>
      <c r="D7" s="129">
        <v>1083</v>
      </c>
      <c r="E7" s="126">
        <v>123</v>
      </c>
      <c r="F7" s="179">
        <f t="shared" si="2"/>
        <v>2.5568262302512914E-3</v>
      </c>
      <c r="G7" s="126">
        <f t="shared" si="1"/>
        <v>122.83588</v>
      </c>
      <c r="I7" s="129" t="s">
        <v>247</v>
      </c>
      <c r="J7" s="126">
        <v>1384</v>
      </c>
      <c r="K7" s="129">
        <v>2.9E-4</v>
      </c>
      <c r="L7" s="126">
        <f>K7*SUM(B2:B17)</f>
        <v>1552.85024</v>
      </c>
    </row>
    <row r="8" spans="1:18">
      <c r="A8" s="144" t="s">
        <v>283</v>
      </c>
      <c r="B8" s="126">
        <v>124332</v>
      </c>
      <c r="C8" s="153">
        <f t="shared" si="0"/>
        <v>124296</v>
      </c>
      <c r="D8" s="129">
        <v>0</v>
      </c>
      <c r="E8" s="126">
        <v>36</v>
      </c>
      <c r="F8" s="179">
        <f t="shared" si="2"/>
        <v>0</v>
      </c>
      <c r="G8" s="126">
        <f>B8*$K$7</f>
        <v>36.056280000000001</v>
      </c>
    </row>
    <row r="9" spans="1:18">
      <c r="A9" s="144" t="s">
        <v>284</v>
      </c>
      <c r="B9" s="126">
        <v>362602</v>
      </c>
      <c r="C9" s="153">
        <f t="shared" si="0"/>
        <v>346971</v>
      </c>
      <c r="D9" s="126">
        <v>15526</v>
      </c>
      <c r="E9" s="126">
        <v>105</v>
      </c>
      <c r="F9" s="179">
        <f t="shared" si="2"/>
        <v>4.2818296644806152E-2</v>
      </c>
      <c r="G9" s="126">
        <f t="shared" si="1"/>
        <v>105.15458</v>
      </c>
      <c r="J9" s="126">
        <f>SUM(J5:J8)</f>
        <v>4663917</v>
      </c>
      <c r="L9" s="126">
        <f>SUM(L5:L8)</f>
        <v>5354548.9068799997</v>
      </c>
      <c r="M9" s="126">
        <f>L9-B19</f>
        <v>-107.09312000032514</v>
      </c>
    </row>
    <row r="10" spans="1:18">
      <c r="A10" s="144" t="s">
        <v>210</v>
      </c>
      <c r="B10" s="126">
        <v>84000</v>
      </c>
      <c r="C10" s="153">
        <f t="shared" si="0"/>
        <v>83976</v>
      </c>
      <c r="D10" s="129">
        <v>0</v>
      </c>
      <c r="E10" s="126">
        <v>24</v>
      </c>
      <c r="F10" s="179">
        <f t="shared" si="2"/>
        <v>0</v>
      </c>
      <c r="G10" s="126">
        <f t="shared" si="1"/>
        <v>24.36</v>
      </c>
    </row>
    <row r="11" spans="1:18">
      <c r="A11" s="144" t="s">
        <v>288</v>
      </c>
      <c r="B11" s="126">
        <v>67340</v>
      </c>
      <c r="C11" s="153">
        <f t="shared" si="0"/>
        <v>67320</v>
      </c>
      <c r="D11" s="129">
        <v>0</v>
      </c>
      <c r="E11" s="126">
        <v>20</v>
      </c>
      <c r="F11" s="179">
        <f t="shared" si="2"/>
        <v>0</v>
      </c>
      <c r="G11" s="126">
        <f t="shared" si="1"/>
        <v>19.528600000000001</v>
      </c>
    </row>
    <row r="12" spans="1:18">
      <c r="A12" s="144" t="s">
        <v>214</v>
      </c>
      <c r="B12" s="126">
        <v>202401</v>
      </c>
      <c r="C12" s="153">
        <f>B12-(D12+E12)</f>
        <v>202172</v>
      </c>
      <c r="D12" s="129">
        <v>170</v>
      </c>
      <c r="E12" s="126">
        <v>59</v>
      </c>
      <c r="F12" s="179">
        <f t="shared" si="2"/>
        <v>8.3991679883004531E-4</v>
      </c>
      <c r="G12" s="126">
        <f t="shared" si="1"/>
        <v>58.696289999999998</v>
      </c>
      <c r="J12" s="126" t="s">
        <v>266</v>
      </c>
      <c r="K12" s="126" t="s">
        <v>176</v>
      </c>
      <c r="L12" s="126">
        <v>9838</v>
      </c>
    </row>
    <row r="13" spans="1:18">
      <c r="A13" s="144" t="s">
        <v>289</v>
      </c>
      <c r="B13" s="126">
        <v>310820</v>
      </c>
      <c r="C13" s="153">
        <f t="shared" si="0"/>
        <v>310572</v>
      </c>
      <c r="D13" s="126">
        <v>158</v>
      </c>
      <c r="E13" s="126">
        <v>90</v>
      </c>
      <c r="F13" s="179">
        <f>D13/B13</f>
        <v>5.0833279711730262E-4</v>
      </c>
      <c r="G13" s="126">
        <f t="shared" si="1"/>
        <v>90.137799999999999</v>
      </c>
      <c r="K13" s="126" t="s">
        <v>234</v>
      </c>
      <c r="L13" s="126">
        <v>18272</v>
      </c>
    </row>
    <row r="14" spans="1:18">
      <c r="A14" s="144" t="s">
        <v>239</v>
      </c>
      <c r="B14" s="126">
        <v>731212</v>
      </c>
      <c r="C14" s="153">
        <f t="shared" si="0"/>
        <v>730630</v>
      </c>
      <c r="D14" s="126">
        <v>370</v>
      </c>
      <c r="E14" s="126">
        <v>212</v>
      </c>
      <c r="F14" s="179">
        <f t="shared" si="2"/>
        <v>5.0600920116190655E-4</v>
      </c>
      <c r="G14" s="126">
        <f t="shared" si="1"/>
        <v>212.05148</v>
      </c>
      <c r="K14" s="126" t="s">
        <v>237</v>
      </c>
      <c r="L14" s="126">
        <v>13118.000000000002</v>
      </c>
    </row>
    <row r="15" spans="1:18">
      <c r="A15" s="144" t="s">
        <v>240</v>
      </c>
      <c r="B15" s="126">
        <v>430546</v>
      </c>
      <c r="C15" s="153">
        <f t="shared" si="0"/>
        <v>430202</v>
      </c>
      <c r="D15" s="126">
        <v>219</v>
      </c>
      <c r="E15" s="126">
        <v>125</v>
      </c>
      <c r="F15" s="179">
        <f t="shared" si="2"/>
        <v>5.0865645018186207E-4</v>
      </c>
      <c r="G15" s="126">
        <f t="shared" si="1"/>
        <v>124.85834</v>
      </c>
      <c r="K15" s="126" t="s">
        <v>239</v>
      </c>
      <c r="L15" s="126">
        <v>937</v>
      </c>
    </row>
    <row r="16" spans="1:18">
      <c r="A16" s="144" t="s">
        <v>222</v>
      </c>
      <c r="B16" s="126">
        <v>426056</v>
      </c>
      <c r="C16" s="153">
        <f t="shared" si="0"/>
        <v>425715</v>
      </c>
      <c r="D16" s="126">
        <v>217</v>
      </c>
      <c r="E16" s="126">
        <v>124</v>
      </c>
      <c r="F16" s="179">
        <f t="shared" si="2"/>
        <v>5.0932271814033831E-4</v>
      </c>
      <c r="G16" s="126">
        <f>B16*$K$7</f>
        <v>123.55624</v>
      </c>
      <c r="K16" s="126" t="s">
        <v>163</v>
      </c>
      <c r="L16" s="126">
        <v>4685</v>
      </c>
      <c r="R16" s="126">
        <f>55054-1100</f>
        <v>53954</v>
      </c>
    </row>
    <row r="17" spans="1:21">
      <c r="A17" s="144" t="s">
        <v>224</v>
      </c>
      <c r="B17" s="126">
        <v>267635</v>
      </c>
      <c r="C17" s="153">
        <f t="shared" si="0"/>
        <v>267421</v>
      </c>
      <c r="D17" s="126">
        <v>136</v>
      </c>
      <c r="E17" s="126">
        <v>78</v>
      </c>
      <c r="F17" s="179">
        <f t="shared" si="2"/>
        <v>5.0815476301679528E-4</v>
      </c>
      <c r="G17" s="126">
        <f t="shared" si="1"/>
        <v>77.614149999999995</v>
      </c>
      <c r="R17" s="129">
        <v>53954</v>
      </c>
    </row>
    <row r="18" spans="1:21">
      <c r="C18" s="129">
        <f>C19/$B$19</f>
        <v>0.98966955113456401</v>
      </c>
      <c r="D18" s="129">
        <f>D19/$B$19</f>
        <v>1.0040047390532651E-2</v>
      </c>
      <c r="E18" s="129">
        <f>E19/$B$19</f>
        <v>2.9040147490333646E-4</v>
      </c>
      <c r="F18" s="129"/>
      <c r="G18" s="129" t="s">
        <v>243</v>
      </c>
      <c r="H18" s="129" t="s">
        <v>169</v>
      </c>
      <c r="I18" s="129" t="s">
        <v>267</v>
      </c>
      <c r="J18" s="129" t="s">
        <v>268</v>
      </c>
      <c r="K18" s="129" t="s">
        <v>269</v>
      </c>
      <c r="L18" s="129" t="s">
        <v>270</v>
      </c>
      <c r="M18" s="129" t="s">
        <v>271</v>
      </c>
      <c r="N18" s="129" t="s">
        <v>272</v>
      </c>
      <c r="O18" s="129" t="s">
        <v>273</v>
      </c>
      <c r="P18" s="129" t="s">
        <v>274</v>
      </c>
      <c r="Q18" s="129" t="s">
        <v>275</v>
      </c>
      <c r="R18" s="129" t="s">
        <v>271</v>
      </c>
      <c r="S18" s="129" t="s">
        <v>276</v>
      </c>
    </row>
    <row r="19" spans="1:21">
      <c r="A19" s="126" t="s">
        <v>264</v>
      </c>
      <c r="B19" s="126">
        <f>SUM(B2:B17)</f>
        <v>5354656</v>
      </c>
      <c r="C19" s="126">
        <f>SUM(C2:C17)</f>
        <v>5299340</v>
      </c>
      <c r="D19" s="126">
        <f>SUM(D2:D17)</f>
        <v>53761</v>
      </c>
      <c r="E19" s="126">
        <f>SUM(E2:E17)</f>
        <v>1555</v>
      </c>
      <c r="F19" s="126" t="s">
        <v>333</v>
      </c>
      <c r="G19" s="126" t="s">
        <v>176</v>
      </c>
      <c r="H19" s="126" t="s">
        <v>176</v>
      </c>
      <c r="I19" s="126">
        <v>3.5999999999999997E-2</v>
      </c>
      <c r="J19" s="126">
        <v>456300</v>
      </c>
      <c r="K19" s="126">
        <f>J19*I19</f>
        <v>16426.8</v>
      </c>
      <c r="L19" s="126">
        <v>13050.18</v>
      </c>
      <c r="M19" s="126">
        <f>L19/$K$31</f>
        <v>0.20050264782756458</v>
      </c>
      <c r="N19" s="126">
        <v>492340</v>
      </c>
      <c r="O19" s="126">
        <f>L19/N19</f>
        <v>2.6506438639964252E-2</v>
      </c>
      <c r="P19" s="129" t="s">
        <v>176</v>
      </c>
      <c r="Q19" s="126">
        <f>L19/$K$31</f>
        <v>0.20050264782756458</v>
      </c>
      <c r="R19" s="126">
        <v>0.21</v>
      </c>
      <c r="S19" s="126">
        <f>R19*$R$17</f>
        <v>11330.34</v>
      </c>
    </row>
    <row r="20" spans="1:21">
      <c r="A20" s="126" t="s">
        <v>278</v>
      </c>
      <c r="B20" s="126">
        <f>SUM(B2:B12)</f>
        <v>3188387</v>
      </c>
      <c r="C20" s="126">
        <f>SUM(B10:B12)+SUM(B6:B8)+B4+B2</f>
        <v>2103981</v>
      </c>
      <c r="G20" s="126" t="s">
        <v>234</v>
      </c>
      <c r="H20" s="126" t="s">
        <v>234</v>
      </c>
      <c r="I20" s="126">
        <v>0.12</v>
      </c>
      <c r="J20" s="126">
        <v>28691</v>
      </c>
      <c r="K20" s="126">
        <f>J20*I20</f>
        <v>3442.92</v>
      </c>
      <c r="L20" s="126">
        <f>SUM(K20:K22)</f>
        <v>24854.920000000002</v>
      </c>
      <c r="M20" s="126">
        <f>L20/$K$31</f>
        <v>0.38187038581401112</v>
      </c>
      <c r="N20" s="126">
        <v>244704</v>
      </c>
      <c r="O20" s="126">
        <f>L20/N20</f>
        <v>0.10157136785667582</v>
      </c>
      <c r="P20" s="129" t="s">
        <v>234</v>
      </c>
      <c r="Q20" s="126">
        <f>L20/$K$31</f>
        <v>0.38187038581401112</v>
      </c>
      <c r="R20" s="126">
        <v>0.4</v>
      </c>
      <c r="S20" s="126">
        <f>R20*$R$17</f>
        <v>21581.600000000002</v>
      </c>
    </row>
    <row r="21" spans="1:21">
      <c r="A21" s="126" t="s">
        <v>265</v>
      </c>
      <c r="B21" s="126">
        <f>SUM(B13:B17)</f>
        <v>2166269</v>
      </c>
      <c r="G21" s="126" t="s">
        <v>234</v>
      </c>
      <c r="H21" s="126" t="s">
        <v>249</v>
      </c>
      <c r="I21" s="126">
        <v>0.8</v>
      </c>
      <c r="J21" s="126">
        <v>13484</v>
      </c>
      <c r="K21" s="126">
        <f t="shared" ref="K21:K26" si="3">J21*I21</f>
        <v>10787.2</v>
      </c>
      <c r="P21" s="129"/>
    </row>
    <row r="22" spans="1:21">
      <c r="G22" s="126" t="s">
        <v>234</v>
      </c>
      <c r="H22" s="126" t="s">
        <v>250</v>
      </c>
      <c r="I22" s="126">
        <v>0.8</v>
      </c>
      <c r="J22" s="126">
        <v>13281</v>
      </c>
      <c r="K22" s="126">
        <f t="shared" si="3"/>
        <v>10624.800000000001</v>
      </c>
      <c r="P22" s="129"/>
    </row>
    <row r="23" spans="1:21">
      <c r="C23" s="129"/>
      <c r="G23" s="126" t="s">
        <v>237</v>
      </c>
      <c r="H23" s="126" t="s">
        <v>237</v>
      </c>
      <c r="I23" s="126">
        <v>0.25</v>
      </c>
      <c r="J23" s="126">
        <v>38998</v>
      </c>
      <c r="K23" s="126">
        <f t="shared" si="3"/>
        <v>9749.5</v>
      </c>
      <c r="L23" s="126">
        <f>SUM(K23:K27)</f>
        <v>17705.600000000002</v>
      </c>
      <c r="M23" s="126">
        <f>L23/$K$31</f>
        <v>0.27202840737642914</v>
      </c>
      <c r="N23" s="126">
        <v>370030</v>
      </c>
      <c r="O23" s="126">
        <f>L23/N23</f>
        <v>4.7849093316758108E-2</v>
      </c>
      <c r="P23" s="129" t="s">
        <v>237</v>
      </c>
      <c r="Q23" s="126">
        <f>L23/$K$31</f>
        <v>0.27202840737642914</v>
      </c>
      <c r="R23" s="126">
        <v>0.28999999999999998</v>
      </c>
      <c r="S23" s="126">
        <f>R23*$R$17</f>
        <v>15646.659999999998</v>
      </c>
    </row>
    <row r="24" spans="1:21">
      <c r="A24" s="129">
        <v>1</v>
      </c>
      <c r="B24" s="129" t="s">
        <v>258</v>
      </c>
      <c r="C24" s="129"/>
      <c r="G24" s="126" t="s">
        <v>237</v>
      </c>
      <c r="H24" s="126" t="s">
        <v>251</v>
      </c>
      <c r="I24" s="126">
        <v>0.7</v>
      </c>
      <c r="J24" s="126">
        <v>5878</v>
      </c>
      <c r="K24" s="126">
        <v>4000</v>
      </c>
      <c r="P24" s="129"/>
    </row>
    <row r="25" spans="1:21">
      <c r="A25" s="129">
        <v>2</v>
      </c>
      <c r="B25" s="129" t="s">
        <v>257</v>
      </c>
      <c r="C25" s="129"/>
      <c r="G25" s="126" t="s">
        <v>237</v>
      </c>
      <c r="H25" s="126" t="s">
        <v>252</v>
      </c>
      <c r="I25" s="126">
        <v>0.8</v>
      </c>
      <c r="J25" s="126">
        <v>2919</v>
      </c>
      <c r="K25" s="126">
        <f t="shared" si="3"/>
        <v>2335.2000000000003</v>
      </c>
      <c r="M25" s="126">
        <f>L25/N25</f>
        <v>0</v>
      </c>
      <c r="N25" s="126">
        <v>2226544</v>
      </c>
      <c r="P25" s="129" t="s">
        <v>239</v>
      </c>
      <c r="Q25" s="126">
        <f>L25/$K$31</f>
        <v>0</v>
      </c>
      <c r="S25" s="126">
        <f>R25*$R$17</f>
        <v>0</v>
      </c>
    </row>
    <row r="26" spans="1:21">
      <c r="A26" s="129">
        <v>3</v>
      </c>
      <c r="B26" s="129" t="s">
        <v>259</v>
      </c>
      <c r="C26" s="129"/>
      <c r="G26" s="126" t="s">
        <v>237</v>
      </c>
      <c r="H26" s="126" t="s">
        <v>253</v>
      </c>
      <c r="I26" s="126">
        <v>0.35</v>
      </c>
      <c r="J26" s="126">
        <v>1774</v>
      </c>
      <c r="K26" s="126">
        <f t="shared" si="3"/>
        <v>620.9</v>
      </c>
      <c r="L26" s="126">
        <v>6100</v>
      </c>
      <c r="P26" s="129" t="s">
        <v>163</v>
      </c>
      <c r="Q26" s="126">
        <f>L26/$K$31</f>
        <v>9.3720251502135907E-2</v>
      </c>
      <c r="R26" s="126">
        <v>0.1</v>
      </c>
      <c r="S26" s="126">
        <f>R26*$R$17</f>
        <v>5395.4000000000005</v>
      </c>
    </row>
    <row r="27" spans="1:21">
      <c r="A27" s="129">
        <v>4</v>
      </c>
      <c r="B27" s="129" t="s">
        <v>260</v>
      </c>
      <c r="C27" s="129"/>
      <c r="G27" s="126" t="s">
        <v>237</v>
      </c>
      <c r="H27" s="126" t="s">
        <v>254</v>
      </c>
      <c r="I27" s="126">
        <v>0.75</v>
      </c>
      <c r="J27" s="126">
        <v>1340</v>
      </c>
      <c r="K27" s="126">
        <v>1000</v>
      </c>
    </row>
    <row r="28" spans="1:21">
      <c r="A28" s="129">
        <v>5</v>
      </c>
      <c r="B28" s="129"/>
      <c r="G28" s="126" t="s">
        <v>239</v>
      </c>
    </row>
    <row r="29" spans="1:21">
      <c r="A29" s="129"/>
      <c r="B29" s="129"/>
      <c r="G29" s="126" t="s">
        <v>163</v>
      </c>
      <c r="K29" s="126">
        <v>6100</v>
      </c>
    </row>
    <row r="30" spans="1:21">
      <c r="M30" s="129" t="s">
        <v>277</v>
      </c>
      <c r="O30" s="126">
        <f>B13/$N$31</f>
        <v>0.14348171902935417</v>
      </c>
      <c r="P30" s="126">
        <f>O30*$M$31</f>
        <v>157.82989093228957</v>
      </c>
      <c r="Q30" s="126">
        <v>158</v>
      </c>
      <c r="R30" s="144" t="s">
        <v>238</v>
      </c>
      <c r="S30" s="126">
        <v>2.0000000000000001E-4</v>
      </c>
      <c r="T30" s="126">
        <f>S30*B13</f>
        <v>62.164000000000001</v>
      </c>
      <c r="U30" s="126">
        <v>63</v>
      </c>
    </row>
    <row r="31" spans="1:21">
      <c r="A31" s="159" t="s">
        <v>281</v>
      </c>
      <c r="B31" s="159" t="s">
        <v>382</v>
      </c>
      <c r="K31" s="126">
        <f>SUM(K19:K29)</f>
        <v>65087.32</v>
      </c>
      <c r="M31" s="126">
        <v>1100</v>
      </c>
      <c r="N31" s="126">
        <f>SUM(B13:B17)</f>
        <v>2166269</v>
      </c>
      <c r="O31" s="126">
        <f>B14/$N$31</f>
        <v>0.33754441392089346</v>
      </c>
      <c r="P31" s="126">
        <f>O31*$M$31</f>
        <v>371.29885531298282</v>
      </c>
      <c r="Q31" s="126">
        <v>370</v>
      </c>
      <c r="R31" s="144" t="s">
        <v>239</v>
      </c>
      <c r="S31" s="126">
        <v>8.0000000000000004E-4</v>
      </c>
      <c r="T31" s="126">
        <f>S31*B14</f>
        <v>584.96960000000001</v>
      </c>
      <c r="U31" s="126">
        <v>592</v>
      </c>
    </row>
    <row r="32" spans="1:21">
      <c r="A32" s="159" t="s">
        <v>235</v>
      </c>
      <c r="B32" s="159">
        <v>345875</v>
      </c>
      <c r="O32" s="126">
        <f>B15/$N$31</f>
        <v>0.19875001673384055</v>
      </c>
      <c r="P32" s="126">
        <f>O32*$M$31</f>
        <v>218.62501840722459</v>
      </c>
      <c r="Q32" s="126">
        <v>219</v>
      </c>
      <c r="R32" s="144" t="s">
        <v>240</v>
      </c>
      <c r="S32" s="126">
        <v>5.0000000000000001E-4</v>
      </c>
      <c r="T32" s="126">
        <f>S32*B15</f>
        <v>215.273</v>
      </c>
      <c r="U32" s="126">
        <v>219</v>
      </c>
    </row>
    <row r="33" spans="1:21">
      <c r="A33" s="159" t="s">
        <v>288</v>
      </c>
      <c r="B33" s="159">
        <v>67340</v>
      </c>
      <c r="O33" s="126">
        <f>B16/$N$31</f>
        <v>0.19667732862354584</v>
      </c>
      <c r="P33" s="126">
        <f>O33*$M$31</f>
        <v>216.34506148590043</v>
      </c>
      <c r="Q33" s="126">
        <v>217</v>
      </c>
      <c r="R33" s="144" t="s">
        <v>241</v>
      </c>
      <c r="S33" s="126">
        <v>4.0000000000000002E-4</v>
      </c>
      <c r="T33" s="126">
        <f>S33*B16</f>
        <v>170.42240000000001</v>
      </c>
      <c r="U33" s="126">
        <v>172</v>
      </c>
    </row>
    <row r="34" spans="1:21">
      <c r="A34" s="159" t="s">
        <v>214</v>
      </c>
      <c r="B34" s="159">
        <v>202401</v>
      </c>
      <c r="O34" s="126">
        <f>B17/$N$31</f>
        <v>0.123546521692366</v>
      </c>
      <c r="P34" s="126">
        <f>O34*$M$31</f>
        <v>135.90117386160262</v>
      </c>
      <c r="Q34" s="126">
        <v>136</v>
      </c>
      <c r="R34" s="144" t="s">
        <v>224</v>
      </c>
      <c r="S34" s="126">
        <v>2.0000000000000001E-4</v>
      </c>
      <c r="T34" s="126">
        <f>S34*B17</f>
        <v>53.527000000000001</v>
      </c>
      <c r="U34" s="126">
        <v>54</v>
      </c>
    </row>
    <row r="35" spans="1:21">
      <c r="A35" s="159" t="s">
        <v>236</v>
      </c>
      <c r="B35" s="159">
        <v>423572</v>
      </c>
    </row>
    <row r="36" spans="1:21">
      <c r="A36" s="159" t="s">
        <v>283</v>
      </c>
      <c r="B36" s="159">
        <v>124332</v>
      </c>
      <c r="G36" s="126" t="s">
        <v>263</v>
      </c>
    </row>
    <row r="37" spans="1:21">
      <c r="A37" s="159" t="s">
        <v>210</v>
      </c>
      <c r="B37" s="159">
        <v>84000</v>
      </c>
      <c r="G37" s="126" t="s">
        <v>261</v>
      </c>
    </row>
    <row r="38" spans="1:21">
      <c r="A38" s="159" t="s">
        <v>284</v>
      </c>
      <c r="B38" s="159">
        <v>362602</v>
      </c>
      <c r="G38" s="126" t="s">
        <v>262</v>
      </c>
    </row>
    <row r="39" spans="1:21">
      <c r="A39" s="159" t="s">
        <v>287</v>
      </c>
      <c r="B39" s="159">
        <v>54289</v>
      </c>
    </row>
    <row r="40" spans="1:21">
      <c r="A40" s="159" t="s">
        <v>176</v>
      </c>
      <c r="B40" s="159">
        <v>171020</v>
      </c>
      <c r="C40" s="126">
        <f>B40+B41</f>
        <v>482064</v>
      </c>
    </row>
    <row r="41" spans="1:21">
      <c r="A41" s="159" t="s">
        <v>355</v>
      </c>
      <c r="B41" s="159">
        <v>311044</v>
      </c>
    </row>
    <row r="42" spans="1:21">
      <c r="A42" s="159" t="s">
        <v>234</v>
      </c>
      <c r="B42" s="159">
        <v>239740</v>
      </c>
    </row>
    <row r="43" spans="1:21">
      <c r="A43" s="159" t="s">
        <v>232</v>
      </c>
      <c r="B43" s="159">
        <v>802172</v>
      </c>
      <c r="L43" s="126">
        <v>5</v>
      </c>
      <c r="M43" s="126">
        <v>52</v>
      </c>
      <c r="N43" s="126">
        <v>32</v>
      </c>
      <c r="O43" s="126">
        <v>6</v>
      </c>
      <c r="P43" s="126">
        <v>5</v>
      </c>
    </row>
    <row r="44" spans="1:21">
      <c r="A44" s="159" t="s">
        <v>240</v>
      </c>
      <c r="B44" s="159">
        <v>430546</v>
      </c>
      <c r="G44" s="129" t="s">
        <v>243</v>
      </c>
      <c r="H44" s="129" t="s">
        <v>242</v>
      </c>
      <c r="I44" s="129" t="s">
        <v>162</v>
      </c>
      <c r="J44" s="129" t="s">
        <v>159</v>
      </c>
      <c r="K44" s="129" t="s">
        <v>163</v>
      </c>
      <c r="L44" s="126" t="s">
        <v>334</v>
      </c>
      <c r="M44" s="126" t="s">
        <v>335</v>
      </c>
      <c r="N44" s="126" t="s">
        <v>336</v>
      </c>
      <c r="O44" s="126" t="s">
        <v>338</v>
      </c>
      <c r="P44" s="126" t="s">
        <v>341</v>
      </c>
    </row>
    <row r="45" spans="1:21">
      <c r="A45" s="159" t="s">
        <v>239</v>
      </c>
      <c r="B45" s="159">
        <v>731212</v>
      </c>
      <c r="E45" s="126" t="s">
        <v>279</v>
      </c>
      <c r="G45" s="144" t="s">
        <v>232</v>
      </c>
      <c r="H45" s="126">
        <v>822435</v>
      </c>
      <c r="I45" s="153">
        <f t="shared" ref="I45:I55" si="4">H45-(J45+K45)</f>
        <v>820133</v>
      </c>
      <c r="J45" s="126">
        <v>2064</v>
      </c>
      <c r="K45" s="126">
        <v>238</v>
      </c>
    </row>
    <row r="46" spans="1:21">
      <c r="A46" s="159" t="s">
        <v>289</v>
      </c>
      <c r="B46" s="159">
        <v>310820</v>
      </c>
      <c r="E46" s="126" t="s">
        <v>337</v>
      </c>
      <c r="G46" s="144" t="s">
        <v>176</v>
      </c>
      <c r="H46" s="126">
        <v>492340</v>
      </c>
      <c r="I46" s="153">
        <f t="shared" si="4"/>
        <v>480867</v>
      </c>
      <c r="J46" s="126">
        <v>11330</v>
      </c>
      <c r="K46" s="126">
        <v>143</v>
      </c>
    </row>
    <row r="47" spans="1:21">
      <c r="A47" s="159" t="s">
        <v>222</v>
      </c>
      <c r="B47" s="159">
        <v>426056</v>
      </c>
      <c r="G47" s="144" t="s">
        <v>233</v>
      </c>
      <c r="H47" s="126">
        <v>55268</v>
      </c>
      <c r="I47" s="153">
        <f t="shared" si="4"/>
        <v>55113</v>
      </c>
      <c r="J47" s="126">
        <v>139</v>
      </c>
      <c r="K47" s="126">
        <v>16</v>
      </c>
    </row>
    <row r="48" spans="1:21">
      <c r="A48" s="159" t="s">
        <v>224</v>
      </c>
      <c r="B48" s="159">
        <v>267635</v>
      </c>
      <c r="G48" s="144" t="s">
        <v>234</v>
      </c>
      <c r="H48" s="126">
        <v>244704</v>
      </c>
      <c r="I48" s="153">
        <f t="shared" si="4"/>
        <v>223051</v>
      </c>
      <c r="J48" s="126">
        <v>21582</v>
      </c>
      <c r="K48" s="126">
        <v>71</v>
      </c>
    </row>
    <row r="49" spans="5:11">
      <c r="G49" s="144" t="s">
        <v>235</v>
      </c>
      <c r="H49" s="126">
        <v>352875</v>
      </c>
      <c r="I49" s="153">
        <f t="shared" si="4"/>
        <v>351888</v>
      </c>
      <c r="J49" s="126">
        <v>885</v>
      </c>
      <c r="K49" s="126">
        <v>102</v>
      </c>
    </row>
    <row r="50" spans="5:11">
      <c r="G50" s="144" t="s">
        <v>236</v>
      </c>
      <c r="H50" s="126">
        <v>431584</v>
      </c>
      <c r="I50" s="153">
        <f t="shared" si="4"/>
        <v>430376</v>
      </c>
      <c r="J50" s="126">
        <v>1083</v>
      </c>
      <c r="K50" s="126">
        <v>125</v>
      </c>
    </row>
    <row r="51" spans="5:11">
      <c r="G51" s="144" t="s">
        <v>206</v>
      </c>
      <c r="H51" s="126">
        <v>127025</v>
      </c>
      <c r="I51" s="153">
        <f t="shared" si="4"/>
        <v>126669</v>
      </c>
      <c r="J51" s="126">
        <v>319</v>
      </c>
      <c r="K51" s="126">
        <v>37</v>
      </c>
    </row>
    <row r="52" spans="5:11">
      <c r="G52" s="144" t="s">
        <v>237</v>
      </c>
      <c r="H52" s="126">
        <v>370030</v>
      </c>
      <c r="I52" s="153">
        <f t="shared" si="4"/>
        <v>354276</v>
      </c>
      <c r="J52" s="126">
        <v>15647</v>
      </c>
      <c r="K52" s="126">
        <v>107</v>
      </c>
    </row>
    <row r="53" spans="5:11">
      <c r="G53" s="144" t="s">
        <v>210</v>
      </c>
      <c r="H53" s="126">
        <v>85920</v>
      </c>
      <c r="I53" s="153">
        <f t="shared" si="4"/>
        <v>85680</v>
      </c>
      <c r="J53" s="126">
        <v>215</v>
      </c>
      <c r="K53" s="126">
        <v>25</v>
      </c>
    </row>
    <row r="54" spans="5:11">
      <c r="G54" s="144" t="s">
        <v>212</v>
      </c>
      <c r="H54" s="126">
        <v>68779</v>
      </c>
      <c r="I54" s="153">
        <f t="shared" si="4"/>
        <v>68587</v>
      </c>
      <c r="J54" s="126">
        <v>172</v>
      </c>
      <c r="K54" s="126">
        <v>20</v>
      </c>
    </row>
    <row r="55" spans="5:11">
      <c r="G55" s="144" t="s">
        <v>214</v>
      </c>
      <c r="H55" s="126">
        <v>205946</v>
      </c>
      <c r="I55" s="153">
        <f t="shared" si="4"/>
        <v>205369</v>
      </c>
      <c r="J55" s="126">
        <v>517</v>
      </c>
      <c r="K55" s="126">
        <v>60</v>
      </c>
    </row>
    <row r="58" spans="5:11">
      <c r="E58" s="126" t="s">
        <v>339</v>
      </c>
    </row>
    <row r="59" spans="5:11">
      <c r="E59" s="126" t="s">
        <v>340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AFB6-7D32-4F2C-85B5-286F10C7A53C}">
  <dimension ref="A1:H17"/>
  <sheetViews>
    <sheetView zoomScale="102" workbookViewId="0">
      <selection sqref="A1:E17"/>
    </sheetView>
  </sheetViews>
  <sheetFormatPr defaultRowHeight="15.6"/>
  <cols>
    <col min="1" max="16384" width="8.6640625" style="126"/>
  </cols>
  <sheetData>
    <row r="1" spans="1:8" s="129" customFormat="1">
      <c r="A1" s="129" t="s">
        <v>243</v>
      </c>
      <c r="B1" s="129" t="s">
        <v>242</v>
      </c>
      <c r="C1" s="129" t="s">
        <v>162</v>
      </c>
      <c r="D1" s="129" t="s">
        <v>159</v>
      </c>
      <c r="E1" s="129" t="s">
        <v>163</v>
      </c>
    </row>
    <row r="2" spans="1:8">
      <c r="A2" s="126" t="s">
        <v>232</v>
      </c>
      <c r="B2" s="126">
        <v>802172</v>
      </c>
      <c r="C2" s="126">
        <v>799875</v>
      </c>
      <c r="D2" s="126">
        <v>2064</v>
      </c>
      <c r="E2" s="126">
        <v>233</v>
      </c>
      <c r="F2" s="141"/>
      <c r="G2" s="141"/>
      <c r="H2" s="141"/>
    </row>
    <row r="3" spans="1:8">
      <c r="A3" s="126" t="s">
        <v>176</v>
      </c>
      <c r="B3" s="126">
        <v>482064</v>
      </c>
      <c r="C3" s="126">
        <v>470709</v>
      </c>
      <c r="D3" s="126">
        <v>11215</v>
      </c>
      <c r="E3" s="126">
        <v>140</v>
      </c>
      <c r="F3" s="141"/>
      <c r="G3" s="141"/>
      <c r="H3" s="141"/>
    </row>
    <row r="4" spans="1:8">
      <c r="A4" s="126" t="s">
        <v>287</v>
      </c>
      <c r="B4" s="126">
        <v>54289</v>
      </c>
      <c r="C4" s="126">
        <v>53723</v>
      </c>
      <c r="D4" s="126">
        <v>550</v>
      </c>
      <c r="E4" s="126">
        <v>16</v>
      </c>
      <c r="F4" s="141"/>
      <c r="G4" s="141"/>
      <c r="H4" s="141"/>
    </row>
    <row r="5" spans="1:8">
      <c r="A5" s="126" t="s">
        <v>234</v>
      </c>
      <c r="B5" s="126">
        <v>239740</v>
      </c>
      <c r="C5" s="126">
        <v>218502</v>
      </c>
      <c r="D5" s="126">
        <v>21168</v>
      </c>
      <c r="E5" s="126">
        <v>70</v>
      </c>
      <c r="F5" s="141"/>
      <c r="G5" s="141"/>
      <c r="H5" s="141"/>
    </row>
    <row r="6" spans="1:8">
      <c r="A6" s="126" t="s">
        <v>235</v>
      </c>
      <c r="B6" s="126">
        <v>345875</v>
      </c>
      <c r="C6" s="126">
        <v>344890</v>
      </c>
      <c r="D6" s="126">
        <v>885</v>
      </c>
      <c r="E6" s="126">
        <v>100</v>
      </c>
      <c r="F6" s="141"/>
      <c r="G6" s="141"/>
      <c r="H6" s="141"/>
    </row>
    <row r="7" spans="1:8">
      <c r="A7" s="126" t="s">
        <v>236</v>
      </c>
      <c r="B7" s="126">
        <v>423572</v>
      </c>
      <c r="C7" s="126">
        <v>422366</v>
      </c>
      <c r="D7" s="126">
        <v>1083</v>
      </c>
      <c r="E7" s="126">
        <v>123</v>
      </c>
      <c r="F7" s="141"/>
      <c r="G7" s="141"/>
      <c r="H7" s="141"/>
    </row>
    <row r="8" spans="1:8">
      <c r="A8" s="126" t="s">
        <v>283</v>
      </c>
      <c r="B8" s="126">
        <v>124332</v>
      </c>
      <c r="C8" s="126">
        <v>124296</v>
      </c>
      <c r="D8" s="126">
        <v>0</v>
      </c>
      <c r="E8" s="126">
        <v>36</v>
      </c>
      <c r="F8" s="141"/>
      <c r="G8" s="141"/>
      <c r="H8" s="141"/>
    </row>
    <row r="9" spans="1:8">
      <c r="A9" s="126" t="s">
        <v>284</v>
      </c>
      <c r="B9" s="126">
        <v>362602</v>
      </c>
      <c r="C9" s="126">
        <v>346971</v>
      </c>
      <c r="D9" s="126">
        <v>15526</v>
      </c>
      <c r="E9" s="126">
        <v>105</v>
      </c>
      <c r="F9" s="141"/>
      <c r="G9" s="141"/>
      <c r="H9" s="141"/>
    </row>
    <row r="10" spans="1:8">
      <c r="A10" s="126" t="s">
        <v>210</v>
      </c>
      <c r="B10" s="126">
        <v>84000</v>
      </c>
      <c r="C10" s="126">
        <v>83976</v>
      </c>
      <c r="D10" s="126">
        <v>0</v>
      </c>
      <c r="E10" s="126">
        <v>24</v>
      </c>
      <c r="F10" s="141"/>
      <c r="G10" s="141"/>
      <c r="H10" s="141"/>
    </row>
    <row r="11" spans="1:8">
      <c r="A11" s="126" t="s">
        <v>288</v>
      </c>
      <c r="B11" s="126">
        <v>67340</v>
      </c>
      <c r="C11" s="126">
        <v>67320</v>
      </c>
      <c r="D11" s="126">
        <v>0</v>
      </c>
      <c r="E11" s="126">
        <v>20</v>
      </c>
      <c r="F11" s="141"/>
      <c r="G11" s="141"/>
      <c r="H11" s="141"/>
    </row>
    <row r="12" spans="1:8">
      <c r="A12" s="126" t="s">
        <v>214</v>
      </c>
      <c r="B12" s="126">
        <v>202401</v>
      </c>
      <c r="C12" s="126">
        <v>202172</v>
      </c>
      <c r="D12" s="126">
        <v>170</v>
      </c>
      <c r="E12" s="126">
        <v>59</v>
      </c>
      <c r="F12" s="141"/>
      <c r="G12" s="141"/>
      <c r="H12" s="141"/>
    </row>
    <row r="13" spans="1:8">
      <c r="A13" s="126" t="s">
        <v>289</v>
      </c>
      <c r="B13" s="126">
        <v>310820</v>
      </c>
      <c r="C13" s="126">
        <v>310572</v>
      </c>
      <c r="D13" s="126">
        <v>158</v>
      </c>
      <c r="E13" s="126">
        <v>90</v>
      </c>
      <c r="F13" s="141"/>
      <c r="G13" s="141"/>
      <c r="H13" s="141"/>
    </row>
    <row r="14" spans="1:8">
      <c r="A14" s="126" t="s">
        <v>239</v>
      </c>
      <c r="B14" s="126">
        <v>731212</v>
      </c>
      <c r="C14" s="126">
        <v>730630</v>
      </c>
      <c r="D14" s="126">
        <v>370</v>
      </c>
      <c r="E14" s="126">
        <v>212</v>
      </c>
      <c r="F14" s="141"/>
      <c r="G14" s="141"/>
      <c r="H14" s="141"/>
    </row>
    <row r="15" spans="1:8">
      <c r="A15" s="126" t="s">
        <v>240</v>
      </c>
      <c r="B15" s="126">
        <v>430546</v>
      </c>
      <c r="C15" s="126">
        <v>430202</v>
      </c>
      <c r="D15" s="126">
        <v>219</v>
      </c>
      <c r="E15" s="126">
        <v>125</v>
      </c>
      <c r="F15" s="141"/>
      <c r="G15" s="141"/>
      <c r="H15" s="141"/>
    </row>
    <row r="16" spans="1:8">
      <c r="A16" s="126" t="s">
        <v>222</v>
      </c>
      <c r="B16" s="126">
        <v>426056</v>
      </c>
      <c r="C16" s="126">
        <v>425715</v>
      </c>
      <c r="D16" s="126">
        <v>217</v>
      </c>
      <c r="E16" s="126">
        <v>124</v>
      </c>
      <c r="F16" s="141"/>
      <c r="G16" s="141"/>
      <c r="H16" s="141"/>
    </row>
    <row r="17" spans="1:8">
      <c r="A17" s="126" t="s">
        <v>224</v>
      </c>
      <c r="B17" s="126">
        <v>267635</v>
      </c>
      <c r="C17" s="126">
        <v>267421</v>
      </c>
      <c r="D17" s="126">
        <v>136</v>
      </c>
      <c r="E17" s="126">
        <v>78</v>
      </c>
      <c r="F17" s="141"/>
      <c r="G17" s="141"/>
      <c r="H17" s="1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06C8-5B86-4C17-9687-2C9F6038C4F6}">
  <dimension ref="A1:N26"/>
  <sheetViews>
    <sheetView workbookViewId="0">
      <selection activeCell="F3" activeCellId="1" sqref="B3 F3"/>
    </sheetView>
  </sheetViews>
  <sheetFormatPr defaultRowHeight="14.4"/>
  <cols>
    <col min="1" max="16384" width="8.6640625" style="155"/>
  </cols>
  <sheetData>
    <row r="1" spans="1:14" s="156" customFormat="1">
      <c r="A1" s="156" t="s">
        <v>243</v>
      </c>
      <c r="B1" s="156" t="s">
        <v>292</v>
      </c>
      <c r="C1" s="156" t="s">
        <v>162</v>
      </c>
      <c r="D1" s="156" t="s">
        <v>159</v>
      </c>
      <c r="E1" s="156" t="s">
        <v>163</v>
      </c>
      <c r="F1" s="156" t="s">
        <v>291</v>
      </c>
      <c r="J1" s="155" t="s">
        <v>243</v>
      </c>
      <c r="K1" s="155" t="s">
        <v>242</v>
      </c>
      <c r="L1" s="155" t="s">
        <v>162</v>
      </c>
      <c r="M1" s="155" t="s">
        <v>159</v>
      </c>
      <c r="N1" s="155" t="s">
        <v>163</v>
      </c>
    </row>
    <row r="2" spans="1:14">
      <c r="A2" s="155" t="s">
        <v>232</v>
      </c>
      <c r="B2" s="155">
        <v>822435</v>
      </c>
      <c r="C2" s="155">
        <v>820133</v>
      </c>
      <c r="D2" s="155">
        <v>2064</v>
      </c>
      <c r="E2" s="155">
        <v>238</v>
      </c>
      <c r="F2" s="155">
        <v>22465</v>
      </c>
      <c r="J2" s="155" t="s">
        <v>232</v>
      </c>
      <c r="K2" s="155">
        <v>822435</v>
      </c>
      <c r="L2" s="155">
        <v>820133</v>
      </c>
      <c r="M2" s="155">
        <v>2064</v>
      </c>
      <c r="N2" s="155">
        <v>238</v>
      </c>
    </row>
    <row r="3" spans="1:14">
      <c r="A3" s="155" t="s">
        <v>176</v>
      </c>
      <c r="B3" s="155">
        <v>492340</v>
      </c>
      <c r="C3" s="155">
        <v>480867</v>
      </c>
      <c r="D3" s="155">
        <v>11330</v>
      </c>
      <c r="E3" s="155">
        <v>143</v>
      </c>
      <c r="F3" s="155">
        <v>326523</v>
      </c>
      <c r="J3" s="155" t="s">
        <v>176</v>
      </c>
      <c r="K3" s="155">
        <v>492340</v>
      </c>
      <c r="L3" s="155">
        <v>481690</v>
      </c>
      <c r="M3" s="155">
        <v>10507</v>
      </c>
      <c r="N3" s="155">
        <v>143</v>
      </c>
    </row>
    <row r="4" spans="1:14">
      <c r="A4" s="155" t="s">
        <v>233</v>
      </c>
      <c r="B4" s="155">
        <v>55268</v>
      </c>
      <c r="C4" s="155">
        <v>55113</v>
      </c>
      <c r="D4" s="155">
        <v>139</v>
      </c>
      <c r="E4" s="155">
        <v>16</v>
      </c>
      <c r="F4" s="155">
        <v>7845</v>
      </c>
      <c r="J4" s="155" t="s">
        <v>233</v>
      </c>
      <c r="K4" s="155">
        <v>55268</v>
      </c>
      <c r="L4" s="155">
        <v>54702</v>
      </c>
      <c r="M4" s="155">
        <v>550</v>
      </c>
      <c r="N4" s="155">
        <v>16</v>
      </c>
    </row>
    <row r="5" spans="1:14">
      <c r="A5" s="155" t="s">
        <v>234</v>
      </c>
      <c r="B5" s="155">
        <v>244704</v>
      </c>
      <c r="C5" s="155">
        <v>223051</v>
      </c>
      <c r="D5" s="155">
        <v>21582</v>
      </c>
      <c r="E5" s="155">
        <v>71</v>
      </c>
      <c r="F5" s="155">
        <v>95279</v>
      </c>
      <c r="J5" s="155" t="s">
        <v>234</v>
      </c>
      <c r="K5" s="155">
        <v>244704</v>
      </c>
      <c r="L5" s="155">
        <v>222465</v>
      </c>
      <c r="M5" s="155">
        <v>22168</v>
      </c>
      <c r="N5" s="155">
        <v>71</v>
      </c>
    </row>
    <row r="6" spans="1:14">
      <c r="A6" s="155" t="s">
        <v>235</v>
      </c>
      <c r="B6" s="155">
        <v>352875</v>
      </c>
      <c r="C6" s="155">
        <v>351888</v>
      </c>
      <c r="D6" s="155">
        <v>885</v>
      </c>
      <c r="E6" s="155">
        <v>102</v>
      </c>
      <c r="F6" s="155">
        <v>3722</v>
      </c>
      <c r="J6" s="155" t="s">
        <v>235</v>
      </c>
      <c r="K6" s="155">
        <v>352875</v>
      </c>
      <c r="L6" s="155">
        <v>351888</v>
      </c>
      <c r="M6" s="155">
        <v>885</v>
      </c>
      <c r="N6" s="155">
        <v>102</v>
      </c>
    </row>
    <row r="7" spans="1:14">
      <c r="A7" s="155" t="s">
        <v>236</v>
      </c>
      <c r="B7" s="155">
        <v>431584</v>
      </c>
      <c r="C7" s="155">
        <v>430376</v>
      </c>
      <c r="D7" s="155">
        <v>1083</v>
      </c>
      <c r="E7" s="155">
        <v>125</v>
      </c>
      <c r="F7" s="155">
        <v>22082</v>
      </c>
      <c r="J7" s="155" t="s">
        <v>236</v>
      </c>
      <c r="K7" s="155">
        <v>431584</v>
      </c>
      <c r="L7" s="155">
        <v>430376</v>
      </c>
      <c r="M7" s="155">
        <v>1083</v>
      </c>
      <c r="N7" s="155">
        <v>125</v>
      </c>
    </row>
    <row r="8" spans="1:14">
      <c r="A8" s="155" t="s">
        <v>206</v>
      </c>
      <c r="B8" s="155">
        <v>127025</v>
      </c>
      <c r="C8" s="155">
        <v>126669</v>
      </c>
      <c r="D8" s="155">
        <v>319</v>
      </c>
      <c r="E8" s="155">
        <v>37</v>
      </c>
      <c r="F8" s="155">
        <v>40897</v>
      </c>
      <c r="J8" s="155" t="s">
        <v>206</v>
      </c>
      <c r="K8" s="155">
        <v>127025</v>
      </c>
      <c r="L8" s="155">
        <v>126988</v>
      </c>
      <c r="M8" s="155">
        <v>0</v>
      </c>
      <c r="N8" s="155">
        <v>37</v>
      </c>
    </row>
    <row r="9" spans="1:14">
      <c r="A9" s="155" t="s">
        <v>237</v>
      </c>
      <c r="B9" s="155">
        <v>370030</v>
      </c>
      <c r="C9" s="155">
        <v>354276</v>
      </c>
      <c r="D9" s="155">
        <v>15647</v>
      </c>
      <c r="E9" s="155">
        <v>107</v>
      </c>
      <c r="F9" s="155">
        <v>143311</v>
      </c>
      <c r="J9" s="155" t="s">
        <v>237</v>
      </c>
      <c r="K9" s="155">
        <v>370030</v>
      </c>
      <c r="L9" s="155">
        <v>353397</v>
      </c>
      <c r="M9" s="155">
        <v>16526</v>
      </c>
      <c r="N9" s="155">
        <v>107</v>
      </c>
    </row>
    <row r="10" spans="1:14">
      <c r="A10" s="155" t="s">
        <v>210</v>
      </c>
      <c r="B10" s="155">
        <v>85920</v>
      </c>
      <c r="C10" s="155">
        <v>85680</v>
      </c>
      <c r="D10" s="155">
        <v>215</v>
      </c>
      <c r="E10" s="155">
        <v>25</v>
      </c>
      <c r="F10" s="155">
        <v>50067</v>
      </c>
      <c r="J10" s="155" t="s">
        <v>210</v>
      </c>
      <c r="K10" s="155">
        <v>85920</v>
      </c>
      <c r="L10" s="155">
        <v>85895</v>
      </c>
      <c r="M10" s="155">
        <v>0</v>
      </c>
      <c r="N10" s="155">
        <v>25</v>
      </c>
    </row>
    <row r="11" spans="1:14">
      <c r="A11" s="155" t="s">
        <v>212</v>
      </c>
      <c r="B11" s="155">
        <v>68779</v>
      </c>
      <c r="C11" s="155">
        <v>68587</v>
      </c>
      <c r="D11" s="155">
        <v>172</v>
      </c>
      <c r="E11" s="155">
        <v>20</v>
      </c>
      <c r="F11" s="155">
        <v>2629</v>
      </c>
      <c r="J11" s="155" t="s">
        <v>212</v>
      </c>
      <c r="K11" s="155">
        <v>68779</v>
      </c>
      <c r="L11" s="155">
        <v>68759</v>
      </c>
      <c r="M11" s="155">
        <v>0</v>
      </c>
      <c r="N11" s="155">
        <v>20</v>
      </c>
    </row>
    <row r="12" spans="1:14">
      <c r="A12" s="155" t="s">
        <v>214</v>
      </c>
      <c r="B12" s="155">
        <v>205946</v>
      </c>
      <c r="C12" s="155">
        <v>205369</v>
      </c>
      <c r="D12" s="155">
        <v>517</v>
      </c>
      <c r="E12" s="155">
        <v>60</v>
      </c>
      <c r="F12" s="155">
        <v>4632</v>
      </c>
      <c r="J12" s="155" t="s">
        <v>214</v>
      </c>
      <c r="K12" s="155">
        <v>205946</v>
      </c>
      <c r="L12" s="155">
        <v>205716</v>
      </c>
      <c r="M12" s="155">
        <v>170</v>
      </c>
      <c r="N12" s="155">
        <v>60</v>
      </c>
    </row>
    <row r="13" spans="1:14">
      <c r="A13" s="155" t="s">
        <v>238</v>
      </c>
      <c r="B13" s="155">
        <v>319208</v>
      </c>
      <c r="C13" s="155">
        <v>318957</v>
      </c>
      <c r="D13" s="155">
        <v>158</v>
      </c>
      <c r="E13" s="155">
        <v>93</v>
      </c>
      <c r="F13" s="155">
        <v>0</v>
      </c>
      <c r="J13" s="155" t="s">
        <v>238</v>
      </c>
      <c r="K13" s="155">
        <v>319208</v>
      </c>
      <c r="L13" s="155">
        <v>318957</v>
      </c>
      <c r="M13" s="155">
        <v>158</v>
      </c>
      <c r="N13" s="155">
        <v>93</v>
      </c>
    </row>
    <row r="14" spans="1:14">
      <c r="A14" s="155" t="s">
        <v>239</v>
      </c>
      <c r="B14" s="155">
        <v>749100</v>
      </c>
      <c r="C14" s="155">
        <v>748513</v>
      </c>
      <c r="D14" s="155">
        <v>370</v>
      </c>
      <c r="E14" s="155">
        <v>217</v>
      </c>
      <c r="F14" s="155">
        <v>0</v>
      </c>
      <c r="J14" s="155" t="s">
        <v>239</v>
      </c>
      <c r="K14" s="155">
        <v>749100</v>
      </c>
      <c r="L14" s="155">
        <v>748513</v>
      </c>
      <c r="M14" s="155">
        <v>370</v>
      </c>
      <c r="N14" s="155">
        <v>217</v>
      </c>
    </row>
    <row r="15" spans="1:14">
      <c r="A15" s="155" t="s">
        <v>240</v>
      </c>
      <c r="B15" s="155">
        <v>444412</v>
      </c>
      <c r="C15" s="155">
        <v>444064</v>
      </c>
      <c r="D15" s="155">
        <v>219</v>
      </c>
      <c r="E15" s="155">
        <v>129</v>
      </c>
      <c r="F15" s="155">
        <v>0</v>
      </c>
      <c r="J15" s="155" t="s">
        <v>240</v>
      </c>
      <c r="K15" s="155">
        <v>444412</v>
      </c>
      <c r="L15" s="155">
        <v>444064</v>
      </c>
      <c r="M15" s="155">
        <v>219</v>
      </c>
      <c r="N15" s="155">
        <v>129</v>
      </c>
    </row>
    <row r="16" spans="1:14">
      <c r="A16" s="155" t="s">
        <v>241</v>
      </c>
      <c r="B16" s="155">
        <v>438557</v>
      </c>
      <c r="C16" s="155">
        <v>438213</v>
      </c>
      <c r="D16" s="155">
        <v>217</v>
      </c>
      <c r="E16" s="155">
        <v>127</v>
      </c>
      <c r="F16" s="155">
        <v>0</v>
      </c>
      <c r="J16" s="155" t="s">
        <v>241</v>
      </c>
      <c r="K16" s="155">
        <v>438557</v>
      </c>
      <c r="L16" s="155">
        <v>438213</v>
      </c>
      <c r="M16" s="155">
        <v>217</v>
      </c>
      <c r="N16" s="155">
        <v>127</v>
      </c>
    </row>
    <row r="17" spans="1:14">
      <c r="A17" s="155" t="s">
        <v>224</v>
      </c>
      <c r="B17" s="155">
        <v>275267</v>
      </c>
      <c r="C17" s="155">
        <v>275051</v>
      </c>
      <c r="D17" s="155">
        <v>136</v>
      </c>
      <c r="E17" s="155">
        <v>80</v>
      </c>
      <c r="F17" s="155">
        <v>0</v>
      </c>
      <c r="J17" s="155" t="s">
        <v>224</v>
      </c>
      <c r="K17" s="155">
        <v>275267</v>
      </c>
      <c r="L17" s="155">
        <v>275051</v>
      </c>
      <c r="M17" s="155">
        <v>136</v>
      </c>
      <c r="N17" s="155">
        <v>80</v>
      </c>
    </row>
    <row r="24" spans="1:14">
      <c r="F24" s="157"/>
      <c r="G24" s="157"/>
    </row>
    <row r="25" spans="1:14">
      <c r="F25" s="157"/>
      <c r="G25" s="157"/>
    </row>
    <row r="26" spans="1:14">
      <c r="F26" s="157"/>
      <c r="G26" s="15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D12CB-C894-4A3E-8FEF-73506B0990CF}">
  <dimension ref="A1:W48"/>
  <sheetViews>
    <sheetView workbookViewId="0">
      <selection activeCell="D2" sqref="D2:D24"/>
    </sheetView>
  </sheetViews>
  <sheetFormatPr defaultRowHeight="15.6"/>
  <cols>
    <col min="1" max="3" width="8.6640625" style="155"/>
    <col min="4" max="4" width="10.9140625" style="155" bestFit="1" customWidth="1"/>
    <col min="5" max="5" width="10.1640625" style="155" bestFit="1" customWidth="1"/>
    <col min="6" max="6" width="8.6640625" style="155"/>
    <col min="7" max="7" width="8.75" style="155" bestFit="1" customWidth="1"/>
    <col min="9" max="16384" width="8.6640625" style="155"/>
  </cols>
  <sheetData>
    <row r="1" spans="1:23" s="156" customFormat="1">
      <c r="A1" s="156" t="s">
        <v>243</v>
      </c>
      <c r="B1" s="156" t="s">
        <v>242</v>
      </c>
      <c r="C1" s="156" t="s">
        <v>162</v>
      </c>
      <c r="D1" s="156" t="s">
        <v>159</v>
      </c>
      <c r="E1" s="156" t="s">
        <v>334</v>
      </c>
      <c r="F1" s="156" t="s">
        <v>335</v>
      </c>
      <c r="G1" s="129" t="s">
        <v>336</v>
      </c>
      <c r="H1" s="156" t="s">
        <v>338</v>
      </c>
      <c r="I1" s="156" t="s">
        <v>341</v>
      </c>
      <c r="J1" s="156" t="s">
        <v>163</v>
      </c>
      <c r="S1" s="156">
        <v>5</v>
      </c>
      <c r="T1" s="156">
        <v>52</v>
      </c>
      <c r="U1" s="156">
        <v>32</v>
      </c>
      <c r="V1" s="156">
        <v>6</v>
      </c>
      <c r="W1" s="156">
        <v>5</v>
      </c>
    </row>
    <row r="2" spans="1:23">
      <c r="A2" s="181" t="s">
        <v>232</v>
      </c>
      <c r="B2" s="181">
        <v>822435</v>
      </c>
      <c r="C2" s="181">
        <v>820133</v>
      </c>
      <c r="D2" s="181">
        <v>2064</v>
      </c>
      <c r="E2" s="181">
        <v>0</v>
      </c>
      <c r="F2" s="181">
        <v>1177</v>
      </c>
      <c r="G2" s="126">
        <v>660</v>
      </c>
      <c r="H2" s="181">
        <v>124</v>
      </c>
      <c r="I2" s="181">
        <v>103</v>
      </c>
      <c r="J2" s="181">
        <v>238</v>
      </c>
      <c r="N2" s="155" t="s">
        <v>243</v>
      </c>
      <c r="O2" s="155" t="s">
        <v>242</v>
      </c>
      <c r="P2" s="155" t="s">
        <v>162</v>
      </c>
      <c r="Q2" s="155" t="s">
        <v>159</v>
      </c>
      <c r="R2" s="155" t="s">
        <v>163</v>
      </c>
      <c r="S2" s="155" t="s">
        <v>334</v>
      </c>
      <c r="T2" s="155" t="s">
        <v>335</v>
      </c>
      <c r="U2" s="155" t="s">
        <v>336</v>
      </c>
      <c r="V2" s="155" t="s">
        <v>338</v>
      </c>
      <c r="W2" s="155" t="s">
        <v>341</v>
      </c>
    </row>
    <row r="3" spans="1:23">
      <c r="A3" s="181" t="s">
        <v>176</v>
      </c>
      <c r="B3" s="181">
        <v>492340</v>
      </c>
      <c r="C3" s="181">
        <v>481690</v>
      </c>
      <c r="D3" s="181">
        <v>10507</v>
      </c>
      <c r="E3" s="181">
        <v>1092</v>
      </c>
      <c r="F3" s="181">
        <v>4897</v>
      </c>
      <c r="G3" s="126">
        <v>3362</v>
      </c>
      <c r="H3" s="181">
        <v>631</v>
      </c>
      <c r="I3" s="181">
        <v>525</v>
      </c>
      <c r="J3" s="181">
        <v>143</v>
      </c>
      <c r="N3" s="155" t="s">
        <v>232</v>
      </c>
      <c r="O3" s="155">
        <v>822435</v>
      </c>
      <c r="P3" s="155">
        <v>820133</v>
      </c>
      <c r="Q3" s="155">
        <v>2064</v>
      </c>
      <c r="R3" s="155">
        <v>238</v>
      </c>
      <c r="S3" s="180">
        <v>0</v>
      </c>
      <c r="T3" s="180">
        <f t="shared" ref="T3:T18" si="0">Q3-SUM(S3,U3:W3)</f>
        <v>1177</v>
      </c>
      <c r="U3" s="180">
        <v>660</v>
      </c>
      <c r="V3" s="180">
        <v>124</v>
      </c>
      <c r="W3" s="180">
        <v>103</v>
      </c>
    </row>
    <row r="4" spans="1:23">
      <c r="A4" s="181" t="s">
        <v>233</v>
      </c>
      <c r="B4" s="181">
        <v>55268</v>
      </c>
      <c r="C4" s="181">
        <v>54702</v>
      </c>
      <c r="D4" s="181">
        <v>550</v>
      </c>
      <c r="E4" s="181">
        <v>0</v>
      </c>
      <c r="F4" s="181">
        <v>313</v>
      </c>
      <c r="G4" s="126">
        <v>176</v>
      </c>
      <c r="H4" s="181">
        <v>33</v>
      </c>
      <c r="I4" s="181">
        <v>28</v>
      </c>
      <c r="J4" s="181">
        <v>16</v>
      </c>
      <c r="N4" s="155" t="s">
        <v>176</v>
      </c>
      <c r="O4" s="155">
        <v>492340</v>
      </c>
      <c r="P4" s="155">
        <v>481690</v>
      </c>
      <c r="Q4" s="155">
        <v>10507</v>
      </c>
      <c r="R4" s="155">
        <v>143</v>
      </c>
      <c r="S4" s="180">
        <v>1092</v>
      </c>
      <c r="T4" s="180">
        <f t="shared" si="0"/>
        <v>4897</v>
      </c>
      <c r="U4" s="180">
        <v>3362</v>
      </c>
      <c r="V4" s="180">
        <v>631</v>
      </c>
      <c r="W4" s="180">
        <v>525</v>
      </c>
    </row>
    <row r="5" spans="1:23">
      <c r="A5" s="181" t="s">
        <v>234</v>
      </c>
      <c r="B5" s="181">
        <v>244704</v>
      </c>
      <c r="C5" s="181">
        <v>222465</v>
      </c>
      <c r="D5" s="181">
        <v>22168</v>
      </c>
      <c r="E5" s="181">
        <v>1040</v>
      </c>
      <c r="F5" s="181">
        <v>11596</v>
      </c>
      <c r="G5" s="126">
        <v>7094</v>
      </c>
      <c r="H5" s="181">
        <v>1330</v>
      </c>
      <c r="I5" s="181">
        <v>1108</v>
      </c>
      <c r="J5" s="181">
        <v>71</v>
      </c>
      <c r="N5" s="155" t="s">
        <v>233</v>
      </c>
      <c r="O5" s="155">
        <v>55268</v>
      </c>
      <c r="P5" s="155">
        <v>54702</v>
      </c>
      <c r="Q5" s="155">
        <v>550</v>
      </c>
      <c r="R5" s="155">
        <v>16</v>
      </c>
      <c r="S5" s="180">
        <v>0</v>
      </c>
      <c r="T5" s="180">
        <f t="shared" si="0"/>
        <v>313</v>
      </c>
      <c r="U5" s="180">
        <v>176</v>
      </c>
      <c r="V5" s="180">
        <v>33</v>
      </c>
      <c r="W5" s="180">
        <v>28</v>
      </c>
    </row>
    <row r="6" spans="1:23">
      <c r="A6" s="181" t="s">
        <v>235</v>
      </c>
      <c r="B6" s="181">
        <v>352875</v>
      </c>
      <c r="C6" s="181">
        <v>351888</v>
      </c>
      <c r="D6" s="181">
        <v>885</v>
      </c>
      <c r="E6" s="181">
        <v>0</v>
      </c>
      <c r="F6" s="181">
        <v>504</v>
      </c>
      <c r="G6" s="126">
        <v>284</v>
      </c>
      <c r="H6" s="181">
        <v>53</v>
      </c>
      <c r="I6" s="181">
        <v>44</v>
      </c>
      <c r="J6" s="181">
        <v>102</v>
      </c>
      <c r="N6" s="155" t="s">
        <v>234</v>
      </c>
      <c r="O6" s="155">
        <v>244704</v>
      </c>
      <c r="P6" s="155">
        <v>222465</v>
      </c>
      <c r="Q6" s="155">
        <v>22168</v>
      </c>
      <c r="R6" s="155">
        <v>71</v>
      </c>
      <c r="S6" s="180">
        <v>1040</v>
      </c>
      <c r="T6" s="180">
        <f t="shared" si="0"/>
        <v>11596</v>
      </c>
      <c r="U6" s="180">
        <v>7094</v>
      </c>
      <c r="V6" s="180">
        <v>1330</v>
      </c>
      <c r="W6" s="180">
        <v>1108</v>
      </c>
    </row>
    <row r="7" spans="1:23">
      <c r="A7" s="181" t="s">
        <v>236</v>
      </c>
      <c r="B7" s="181">
        <v>431584</v>
      </c>
      <c r="C7" s="181">
        <v>430376</v>
      </c>
      <c r="D7" s="181">
        <v>1083</v>
      </c>
      <c r="E7" s="181">
        <v>0</v>
      </c>
      <c r="F7" s="181">
        <v>617</v>
      </c>
      <c r="G7" s="126">
        <v>347</v>
      </c>
      <c r="H7" s="181">
        <v>65</v>
      </c>
      <c r="I7" s="181">
        <v>54</v>
      </c>
      <c r="J7" s="181">
        <v>125</v>
      </c>
      <c r="N7" s="155" t="s">
        <v>235</v>
      </c>
      <c r="O7" s="155">
        <v>352875</v>
      </c>
      <c r="P7" s="155">
        <v>351888</v>
      </c>
      <c r="Q7" s="155">
        <v>885</v>
      </c>
      <c r="R7" s="155">
        <v>102</v>
      </c>
      <c r="S7" s="180">
        <v>0</v>
      </c>
      <c r="T7" s="180">
        <f t="shared" si="0"/>
        <v>504</v>
      </c>
      <c r="U7" s="180">
        <v>284</v>
      </c>
      <c r="V7" s="180">
        <v>53</v>
      </c>
      <c r="W7" s="180">
        <v>44</v>
      </c>
    </row>
    <row r="8" spans="1:23">
      <c r="A8" s="181" t="s">
        <v>206</v>
      </c>
      <c r="B8" s="181">
        <v>127025</v>
      </c>
      <c r="C8" s="181">
        <v>126988</v>
      </c>
      <c r="D8" s="181">
        <v>0</v>
      </c>
      <c r="E8" s="181">
        <v>0</v>
      </c>
      <c r="F8" s="181">
        <v>0</v>
      </c>
      <c r="G8" s="126">
        <v>0</v>
      </c>
      <c r="H8" s="181">
        <v>0</v>
      </c>
      <c r="I8" s="181">
        <v>0</v>
      </c>
      <c r="J8" s="181">
        <v>37</v>
      </c>
      <c r="N8" s="155" t="s">
        <v>236</v>
      </c>
      <c r="O8" s="155">
        <v>431584</v>
      </c>
      <c r="P8" s="155">
        <v>430376</v>
      </c>
      <c r="Q8" s="155">
        <v>1083</v>
      </c>
      <c r="R8" s="155">
        <v>125</v>
      </c>
      <c r="S8" s="180">
        <v>0</v>
      </c>
      <c r="T8" s="180">
        <f t="shared" si="0"/>
        <v>617</v>
      </c>
      <c r="U8" s="180">
        <v>347</v>
      </c>
      <c r="V8" s="180">
        <v>65</v>
      </c>
      <c r="W8" s="180">
        <v>54</v>
      </c>
    </row>
    <row r="9" spans="1:23">
      <c r="A9" s="181" t="s">
        <v>237</v>
      </c>
      <c r="B9" s="181">
        <v>370030</v>
      </c>
      <c r="C9" s="181">
        <v>353397</v>
      </c>
      <c r="D9" s="181">
        <v>16526</v>
      </c>
      <c r="E9" s="181">
        <v>620</v>
      </c>
      <c r="F9" s="181">
        <v>8800</v>
      </c>
      <c r="G9" s="126">
        <v>5288</v>
      </c>
      <c r="H9" s="181">
        <v>992</v>
      </c>
      <c r="I9" s="181">
        <v>826</v>
      </c>
      <c r="J9" s="181">
        <v>107</v>
      </c>
      <c r="N9" s="155" t="s">
        <v>206</v>
      </c>
      <c r="O9" s="155">
        <v>127025</v>
      </c>
      <c r="P9" s="155">
        <v>126988</v>
      </c>
      <c r="Q9" s="155">
        <v>0</v>
      </c>
      <c r="R9" s="155">
        <v>37</v>
      </c>
      <c r="S9" s="180">
        <v>0</v>
      </c>
      <c r="T9" s="180">
        <f t="shared" si="0"/>
        <v>0</v>
      </c>
      <c r="U9" s="180">
        <v>0</v>
      </c>
      <c r="V9" s="180">
        <v>0</v>
      </c>
      <c r="W9" s="180">
        <v>0</v>
      </c>
    </row>
    <row r="10" spans="1:23">
      <c r="A10" s="181" t="s">
        <v>210</v>
      </c>
      <c r="B10" s="181">
        <v>85920</v>
      </c>
      <c r="C10" s="181">
        <v>85895</v>
      </c>
      <c r="D10" s="181">
        <v>0</v>
      </c>
      <c r="E10" s="181">
        <v>0</v>
      </c>
      <c r="F10" s="181">
        <v>0</v>
      </c>
      <c r="G10" s="126">
        <v>0</v>
      </c>
      <c r="H10" s="181">
        <v>0</v>
      </c>
      <c r="I10" s="181">
        <v>0</v>
      </c>
      <c r="J10" s="181">
        <v>25</v>
      </c>
      <c r="N10" s="155" t="s">
        <v>237</v>
      </c>
      <c r="O10" s="155">
        <v>370030</v>
      </c>
      <c r="P10" s="155">
        <v>353397</v>
      </c>
      <c r="Q10" s="155">
        <v>16526</v>
      </c>
      <c r="R10" s="155">
        <v>107</v>
      </c>
      <c r="S10" s="180">
        <v>620</v>
      </c>
      <c r="T10" s="180">
        <f t="shared" si="0"/>
        <v>8800</v>
      </c>
      <c r="U10" s="180">
        <v>5288</v>
      </c>
      <c r="V10" s="180">
        <v>992</v>
      </c>
      <c r="W10" s="180">
        <v>826</v>
      </c>
    </row>
    <row r="11" spans="1:23">
      <c r="A11" s="181" t="s">
        <v>212</v>
      </c>
      <c r="B11" s="181">
        <v>68779</v>
      </c>
      <c r="C11" s="181">
        <v>68759</v>
      </c>
      <c r="D11" s="181">
        <v>0</v>
      </c>
      <c r="E11" s="181">
        <v>0</v>
      </c>
      <c r="F11" s="181">
        <v>0</v>
      </c>
      <c r="G11" s="126">
        <v>0</v>
      </c>
      <c r="H11" s="181">
        <v>0</v>
      </c>
      <c r="I11" s="181">
        <v>0</v>
      </c>
      <c r="J11" s="181">
        <v>20</v>
      </c>
      <c r="N11" s="155" t="s">
        <v>210</v>
      </c>
      <c r="O11" s="155">
        <v>85920</v>
      </c>
      <c r="P11" s="155">
        <v>85895</v>
      </c>
      <c r="Q11" s="155">
        <v>0</v>
      </c>
      <c r="R11" s="155">
        <v>25</v>
      </c>
      <c r="S11" s="180">
        <v>0</v>
      </c>
      <c r="T11" s="180">
        <f t="shared" si="0"/>
        <v>0</v>
      </c>
      <c r="U11" s="180">
        <v>0</v>
      </c>
      <c r="V11" s="180">
        <v>0</v>
      </c>
      <c r="W11" s="180">
        <v>0</v>
      </c>
    </row>
    <row r="12" spans="1:23">
      <c r="A12" s="181" t="s">
        <v>214</v>
      </c>
      <c r="B12" s="181">
        <v>205946</v>
      </c>
      <c r="C12" s="181">
        <v>205716</v>
      </c>
      <c r="D12" s="181">
        <v>170</v>
      </c>
      <c r="E12" s="181">
        <v>0</v>
      </c>
      <c r="F12" s="181">
        <v>97</v>
      </c>
      <c r="G12" s="126">
        <v>54</v>
      </c>
      <c r="H12" s="181">
        <v>10</v>
      </c>
      <c r="I12" s="181">
        <v>9</v>
      </c>
      <c r="J12" s="181">
        <v>60</v>
      </c>
      <c r="N12" s="155" t="s">
        <v>212</v>
      </c>
      <c r="O12" s="155">
        <v>68779</v>
      </c>
      <c r="P12" s="155">
        <v>68759</v>
      </c>
      <c r="Q12" s="155">
        <v>0</v>
      </c>
      <c r="R12" s="155">
        <v>20</v>
      </c>
      <c r="S12" s="180">
        <v>0</v>
      </c>
      <c r="T12" s="180">
        <f t="shared" si="0"/>
        <v>0</v>
      </c>
      <c r="U12" s="180">
        <v>0</v>
      </c>
      <c r="V12" s="180">
        <v>0</v>
      </c>
      <c r="W12" s="180">
        <v>0</v>
      </c>
    </row>
    <row r="13" spans="1:23">
      <c r="A13" s="181" t="s">
        <v>238</v>
      </c>
      <c r="B13" s="181">
        <v>319208</v>
      </c>
      <c r="C13" s="181">
        <v>318957</v>
      </c>
      <c r="D13" s="181">
        <v>158</v>
      </c>
      <c r="E13" s="181">
        <v>0</v>
      </c>
      <c r="F13" s="181">
        <v>90</v>
      </c>
      <c r="G13" s="126">
        <v>51</v>
      </c>
      <c r="H13" s="181">
        <v>9</v>
      </c>
      <c r="I13" s="181">
        <v>8</v>
      </c>
      <c r="J13" s="181">
        <v>93</v>
      </c>
      <c r="N13" s="155" t="s">
        <v>214</v>
      </c>
      <c r="O13" s="155">
        <v>205946</v>
      </c>
      <c r="P13" s="155">
        <v>205716</v>
      </c>
      <c r="Q13" s="155">
        <v>170</v>
      </c>
      <c r="R13" s="155">
        <v>60</v>
      </c>
      <c r="S13" s="180">
        <v>0</v>
      </c>
      <c r="T13" s="180">
        <f t="shared" si="0"/>
        <v>97</v>
      </c>
      <c r="U13" s="180">
        <v>54</v>
      </c>
      <c r="V13" s="180">
        <v>10</v>
      </c>
      <c r="W13" s="180">
        <v>9</v>
      </c>
    </row>
    <row r="14" spans="1:23">
      <c r="A14" s="181" t="s">
        <v>239</v>
      </c>
      <c r="B14" s="181">
        <v>749100</v>
      </c>
      <c r="C14" s="181">
        <v>748513</v>
      </c>
      <c r="D14" s="181">
        <v>370</v>
      </c>
      <c r="E14" s="181">
        <v>0</v>
      </c>
      <c r="F14" s="181">
        <v>211</v>
      </c>
      <c r="G14" s="126">
        <v>118</v>
      </c>
      <c r="H14" s="181">
        <v>22</v>
      </c>
      <c r="I14" s="181">
        <v>19</v>
      </c>
      <c r="J14" s="181">
        <v>217</v>
      </c>
      <c r="N14" s="155" t="s">
        <v>238</v>
      </c>
      <c r="O14" s="155">
        <v>319208</v>
      </c>
      <c r="P14" s="155">
        <v>318957</v>
      </c>
      <c r="Q14" s="155">
        <v>158</v>
      </c>
      <c r="R14" s="155">
        <v>93</v>
      </c>
      <c r="S14" s="180">
        <v>0</v>
      </c>
      <c r="T14" s="180">
        <f t="shared" si="0"/>
        <v>90</v>
      </c>
      <c r="U14" s="180">
        <v>51</v>
      </c>
      <c r="V14" s="180">
        <v>9</v>
      </c>
      <c r="W14" s="180">
        <v>8</v>
      </c>
    </row>
    <row r="15" spans="1:23">
      <c r="A15" s="181" t="s">
        <v>240</v>
      </c>
      <c r="B15" s="181">
        <v>444412</v>
      </c>
      <c r="C15" s="181">
        <v>444064</v>
      </c>
      <c r="D15" s="181">
        <v>219</v>
      </c>
      <c r="E15" s="181">
        <v>0</v>
      </c>
      <c r="F15" s="181">
        <v>125</v>
      </c>
      <c r="G15" s="126">
        <v>70</v>
      </c>
      <c r="H15" s="181">
        <v>13</v>
      </c>
      <c r="I15" s="181">
        <v>11</v>
      </c>
      <c r="J15" s="181">
        <v>129</v>
      </c>
      <c r="N15" s="155" t="s">
        <v>239</v>
      </c>
      <c r="O15" s="155">
        <v>749100</v>
      </c>
      <c r="P15" s="155">
        <v>748513</v>
      </c>
      <c r="Q15" s="155">
        <v>370</v>
      </c>
      <c r="R15" s="155">
        <v>217</v>
      </c>
      <c r="S15" s="180">
        <v>0</v>
      </c>
      <c r="T15" s="180">
        <f t="shared" si="0"/>
        <v>211</v>
      </c>
      <c r="U15" s="180">
        <v>118</v>
      </c>
      <c r="V15" s="180">
        <v>22</v>
      </c>
      <c r="W15" s="180">
        <v>19</v>
      </c>
    </row>
    <row r="16" spans="1:23">
      <c r="A16" s="181" t="s">
        <v>241</v>
      </c>
      <c r="B16" s="181">
        <v>438557</v>
      </c>
      <c r="C16" s="181">
        <v>438213</v>
      </c>
      <c r="D16" s="181">
        <v>217</v>
      </c>
      <c r="E16" s="181">
        <v>0</v>
      </c>
      <c r="F16" s="181">
        <v>124</v>
      </c>
      <c r="G16" s="126">
        <v>69</v>
      </c>
      <c r="H16" s="181">
        <v>13</v>
      </c>
      <c r="I16" s="181">
        <v>11</v>
      </c>
      <c r="J16" s="181">
        <v>127</v>
      </c>
      <c r="N16" s="155" t="s">
        <v>240</v>
      </c>
      <c r="O16" s="155">
        <v>444412</v>
      </c>
      <c r="P16" s="155">
        <v>444064</v>
      </c>
      <c r="Q16" s="155">
        <v>219</v>
      </c>
      <c r="R16" s="155">
        <v>129</v>
      </c>
      <c r="S16" s="180">
        <v>0</v>
      </c>
      <c r="T16" s="180">
        <f t="shared" si="0"/>
        <v>125</v>
      </c>
      <c r="U16" s="180">
        <v>70</v>
      </c>
      <c r="V16" s="180">
        <v>13</v>
      </c>
      <c r="W16" s="180">
        <v>11</v>
      </c>
    </row>
    <row r="17" spans="1:23">
      <c r="A17" s="181" t="s">
        <v>224</v>
      </c>
      <c r="B17" s="181">
        <v>275267</v>
      </c>
      <c r="C17" s="181">
        <v>275051</v>
      </c>
      <c r="D17" s="181">
        <v>136</v>
      </c>
      <c r="E17" s="181">
        <v>0</v>
      </c>
      <c r="F17" s="181">
        <v>77</v>
      </c>
      <c r="G17" s="126">
        <v>44</v>
      </c>
      <c r="H17" s="181">
        <v>8</v>
      </c>
      <c r="I17" s="181">
        <v>7</v>
      </c>
      <c r="J17" s="181">
        <v>80</v>
      </c>
      <c r="N17" s="155" t="s">
        <v>241</v>
      </c>
      <c r="O17" s="155">
        <v>438557</v>
      </c>
      <c r="P17" s="155">
        <v>438213</v>
      </c>
      <c r="Q17" s="155">
        <v>217</v>
      </c>
      <c r="R17" s="155">
        <v>127</v>
      </c>
      <c r="S17" s="180">
        <v>0</v>
      </c>
      <c r="T17" s="180">
        <f t="shared" si="0"/>
        <v>124</v>
      </c>
      <c r="U17" s="180">
        <v>69</v>
      </c>
      <c r="V17" s="180">
        <v>13</v>
      </c>
      <c r="W17" s="180">
        <v>11</v>
      </c>
    </row>
    <row r="18" spans="1:23">
      <c r="B18" s="160"/>
      <c r="D18" s="160"/>
      <c r="E18" s="159"/>
      <c r="G18" s="160"/>
      <c r="H18" s="126"/>
      <c r="N18" s="155" t="s">
        <v>224</v>
      </c>
      <c r="O18" s="155">
        <v>275267</v>
      </c>
      <c r="P18" s="155">
        <v>275051</v>
      </c>
      <c r="Q18" s="155">
        <v>136</v>
      </c>
      <c r="R18" s="155">
        <v>80</v>
      </c>
      <c r="S18" s="180">
        <v>0</v>
      </c>
      <c r="T18" s="180">
        <f t="shared" si="0"/>
        <v>77</v>
      </c>
      <c r="U18" s="180">
        <v>44</v>
      </c>
      <c r="V18" s="180">
        <v>8</v>
      </c>
      <c r="W18" s="180">
        <v>7</v>
      </c>
    </row>
    <row r="19" spans="1:23">
      <c r="B19" s="160"/>
      <c r="D19" s="160"/>
      <c r="E19" s="159"/>
      <c r="G19" s="160"/>
      <c r="H19" s="126"/>
      <c r="S19" s="155">
        <f>SUM(S3:S18)</f>
        <v>2752</v>
      </c>
      <c r="T19" s="155">
        <f>SUM(T3:T18)</f>
        <v>28628</v>
      </c>
      <c r="U19" s="155">
        <f>SUM(U3:U18)</f>
        <v>17617</v>
      </c>
      <c r="V19" s="155">
        <f>SUM(V3:V18)</f>
        <v>3303</v>
      </c>
      <c r="W19" s="155">
        <f>SUM(W3:W18)</f>
        <v>2753</v>
      </c>
    </row>
    <row r="21" spans="1:23" ht="14.4">
      <c r="B21" s="160"/>
      <c r="C21" s="160"/>
      <c r="D21" s="160"/>
      <c r="E21" s="160"/>
      <c r="F21" s="160"/>
      <c r="G21" s="160"/>
      <c r="H21" s="155"/>
      <c r="Q21" s="155">
        <f>SUM(Q3:Q18)</f>
        <v>55053</v>
      </c>
      <c r="S21" s="155">
        <f>$Q$21*(S1/100)</f>
        <v>2752.65</v>
      </c>
      <c r="T21" s="155">
        <f>$Q$21*(T1/100)</f>
        <v>28627.56</v>
      </c>
      <c r="U21" s="155">
        <f>$Q$21*(U1/100)</f>
        <v>17616.96</v>
      </c>
      <c r="V21" s="155">
        <f>$Q$21*(V1/100)</f>
        <v>3303.18</v>
      </c>
      <c r="W21" s="155">
        <f>$Q$21*(W1/100)</f>
        <v>2752.65</v>
      </c>
    </row>
    <row r="22" spans="1:23">
      <c r="E22" s="129"/>
      <c r="F22" s="157"/>
      <c r="H22" s="155"/>
    </row>
    <row r="23" spans="1:23">
      <c r="E23" s="129"/>
      <c r="F23" s="157"/>
      <c r="G23" s="160"/>
      <c r="H23" s="155"/>
      <c r="S23" s="155">
        <f>S21-S19</f>
        <v>0.65000000000009095</v>
      </c>
      <c r="T23" s="155">
        <f>T21-T19</f>
        <v>-0.43999999999869033</v>
      </c>
      <c r="U23" s="155">
        <f>U21-U19</f>
        <v>-4.0000000000873115E-2</v>
      </c>
      <c r="V23" s="155">
        <f>V21-V19</f>
        <v>0.17999999999983629</v>
      </c>
      <c r="W23" s="155">
        <f>W21-W19</f>
        <v>-0.34999999999990905</v>
      </c>
    </row>
    <row r="24" spans="1:23">
      <c r="B24" s="160"/>
      <c r="C24" s="161"/>
      <c r="D24" s="161"/>
      <c r="E24" s="129"/>
      <c r="F24" s="157"/>
      <c r="H24" s="155"/>
    </row>
    <row r="25" spans="1:23">
      <c r="B25" s="160"/>
      <c r="C25" s="161"/>
      <c r="E25" s="154"/>
      <c r="N25" s="126"/>
    </row>
    <row r="26" spans="1:23">
      <c r="B26" s="160"/>
      <c r="C26" s="161"/>
      <c r="F26" s="160"/>
      <c r="N26" s="126"/>
      <c r="U26" s="155">
        <v>123.83999999999999</v>
      </c>
      <c r="V26" s="155">
        <v>103.2</v>
      </c>
    </row>
    <row r="27" spans="1:23">
      <c r="N27" s="126" t="s">
        <v>339</v>
      </c>
      <c r="U27" s="155">
        <v>630.41999999999996</v>
      </c>
      <c r="V27" s="155">
        <v>525.35</v>
      </c>
    </row>
    <row r="28" spans="1:23">
      <c r="F28" s="160"/>
      <c r="N28" s="126" t="s">
        <v>340</v>
      </c>
      <c r="U28" s="155">
        <v>33</v>
      </c>
      <c r="V28" s="155">
        <v>27.5</v>
      </c>
    </row>
    <row r="29" spans="1:23">
      <c r="D29" s="160"/>
      <c r="N29" s="126"/>
      <c r="U29" s="155">
        <v>1330.08</v>
      </c>
      <c r="V29" s="155">
        <v>1108.4000000000001</v>
      </c>
    </row>
    <row r="30" spans="1:23">
      <c r="N30" s="126"/>
      <c r="U30" s="155">
        <v>53.1</v>
      </c>
      <c r="V30" s="155">
        <v>44.25</v>
      </c>
    </row>
    <row r="31" spans="1:23">
      <c r="K31" s="181"/>
      <c r="L31" s="181"/>
      <c r="M31" s="181"/>
      <c r="U31" s="155">
        <v>64.98</v>
      </c>
      <c r="V31" s="155">
        <v>54.150000000000006</v>
      </c>
    </row>
    <row r="32" spans="1:23">
      <c r="K32" s="181"/>
      <c r="L32" s="181"/>
      <c r="M32" s="181"/>
      <c r="U32" s="155">
        <v>0</v>
      </c>
      <c r="V32" s="155">
        <v>0</v>
      </c>
    </row>
    <row r="33" spans="7:22">
      <c r="K33" s="181"/>
      <c r="L33" s="181"/>
      <c r="M33" s="181"/>
      <c r="U33" s="155">
        <v>991.56</v>
      </c>
      <c r="V33" s="155">
        <v>826.30000000000007</v>
      </c>
    </row>
    <row r="34" spans="7:22">
      <c r="K34" s="181"/>
      <c r="L34" s="181"/>
      <c r="M34" s="181"/>
      <c r="U34" s="155">
        <v>0</v>
      </c>
      <c r="V34" s="155">
        <v>0</v>
      </c>
    </row>
    <row r="35" spans="7:22">
      <c r="K35" s="181"/>
      <c r="L35" s="181"/>
      <c r="M35" s="181"/>
      <c r="U35" s="155">
        <v>0</v>
      </c>
      <c r="V35" s="155">
        <v>0</v>
      </c>
    </row>
    <row r="36" spans="7:22">
      <c r="K36" s="181"/>
      <c r="L36" s="181"/>
      <c r="M36" s="181"/>
      <c r="U36" s="155">
        <v>10.199999999999999</v>
      </c>
      <c r="V36" s="155">
        <v>8.5</v>
      </c>
    </row>
    <row r="37" spans="7:22">
      <c r="K37" s="181"/>
      <c r="L37" s="181"/>
      <c r="M37" s="181"/>
      <c r="U37" s="155">
        <v>9.48</v>
      </c>
      <c r="V37" s="155">
        <v>7.9</v>
      </c>
    </row>
    <row r="38" spans="7:22">
      <c r="K38" s="181"/>
      <c r="L38" s="181"/>
      <c r="M38" s="181"/>
      <c r="U38" s="155">
        <v>22.2</v>
      </c>
      <c r="V38" s="155">
        <v>18.5</v>
      </c>
    </row>
    <row r="39" spans="7:22">
      <c r="K39" s="181"/>
      <c r="L39" s="181"/>
      <c r="M39" s="181"/>
      <c r="U39" s="155">
        <v>13.139999999999999</v>
      </c>
      <c r="V39" s="155">
        <v>10.950000000000001</v>
      </c>
    </row>
    <row r="40" spans="7:22">
      <c r="K40" s="181"/>
      <c r="L40" s="181"/>
      <c r="M40" s="181"/>
      <c r="U40" s="155">
        <v>13.02</v>
      </c>
      <c r="V40" s="155">
        <v>10.850000000000001</v>
      </c>
    </row>
    <row r="41" spans="7:22">
      <c r="K41" s="181"/>
      <c r="L41" s="181"/>
      <c r="M41" s="181"/>
      <c r="U41" s="155">
        <v>8.16</v>
      </c>
      <c r="V41" s="155">
        <v>6.8000000000000007</v>
      </c>
    </row>
    <row r="42" spans="7:22">
      <c r="K42" s="181"/>
      <c r="L42" s="181"/>
      <c r="M42" s="181"/>
    </row>
    <row r="43" spans="7:22">
      <c r="K43" s="181"/>
      <c r="L43" s="181"/>
      <c r="M43" s="181"/>
    </row>
    <row r="44" spans="7:22">
      <c r="K44" s="181"/>
      <c r="L44" s="181"/>
      <c r="M44" s="181"/>
    </row>
    <row r="45" spans="7:22">
      <c r="K45" s="181"/>
      <c r="L45" s="181"/>
      <c r="M45" s="181"/>
    </row>
    <row r="46" spans="7:22">
      <c r="K46" s="181"/>
      <c r="L46" s="181"/>
      <c r="M46" s="181"/>
    </row>
    <row r="47" spans="7:22">
      <c r="K47" s="181"/>
      <c r="L47" s="181"/>
      <c r="M47" s="181"/>
    </row>
    <row r="48" spans="7:22">
      <c r="G48"/>
      <c r="H48" s="1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3FCC-CBB7-4953-8EED-4F019BD295A6}">
  <dimension ref="A1:V40"/>
  <sheetViews>
    <sheetView topLeftCell="A32" workbookViewId="0">
      <selection activeCell="D23" sqref="D23"/>
    </sheetView>
  </sheetViews>
  <sheetFormatPr defaultRowHeight="14.4"/>
  <cols>
    <col min="1" max="16384" width="8.6640625" style="159"/>
  </cols>
  <sheetData>
    <row r="1" spans="1:22">
      <c r="A1" s="156" t="s">
        <v>243</v>
      </c>
      <c r="B1" s="156" t="s">
        <v>242</v>
      </c>
      <c r="C1" s="156" t="s">
        <v>162</v>
      </c>
      <c r="D1" s="156" t="s">
        <v>157</v>
      </c>
      <c r="E1" s="156" t="s">
        <v>334</v>
      </c>
      <c r="F1" s="156" t="s">
        <v>335</v>
      </c>
      <c r="G1" s="163" t="s">
        <v>336</v>
      </c>
      <c r="H1" s="156" t="s">
        <v>338</v>
      </c>
      <c r="I1" s="156" t="s">
        <v>341</v>
      </c>
      <c r="J1" s="156" t="s">
        <v>163</v>
      </c>
      <c r="N1" s="156" t="s">
        <v>243</v>
      </c>
      <c r="O1" s="156" t="s">
        <v>290</v>
      </c>
      <c r="P1" s="156" t="s">
        <v>286</v>
      </c>
      <c r="Q1" s="156" t="s">
        <v>162</v>
      </c>
      <c r="R1" s="156" t="s">
        <v>159</v>
      </c>
      <c r="S1" s="156" t="s">
        <v>163</v>
      </c>
    </row>
    <row r="2" spans="1:22">
      <c r="A2" s="187" t="s">
        <v>232</v>
      </c>
      <c r="B2" s="187">
        <f>SUM(C2:J2)</f>
        <v>846055</v>
      </c>
      <c r="C2" s="187">
        <v>820133</v>
      </c>
      <c r="D2" s="187">
        <v>23620</v>
      </c>
      <c r="E2" s="187">
        <v>0</v>
      </c>
      <c r="F2" s="187">
        <v>1177</v>
      </c>
      <c r="G2" s="159">
        <v>660</v>
      </c>
      <c r="H2" s="187">
        <v>124</v>
      </c>
      <c r="I2" s="187">
        <v>103</v>
      </c>
      <c r="J2" s="187">
        <v>238</v>
      </c>
      <c r="N2" s="187" t="s">
        <v>232</v>
      </c>
      <c r="O2" s="188">
        <v>804692</v>
      </c>
      <c r="P2" s="187">
        <v>22465</v>
      </c>
      <c r="Q2" s="188">
        <v>780038</v>
      </c>
      <c r="R2" s="188">
        <v>1963</v>
      </c>
      <c r="S2" s="188">
        <v>226</v>
      </c>
      <c r="T2" s="159">
        <f>P2/O2</f>
        <v>2.7917513781670504E-2</v>
      </c>
      <c r="U2" s="159">
        <f>T2*B2</f>
        <v>23619.752122551239</v>
      </c>
      <c r="V2" s="159">
        <v>22960</v>
      </c>
    </row>
    <row r="3" spans="1:22">
      <c r="A3" s="159" t="s">
        <v>355</v>
      </c>
      <c r="B3" s="187">
        <f t="shared" ref="B3:B18" si="0">SUM(C3:J3)</f>
        <v>565369</v>
      </c>
      <c r="C3" s="159">
        <v>307181</v>
      </c>
      <c r="D3" s="159">
        <v>247694</v>
      </c>
      <c r="E3" s="187">
        <v>1062</v>
      </c>
      <c r="F3" s="187">
        <v>4856</v>
      </c>
      <c r="G3" s="159">
        <v>3342</v>
      </c>
      <c r="H3" s="187">
        <v>626</v>
      </c>
      <c r="I3" s="187">
        <v>520</v>
      </c>
      <c r="J3" s="159">
        <v>88</v>
      </c>
      <c r="N3" s="182" t="s">
        <v>293</v>
      </c>
      <c r="O3" s="183">
        <v>544395</v>
      </c>
      <c r="P3" s="182">
        <v>239951</v>
      </c>
      <c r="Q3" s="183">
        <v>293950</v>
      </c>
      <c r="R3" s="183">
        <v>10406</v>
      </c>
      <c r="S3" s="182">
        <v>88</v>
      </c>
      <c r="T3" s="159">
        <f t="shared" ref="T3:T18" si="1">P3/O3</f>
        <v>0.44076635531185998</v>
      </c>
      <c r="U3" s="159">
        <f>T3*B3</f>
        <v>249195.63353631095</v>
      </c>
      <c r="V3" s="159">
        <v>217007</v>
      </c>
    </row>
    <row r="4" spans="1:22">
      <c r="A4" s="159" t="s">
        <v>356</v>
      </c>
      <c r="B4" s="187">
        <f t="shared" si="0"/>
        <v>264031</v>
      </c>
      <c r="C4" s="159">
        <v>174509</v>
      </c>
      <c r="D4" s="159">
        <v>89366</v>
      </c>
      <c r="E4" s="159">
        <v>30</v>
      </c>
      <c r="F4" s="159">
        <v>41</v>
      </c>
      <c r="G4" s="159">
        <v>20</v>
      </c>
      <c r="H4" s="159">
        <v>5</v>
      </c>
      <c r="I4" s="159">
        <v>5</v>
      </c>
      <c r="J4" s="159">
        <v>55</v>
      </c>
      <c r="N4" s="182" t="s">
        <v>294</v>
      </c>
      <c r="O4" s="183">
        <v>253962</v>
      </c>
      <c r="P4" s="182">
        <v>86572</v>
      </c>
      <c r="Q4" s="183">
        <v>167260</v>
      </c>
      <c r="R4" s="183">
        <v>81</v>
      </c>
      <c r="S4" s="182">
        <v>49</v>
      </c>
      <c r="T4" s="159">
        <f t="shared" si="1"/>
        <v>0.3408856443089911</v>
      </c>
      <c r="U4" s="159">
        <f t="shared" ref="U4:U17" si="2">T4*B5</f>
        <v>21591.355824887189</v>
      </c>
      <c r="V4" s="159">
        <v>18840</v>
      </c>
    </row>
    <row r="5" spans="1:22">
      <c r="A5" s="187" t="s">
        <v>233</v>
      </c>
      <c r="B5" s="187">
        <f t="shared" si="0"/>
        <v>63339</v>
      </c>
      <c r="C5" s="187">
        <v>54702</v>
      </c>
      <c r="D5" s="187">
        <v>8071</v>
      </c>
      <c r="E5" s="187">
        <v>0</v>
      </c>
      <c r="F5" s="187">
        <v>313</v>
      </c>
      <c r="G5" s="159">
        <v>176</v>
      </c>
      <c r="H5" s="187">
        <v>33</v>
      </c>
      <c r="I5" s="187">
        <v>28</v>
      </c>
      <c r="J5" s="187">
        <v>16</v>
      </c>
      <c r="N5" s="187" t="s">
        <v>233</v>
      </c>
      <c r="O5" s="188">
        <v>61162</v>
      </c>
      <c r="P5" s="187">
        <v>7845</v>
      </c>
      <c r="Q5" s="188">
        <v>53168</v>
      </c>
      <c r="R5" s="188">
        <v>134</v>
      </c>
      <c r="S5" s="188">
        <v>15</v>
      </c>
      <c r="T5" s="159">
        <f t="shared" si="1"/>
        <v>0.12826591674569177</v>
      </c>
      <c r="U5" s="159">
        <f t="shared" si="2"/>
        <v>44090.126222164086</v>
      </c>
      <c r="V5" s="159">
        <v>31387</v>
      </c>
    </row>
    <row r="6" spans="1:22">
      <c r="A6" s="187" t="s">
        <v>234</v>
      </c>
      <c r="B6" s="187">
        <f t="shared" si="0"/>
        <v>343740</v>
      </c>
      <c r="C6" s="187">
        <v>222465</v>
      </c>
      <c r="D6" s="187">
        <v>99036</v>
      </c>
      <c r="E6" s="187">
        <v>1040</v>
      </c>
      <c r="F6" s="187">
        <v>11596</v>
      </c>
      <c r="G6" s="159">
        <v>7094</v>
      </c>
      <c r="H6" s="187">
        <v>1330</v>
      </c>
      <c r="I6" s="187">
        <v>1108</v>
      </c>
      <c r="J6" s="187">
        <v>71</v>
      </c>
      <c r="N6" s="187" t="s">
        <v>234</v>
      </c>
      <c r="O6" s="188">
        <v>330081</v>
      </c>
      <c r="P6" s="187">
        <v>95279</v>
      </c>
      <c r="Q6" s="188">
        <v>214025</v>
      </c>
      <c r="R6" s="188">
        <v>20709</v>
      </c>
      <c r="S6" s="188">
        <v>68</v>
      </c>
      <c r="T6" s="159">
        <f t="shared" si="1"/>
        <v>0.28865339113732691</v>
      </c>
      <c r="U6" s="159">
        <f t="shared" si="2"/>
        <v>102977.09728824138</v>
      </c>
      <c r="V6" s="159">
        <v>101859</v>
      </c>
    </row>
    <row r="7" spans="1:22">
      <c r="A7" s="187" t="s">
        <v>235</v>
      </c>
      <c r="B7" s="187">
        <f t="shared" si="0"/>
        <v>356750</v>
      </c>
      <c r="C7" s="187">
        <v>351888</v>
      </c>
      <c r="D7" s="187">
        <v>3875</v>
      </c>
      <c r="E7" s="187">
        <v>0</v>
      </c>
      <c r="F7" s="187">
        <v>504</v>
      </c>
      <c r="G7" s="159">
        <v>284</v>
      </c>
      <c r="H7" s="187">
        <v>53</v>
      </c>
      <c r="I7" s="187">
        <v>44</v>
      </c>
      <c r="J7" s="187">
        <v>102</v>
      </c>
      <c r="N7" s="187" t="s">
        <v>235</v>
      </c>
      <c r="O7" s="188">
        <v>342641</v>
      </c>
      <c r="P7" s="187">
        <v>3722</v>
      </c>
      <c r="Q7" s="188">
        <v>337971</v>
      </c>
      <c r="R7" s="188">
        <v>850</v>
      </c>
      <c r="S7" s="188">
        <v>98</v>
      </c>
      <c r="T7" s="159">
        <f t="shared" si="1"/>
        <v>1.0862681348700243E-2</v>
      </c>
      <c r="U7" s="159">
        <f t="shared" si="2"/>
        <v>4937.2516132044912</v>
      </c>
      <c r="V7" s="159">
        <v>4688</v>
      </c>
    </row>
    <row r="8" spans="1:22">
      <c r="A8" s="187" t="s">
        <v>236</v>
      </c>
      <c r="B8" s="187">
        <f t="shared" si="0"/>
        <v>454515</v>
      </c>
      <c r="C8" s="187">
        <v>430376</v>
      </c>
      <c r="D8" s="187">
        <v>22931</v>
      </c>
      <c r="E8" s="187">
        <v>0</v>
      </c>
      <c r="F8" s="187">
        <v>617</v>
      </c>
      <c r="G8" s="159">
        <v>347</v>
      </c>
      <c r="H8" s="187">
        <v>65</v>
      </c>
      <c r="I8" s="187">
        <v>54</v>
      </c>
      <c r="J8" s="187">
        <v>125</v>
      </c>
      <c r="N8" s="187" t="s">
        <v>236</v>
      </c>
      <c r="O8" s="188">
        <v>437688</v>
      </c>
      <c r="P8" s="187">
        <v>22082</v>
      </c>
      <c r="Q8" s="188">
        <v>414443</v>
      </c>
      <c r="R8" s="188">
        <v>1043</v>
      </c>
      <c r="S8" s="188">
        <v>120</v>
      </c>
      <c r="T8" s="159">
        <f t="shared" si="1"/>
        <v>5.0451463142695253E-2</v>
      </c>
      <c r="U8" s="159">
        <f t="shared" si="2"/>
        <v>8568.1215340607923</v>
      </c>
      <c r="V8" s="159">
        <v>6409</v>
      </c>
    </row>
    <row r="9" spans="1:22">
      <c r="A9" s="187" t="s">
        <v>206</v>
      </c>
      <c r="B9" s="187">
        <f t="shared" si="0"/>
        <v>169829</v>
      </c>
      <c r="C9" s="187">
        <v>126988</v>
      </c>
      <c r="D9" s="187">
        <v>42804</v>
      </c>
      <c r="E9" s="187">
        <v>0</v>
      </c>
      <c r="F9" s="187">
        <v>0</v>
      </c>
      <c r="G9" s="159">
        <v>0</v>
      </c>
      <c r="H9" s="187">
        <v>0</v>
      </c>
      <c r="I9" s="187">
        <v>0</v>
      </c>
      <c r="J9" s="187">
        <v>37</v>
      </c>
      <c r="N9" s="187" t="s">
        <v>206</v>
      </c>
      <c r="O9" s="188">
        <v>162568</v>
      </c>
      <c r="P9" s="187">
        <v>40897</v>
      </c>
      <c r="Q9" s="188">
        <v>121330</v>
      </c>
      <c r="R9" s="188">
        <v>306</v>
      </c>
      <c r="S9" s="188">
        <v>35</v>
      </c>
      <c r="T9" s="159">
        <f t="shared" si="1"/>
        <v>0.25156857438118202</v>
      </c>
      <c r="U9" s="159">
        <f t="shared" si="2"/>
        <v>130552.26638083755</v>
      </c>
      <c r="V9" s="159">
        <v>93088</v>
      </c>
    </row>
    <row r="10" spans="1:22">
      <c r="A10" s="187" t="s">
        <v>237</v>
      </c>
      <c r="B10" s="187">
        <f t="shared" si="0"/>
        <v>518953</v>
      </c>
      <c r="C10" s="187">
        <v>353397</v>
      </c>
      <c r="D10" s="187">
        <v>148923</v>
      </c>
      <c r="E10" s="187">
        <v>620</v>
      </c>
      <c r="F10" s="187">
        <v>8800</v>
      </c>
      <c r="G10" s="159">
        <v>5288</v>
      </c>
      <c r="H10" s="187">
        <v>992</v>
      </c>
      <c r="I10" s="187">
        <v>826</v>
      </c>
      <c r="J10" s="187">
        <v>107</v>
      </c>
      <c r="N10" s="187" t="s">
        <v>237</v>
      </c>
      <c r="O10" s="188">
        <v>498513</v>
      </c>
      <c r="P10" s="187">
        <v>143311</v>
      </c>
      <c r="Q10" s="188">
        <v>340079</v>
      </c>
      <c r="R10" s="188">
        <v>15020</v>
      </c>
      <c r="S10" s="188">
        <v>103</v>
      </c>
      <c r="T10" s="159">
        <f t="shared" si="1"/>
        <v>0.28747695646853744</v>
      </c>
      <c r="U10" s="159">
        <f t="shared" si="2"/>
        <v>39800.609669156074</v>
      </c>
      <c r="V10" s="159">
        <v>24700</v>
      </c>
    </row>
    <row r="11" spans="1:22">
      <c r="A11" s="187" t="s">
        <v>210</v>
      </c>
      <c r="B11" s="187">
        <f t="shared" si="0"/>
        <v>138448</v>
      </c>
      <c r="C11" s="187">
        <v>85895</v>
      </c>
      <c r="D11" s="187">
        <v>52528</v>
      </c>
      <c r="E11" s="187">
        <v>0</v>
      </c>
      <c r="F11" s="187">
        <v>0</v>
      </c>
      <c r="G11" s="159">
        <v>0</v>
      </c>
      <c r="H11" s="187">
        <v>0</v>
      </c>
      <c r="I11" s="187">
        <v>0</v>
      </c>
      <c r="J11" s="187">
        <v>25</v>
      </c>
      <c r="N11" s="187" t="s">
        <v>210</v>
      </c>
      <c r="O11" s="188">
        <v>132166</v>
      </c>
      <c r="P11" s="187">
        <v>50067</v>
      </c>
      <c r="Q11" s="188">
        <v>81870</v>
      </c>
      <c r="R11" s="188">
        <v>205</v>
      </c>
      <c r="S11" s="188">
        <v>24</v>
      </c>
      <c r="T11" s="159">
        <f t="shared" si="1"/>
        <v>0.37881906087798678</v>
      </c>
      <c r="U11" s="159">
        <f t="shared" si="2"/>
        <v>27096.548605541517</v>
      </c>
      <c r="V11" s="159">
        <v>26055</v>
      </c>
    </row>
    <row r="12" spans="1:22">
      <c r="A12" s="187" t="s">
        <v>212</v>
      </c>
      <c r="B12" s="187">
        <f t="shared" si="0"/>
        <v>71529</v>
      </c>
      <c r="C12" s="187">
        <v>68759</v>
      </c>
      <c r="D12" s="187">
        <v>2750</v>
      </c>
      <c r="E12" s="187">
        <v>0</v>
      </c>
      <c r="F12" s="187">
        <v>0</v>
      </c>
      <c r="G12" s="159">
        <v>0</v>
      </c>
      <c r="H12" s="187">
        <v>0</v>
      </c>
      <c r="I12" s="187">
        <v>0</v>
      </c>
      <c r="J12" s="187">
        <v>20</v>
      </c>
      <c r="N12" s="187" t="s">
        <v>212</v>
      </c>
      <c r="O12" s="188">
        <v>68544</v>
      </c>
      <c r="P12" s="187">
        <v>2629</v>
      </c>
      <c r="Q12" s="188">
        <v>65731</v>
      </c>
      <c r="R12" s="188">
        <v>165</v>
      </c>
      <c r="S12" s="188">
        <v>19</v>
      </c>
      <c r="T12" s="159">
        <f t="shared" si="1"/>
        <v>3.8354925303454718E-2</v>
      </c>
      <c r="U12" s="159">
        <f t="shared" si="2"/>
        <v>8083.338862628385</v>
      </c>
      <c r="V12" s="159">
        <v>7899</v>
      </c>
    </row>
    <row r="13" spans="1:22">
      <c r="A13" s="187" t="s">
        <v>214</v>
      </c>
      <c r="B13" s="187">
        <f t="shared" si="0"/>
        <v>210751</v>
      </c>
      <c r="C13" s="187">
        <v>205716</v>
      </c>
      <c r="D13" s="187">
        <v>4805</v>
      </c>
      <c r="E13" s="187">
        <v>0</v>
      </c>
      <c r="F13" s="187">
        <v>97</v>
      </c>
      <c r="G13" s="159">
        <v>54</v>
      </c>
      <c r="H13" s="187">
        <v>10</v>
      </c>
      <c r="I13" s="187">
        <v>9</v>
      </c>
      <c r="J13" s="187">
        <v>60</v>
      </c>
      <c r="N13" s="187" t="s">
        <v>214</v>
      </c>
      <c r="O13" s="188">
        <v>203488</v>
      </c>
      <c r="P13" s="187">
        <v>4632</v>
      </c>
      <c r="Q13" s="188">
        <v>198299</v>
      </c>
      <c r="R13" s="188">
        <v>499</v>
      </c>
      <c r="S13" s="188">
        <v>58</v>
      </c>
      <c r="T13" s="159">
        <f t="shared" si="1"/>
        <v>2.2763013052366724E-2</v>
      </c>
      <c r="U13" s="159">
        <f t="shared" si="2"/>
        <v>7266.1358704198774</v>
      </c>
      <c r="V13" s="159">
        <v>7266</v>
      </c>
    </row>
    <row r="14" spans="1:22">
      <c r="A14" s="187" t="s">
        <v>238</v>
      </c>
      <c r="B14" s="187">
        <f t="shared" si="0"/>
        <v>319208</v>
      </c>
      <c r="C14" s="187">
        <v>318957</v>
      </c>
      <c r="D14" s="187">
        <v>0</v>
      </c>
      <c r="E14" s="187">
        <v>0</v>
      </c>
      <c r="F14" s="187">
        <v>90</v>
      </c>
      <c r="G14" s="159">
        <v>51</v>
      </c>
      <c r="H14" s="187">
        <v>9</v>
      </c>
      <c r="I14" s="187">
        <v>8</v>
      </c>
      <c r="J14" s="187">
        <v>93</v>
      </c>
      <c r="N14" s="187" t="s">
        <v>238</v>
      </c>
      <c r="O14" s="188">
        <v>302507</v>
      </c>
      <c r="P14" s="187">
        <v>0</v>
      </c>
      <c r="Q14" s="188">
        <v>302356</v>
      </c>
      <c r="R14" s="184">
        <v>63</v>
      </c>
      <c r="S14" s="188">
        <v>88</v>
      </c>
      <c r="T14" s="159">
        <f t="shared" si="1"/>
        <v>0</v>
      </c>
      <c r="U14" s="159">
        <f t="shared" si="2"/>
        <v>0</v>
      </c>
    </row>
    <row r="15" spans="1:22">
      <c r="A15" s="187" t="s">
        <v>239</v>
      </c>
      <c r="B15" s="187">
        <f t="shared" si="0"/>
        <v>749100</v>
      </c>
      <c r="C15" s="187">
        <v>748513</v>
      </c>
      <c r="D15" s="187">
        <v>0</v>
      </c>
      <c r="E15" s="187">
        <v>0</v>
      </c>
      <c r="F15" s="187">
        <v>211</v>
      </c>
      <c r="G15" s="159">
        <v>118</v>
      </c>
      <c r="H15" s="187">
        <v>22</v>
      </c>
      <c r="I15" s="187">
        <v>19</v>
      </c>
      <c r="J15" s="187">
        <v>217</v>
      </c>
      <c r="N15" s="187" t="s">
        <v>239</v>
      </c>
      <c r="O15" s="188">
        <v>713488</v>
      </c>
      <c r="P15" s="187">
        <v>0</v>
      </c>
      <c r="Q15" s="188">
        <v>712689</v>
      </c>
      <c r="R15" s="184">
        <v>592</v>
      </c>
      <c r="S15" s="188">
        <v>207</v>
      </c>
      <c r="T15" s="159">
        <f t="shared" si="1"/>
        <v>0</v>
      </c>
      <c r="U15" s="159">
        <f t="shared" si="2"/>
        <v>0</v>
      </c>
    </row>
    <row r="16" spans="1:22">
      <c r="A16" s="187" t="s">
        <v>240</v>
      </c>
      <c r="B16" s="187">
        <f t="shared" si="0"/>
        <v>444412</v>
      </c>
      <c r="C16" s="187">
        <v>444064</v>
      </c>
      <c r="D16" s="187">
        <v>0</v>
      </c>
      <c r="E16" s="187">
        <v>0</v>
      </c>
      <c r="F16" s="187">
        <v>125</v>
      </c>
      <c r="G16" s="159">
        <v>70</v>
      </c>
      <c r="H16" s="187">
        <v>13</v>
      </c>
      <c r="I16" s="187">
        <v>11</v>
      </c>
      <c r="J16" s="187">
        <v>129</v>
      </c>
      <c r="N16" s="187" t="s">
        <v>240</v>
      </c>
      <c r="O16" s="188">
        <v>416906</v>
      </c>
      <c r="P16" s="187">
        <v>0</v>
      </c>
      <c r="Q16" s="188">
        <v>416566</v>
      </c>
      <c r="R16" s="184">
        <v>219</v>
      </c>
      <c r="S16" s="188">
        <v>121</v>
      </c>
      <c r="T16" s="159">
        <f t="shared" si="1"/>
        <v>0</v>
      </c>
      <c r="U16" s="159">
        <f t="shared" si="2"/>
        <v>0</v>
      </c>
    </row>
    <row r="17" spans="1:21">
      <c r="A17" s="187" t="s">
        <v>241</v>
      </c>
      <c r="B17" s="187">
        <f t="shared" si="0"/>
        <v>438557</v>
      </c>
      <c r="C17" s="187">
        <v>438213</v>
      </c>
      <c r="D17" s="187">
        <v>0</v>
      </c>
      <c r="E17" s="187">
        <v>0</v>
      </c>
      <c r="F17" s="187">
        <v>124</v>
      </c>
      <c r="G17" s="159">
        <v>69</v>
      </c>
      <c r="H17" s="187">
        <v>13</v>
      </c>
      <c r="I17" s="187">
        <v>11</v>
      </c>
      <c r="J17" s="187">
        <v>127</v>
      </c>
      <c r="N17" s="187" t="s">
        <v>241</v>
      </c>
      <c r="O17" s="188">
        <v>413727</v>
      </c>
      <c r="P17" s="187">
        <v>0</v>
      </c>
      <c r="Q17" s="188">
        <v>413435</v>
      </c>
      <c r="R17" s="184">
        <v>172</v>
      </c>
      <c r="S17" s="188">
        <v>120</v>
      </c>
      <c r="T17" s="159">
        <f t="shared" si="1"/>
        <v>0</v>
      </c>
      <c r="U17" s="159">
        <f t="shared" si="2"/>
        <v>0</v>
      </c>
    </row>
    <row r="18" spans="1:21">
      <c r="A18" s="187" t="s">
        <v>224</v>
      </c>
      <c r="B18" s="187">
        <f t="shared" si="0"/>
        <v>275267</v>
      </c>
      <c r="C18" s="187">
        <v>275051</v>
      </c>
      <c r="D18" s="187">
        <v>0</v>
      </c>
      <c r="E18" s="187">
        <v>0</v>
      </c>
      <c r="F18" s="187">
        <v>77</v>
      </c>
      <c r="G18" s="159">
        <v>44</v>
      </c>
      <c r="H18" s="187">
        <v>8</v>
      </c>
      <c r="I18" s="187">
        <v>7</v>
      </c>
      <c r="J18" s="187">
        <v>80</v>
      </c>
      <c r="N18" s="187" t="s">
        <v>224</v>
      </c>
      <c r="O18" s="188">
        <v>260117</v>
      </c>
      <c r="P18" s="187">
        <v>0</v>
      </c>
      <c r="Q18" s="188">
        <v>259987</v>
      </c>
      <c r="R18" s="184">
        <v>54</v>
      </c>
      <c r="S18" s="188">
        <v>76</v>
      </c>
      <c r="T18" s="159">
        <f t="shared" si="1"/>
        <v>0</v>
      </c>
      <c r="U18" s="159" t="e">
        <f>T18*#REF!</f>
        <v>#REF!</v>
      </c>
    </row>
    <row r="20" spans="1:21">
      <c r="B20" s="159">
        <f>SUM(B2:B18)</f>
        <v>6229853</v>
      </c>
      <c r="C20" s="159">
        <f t="shared" ref="C20:J20" si="3">SUM(C2:C18)</f>
        <v>5426807</v>
      </c>
      <c r="D20" s="159">
        <f t="shared" si="3"/>
        <v>746403</v>
      </c>
      <c r="E20" s="159">
        <f t="shared" si="3"/>
        <v>2752</v>
      </c>
      <c r="F20" s="159">
        <f t="shared" si="3"/>
        <v>28628</v>
      </c>
      <c r="G20" s="159">
        <f t="shared" si="3"/>
        <v>17617</v>
      </c>
      <c r="H20" s="159">
        <f t="shared" si="3"/>
        <v>3303</v>
      </c>
      <c r="I20" s="159">
        <f t="shared" si="3"/>
        <v>2753</v>
      </c>
      <c r="J20" s="159">
        <f t="shared" si="3"/>
        <v>1590</v>
      </c>
    </row>
    <row r="22" spans="1:21">
      <c r="B22" s="159">
        <f>C22/(SUM(B2:B18))</f>
        <v>0.87109711898499054</v>
      </c>
      <c r="C22" s="159">
        <f>SUM(C2:C18)</f>
        <v>5426807</v>
      </c>
    </row>
    <row r="23" spans="1:21">
      <c r="G23" s="162"/>
      <c r="H23" s="162"/>
      <c r="I23" s="162"/>
      <c r="J23" s="162"/>
      <c r="K23" s="162"/>
      <c r="L23" s="162"/>
    </row>
    <row r="24" spans="1:21" ht="15.6">
      <c r="G24" s="185"/>
      <c r="I24" s="129"/>
      <c r="J24" s="129"/>
      <c r="K24" s="129"/>
    </row>
    <row r="25" spans="1:21" ht="15.6">
      <c r="A25" s="163"/>
      <c r="B25" s="163" t="s">
        <v>6</v>
      </c>
      <c r="C25" s="163" t="s">
        <v>157</v>
      </c>
      <c r="D25" s="163" t="s">
        <v>162</v>
      </c>
      <c r="E25" s="163" t="s">
        <v>159</v>
      </c>
      <c r="F25" s="163" t="s">
        <v>163</v>
      </c>
      <c r="G25" s="162"/>
      <c r="H25" s="162"/>
      <c r="I25" s="144"/>
      <c r="J25" s="129"/>
      <c r="K25" s="129"/>
      <c r="L25" s="162"/>
    </row>
    <row r="26" spans="1:21" ht="15.6">
      <c r="A26" s="159" t="s">
        <v>309</v>
      </c>
      <c r="B26" s="159">
        <v>238598</v>
      </c>
      <c r="C26" s="159">
        <v>221045</v>
      </c>
      <c r="D26" s="159">
        <v>13544</v>
      </c>
      <c r="E26" s="159">
        <v>1600</v>
      </c>
      <c r="F26" s="159">
        <v>2408.9999999999563</v>
      </c>
      <c r="I26" s="144"/>
      <c r="J26" s="126"/>
      <c r="K26" s="153"/>
    </row>
    <row r="27" spans="1:21" ht="15.6">
      <c r="A27" s="187" t="s">
        <v>357</v>
      </c>
      <c r="B27" s="188">
        <v>420533</v>
      </c>
      <c r="C27" s="187">
        <v>342861</v>
      </c>
      <c r="D27" s="188">
        <v>59575</v>
      </c>
      <c r="E27" s="188">
        <v>1094</v>
      </c>
      <c r="F27" s="187">
        <v>17003</v>
      </c>
      <c r="I27" s="144"/>
      <c r="J27" s="126"/>
      <c r="K27" s="153"/>
    </row>
    <row r="28" spans="1:21" ht="15.6">
      <c r="A28" s="159" t="s">
        <v>355</v>
      </c>
      <c r="B28" s="159">
        <v>565369</v>
      </c>
      <c r="C28" s="159">
        <v>247694</v>
      </c>
      <c r="D28" s="159">
        <v>307181</v>
      </c>
      <c r="F28" s="159">
        <v>88</v>
      </c>
      <c r="I28" s="144"/>
      <c r="J28" s="126"/>
      <c r="K28" s="153"/>
    </row>
    <row r="29" spans="1:21" ht="15.6">
      <c r="A29" s="159" t="s">
        <v>356</v>
      </c>
      <c r="B29" s="159">
        <v>264031</v>
      </c>
      <c r="C29" s="159">
        <v>89366</v>
      </c>
      <c r="D29" s="159">
        <v>174509</v>
      </c>
      <c r="F29" s="159">
        <v>55</v>
      </c>
      <c r="I29" s="144"/>
      <c r="J29" s="126"/>
      <c r="K29" s="126"/>
    </row>
    <row r="30" spans="1:21" ht="15.6">
      <c r="I30" s="144"/>
      <c r="J30" s="126"/>
      <c r="K30" s="153"/>
    </row>
    <row r="31" spans="1:21" ht="15.6">
      <c r="I31" s="144"/>
      <c r="J31" s="126"/>
      <c r="K31" s="153"/>
    </row>
    <row r="32" spans="1:21" ht="15.6">
      <c r="I32" s="144"/>
      <c r="J32" s="126"/>
      <c r="K32" s="153"/>
    </row>
    <row r="33" spans="9:11" ht="15.6">
      <c r="I33" s="144"/>
      <c r="J33" s="126"/>
      <c r="K33" s="153"/>
    </row>
    <row r="34" spans="9:11" ht="15.6">
      <c r="I34" s="144"/>
      <c r="J34" s="126"/>
      <c r="K34" s="153"/>
    </row>
    <row r="35" spans="9:11" ht="15.6">
      <c r="I35" s="144"/>
      <c r="J35" s="126"/>
      <c r="K35" s="153"/>
    </row>
    <row r="36" spans="9:11" ht="15.6">
      <c r="I36" s="144"/>
      <c r="J36" s="126"/>
      <c r="K36" s="153"/>
    </row>
    <row r="37" spans="9:11" ht="15.6">
      <c r="I37" s="144"/>
      <c r="J37" s="126"/>
      <c r="K37" s="153"/>
    </row>
    <row r="38" spans="9:11" ht="15.6">
      <c r="I38" s="144"/>
      <c r="J38" s="126"/>
      <c r="K38" s="153"/>
    </row>
    <row r="39" spans="9:11" ht="15.6">
      <c r="I39" s="144"/>
      <c r="J39" s="126"/>
      <c r="K39" s="153"/>
    </row>
    <row r="40" spans="9:11" ht="15.6">
      <c r="I40" s="144"/>
      <c r="J40" s="126"/>
      <c r="K40" s="15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E72A-CA32-4F31-9155-41B7EE92AE80}">
  <dimension ref="A1:S55"/>
  <sheetViews>
    <sheetView topLeftCell="A28" workbookViewId="0">
      <selection activeCell="F52" sqref="F52"/>
    </sheetView>
  </sheetViews>
  <sheetFormatPr defaultRowHeight="14.4"/>
  <cols>
    <col min="1" max="16384" width="8.6640625" style="159"/>
  </cols>
  <sheetData>
    <row r="1" spans="1:19">
      <c r="A1" s="162" t="s">
        <v>360</v>
      </c>
      <c r="B1" s="156" t="s">
        <v>243</v>
      </c>
      <c r="C1" s="156" t="s">
        <v>242</v>
      </c>
      <c r="D1" s="156" t="s">
        <v>162</v>
      </c>
      <c r="E1" s="156" t="s">
        <v>157</v>
      </c>
      <c r="F1" s="156" t="s">
        <v>334</v>
      </c>
      <c r="G1" s="156" t="s">
        <v>335</v>
      </c>
      <c r="H1" s="156" t="s">
        <v>336</v>
      </c>
      <c r="I1" s="156" t="s">
        <v>338</v>
      </c>
      <c r="J1" s="156" t="s">
        <v>341</v>
      </c>
      <c r="K1" s="156" t="s">
        <v>163</v>
      </c>
      <c r="O1" s="163" t="s">
        <v>281</v>
      </c>
      <c r="P1" s="163">
        <v>2021</v>
      </c>
      <c r="Q1" s="163">
        <v>2022</v>
      </c>
      <c r="R1" s="163">
        <v>2023</v>
      </c>
    </row>
    <row r="2" spans="1:19">
      <c r="A2" s="159" t="s">
        <v>361</v>
      </c>
      <c r="B2" s="190" t="s">
        <v>232</v>
      </c>
      <c r="C2" s="190">
        <v>846055</v>
      </c>
      <c r="D2" s="190">
        <v>820133</v>
      </c>
      <c r="E2" s="190">
        <v>23620</v>
      </c>
      <c r="F2" s="190">
        <v>0</v>
      </c>
      <c r="G2" s="190">
        <v>1177</v>
      </c>
      <c r="H2" s="190">
        <v>660</v>
      </c>
      <c r="I2" s="190">
        <v>124</v>
      </c>
      <c r="J2" s="190">
        <v>103</v>
      </c>
      <c r="K2" s="190">
        <v>238</v>
      </c>
      <c r="O2" s="159" t="s">
        <v>232</v>
      </c>
      <c r="P2" s="159">
        <v>782227</v>
      </c>
      <c r="Q2" s="159">
        <v>802172</v>
      </c>
      <c r="R2" s="159">
        <v>822435</v>
      </c>
      <c r="S2" s="159">
        <f>Q2/R2</f>
        <v>0.97536218667736663</v>
      </c>
    </row>
    <row r="3" spans="1:19">
      <c r="A3" s="190" t="s">
        <v>362</v>
      </c>
      <c r="B3" s="190" t="s">
        <v>355</v>
      </c>
      <c r="C3" s="190">
        <v>565369</v>
      </c>
      <c r="D3" s="190">
        <v>307181</v>
      </c>
      <c r="E3" s="190">
        <v>247694</v>
      </c>
      <c r="F3" s="190">
        <v>1062</v>
      </c>
      <c r="G3" s="190">
        <v>4856</v>
      </c>
      <c r="H3" s="190">
        <v>3342</v>
      </c>
      <c r="I3" s="190">
        <v>626</v>
      </c>
      <c r="J3" s="190">
        <v>520</v>
      </c>
      <c r="K3" s="190">
        <v>88</v>
      </c>
      <c r="S3" s="159">
        <v>0.979128244708941</v>
      </c>
    </row>
    <row r="4" spans="1:19">
      <c r="A4" s="159" t="s">
        <v>363</v>
      </c>
      <c r="B4" s="190" t="s">
        <v>356</v>
      </c>
      <c r="C4" s="190">
        <v>264031</v>
      </c>
      <c r="D4" s="190">
        <v>174509</v>
      </c>
      <c r="E4" s="190">
        <v>89366</v>
      </c>
      <c r="F4" s="190">
        <v>30</v>
      </c>
      <c r="G4" s="190">
        <v>41</v>
      </c>
      <c r="H4" s="190">
        <v>20</v>
      </c>
      <c r="I4" s="190">
        <v>5</v>
      </c>
      <c r="J4" s="190">
        <v>5</v>
      </c>
      <c r="K4" s="190">
        <v>55</v>
      </c>
      <c r="O4" s="159" t="s">
        <v>176</v>
      </c>
      <c r="P4" s="159">
        <v>471834</v>
      </c>
      <c r="Q4" s="159">
        <v>482064</v>
      </c>
      <c r="R4" s="159">
        <v>492340</v>
      </c>
      <c r="S4" s="159">
        <f>Q4/R4</f>
        <v>0.979128244708941</v>
      </c>
    </row>
    <row r="5" spans="1:19">
      <c r="A5" s="159" t="s">
        <v>364</v>
      </c>
      <c r="B5" s="190" t="s">
        <v>233</v>
      </c>
      <c r="C5" s="190">
        <v>63339</v>
      </c>
      <c r="D5" s="190">
        <v>54702</v>
      </c>
      <c r="E5" s="190">
        <v>8071</v>
      </c>
      <c r="F5" s="190">
        <v>0</v>
      </c>
      <c r="G5" s="190">
        <v>313</v>
      </c>
      <c r="H5" s="190">
        <v>176</v>
      </c>
      <c r="I5" s="190">
        <v>33</v>
      </c>
      <c r="J5" s="190">
        <v>28</v>
      </c>
      <c r="K5" s="190">
        <v>16</v>
      </c>
      <c r="O5" s="159" t="s">
        <v>287</v>
      </c>
      <c r="P5" s="159">
        <v>53317</v>
      </c>
      <c r="Q5" s="159">
        <v>54289</v>
      </c>
      <c r="R5" s="159">
        <v>55268</v>
      </c>
      <c r="S5" s="159">
        <f t="shared" ref="S5:S17" si="0">Q5/R5</f>
        <v>0.98228631396106247</v>
      </c>
    </row>
    <row r="6" spans="1:19">
      <c r="A6" s="159" t="s">
        <v>365</v>
      </c>
      <c r="B6" s="190" t="s">
        <v>234</v>
      </c>
      <c r="C6" s="190">
        <v>343740</v>
      </c>
      <c r="D6" s="190">
        <v>222465</v>
      </c>
      <c r="E6" s="190">
        <v>99036</v>
      </c>
      <c r="F6" s="190">
        <v>1040</v>
      </c>
      <c r="G6" s="190">
        <v>11596</v>
      </c>
      <c r="H6" s="190">
        <v>7094</v>
      </c>
      <c r="I6" s="190">
        <v>1330</v>
      </c>
      <c r="J6" s="190">
        <v>1108</v>
      </c>
      <c r="K6" s="190">
        <v>71</v>
      </c>
      <c r="O6" s="159" t="s">
        <v>234</v>
      </c>
      <c r="P6" s="159">
        <v>234802</v>
      </c>
      <c r="Q6" s="159">
        <v>239740</v>
      </c>
      <c r="R6" s="159">
        <v>244704</v>
      </c>
      <c r="S6" s="159">
        <f t="shared" si="0"/>
        <v>0.97971426703282338</v>
      </c>
    </row>
    <row r="7" spans="1:19">
      <c r="A7" s="159" t="s">
        <v>366</v>
      </c>
      <c r="B7" s="190" t="s">
        <v>235</v>
      </c>
      <c r="C7" s="190">
        <v>356750</v>
      </c>
      <c r="D7" s="190">
        <v>351888</v>
      </c>
      <c r="E7" s="190">
        <v>3875</v>
      </c>
      <c r="F7" s="190">
        <v>0</v>
      </c>
      <c r="G7" s="190">
        <v>504</v>
      </c>
      <c r="H7" s="190">
        <v>284</v>
      </c>
      <c r="I7" s="190">
        <v>53</v>
      </c>
      <c r="J7" s="190">
        <v>44</v>
      </c>
      <c r="K7" s="190">
        <v>102</v>
      </c>
      <c r="O7" s="159" t="s">
        <v>235</v>
      </c>
      <c r="P7" s="159">
        <v>338919</v>
      </c>
      <c r="Q7" s="159">
        <v>345875</v>
      </c>
      <c r="R7" s="159">
        <v>352875</v>
      </c>
      <c r="S7" s="159">
        <f t="shared" si="0"/>
        <v>0.98016294721927033</v>
      </c>
    </row>
    <row r="8" spans="1:19">
      <c r="A8" s="159" t="s">
        <v>367</v>
      </c>
      <c r="B8" s="190" t="s">
        <v>236</v>
      </c>
      <c r="C8" s="190">
        <v>454515</v>
      </c>
      <c r="D8" s="190">
        <v>430376</v>
      </c>
      <c r="E8" s="190">
        <v>22931</v>
      </c>
      <c r="F8" s="190">
        <v>0</v>
      </c>
      <c r="G8" s="190">
        <v>617</v>
      </c>
      <c r="H8" s="190">
        <v>347</v>
      </c>
      <c r="I8" s="190">
        <v>65</v>
      </c>
      <c r="J8" s="190">
        <v>54</v>
      </c>
      <c r="K8" s="190">
        <v>125</v>
      </c>
      <c r="O8" s="159" t="s">
        <v>236</v>
      </c>
      <c r="P8" s="159">
        <v>415606</v>
      </c>
      <c r="Q8" s="159">
        <v>423572</v>
      </c>
      <c r="R8" s="159">
        <v>431584</v>
      </c>
      <c r="S8" s="159">
        <f t="shared" si="0"/>
        <v>0.98143582709275601</v>
      </c>
    </row>
    <row r="9" spans="1:19">
      <c r="A9" s="159" t="s">
        <v>368</v>
      </c>
      <c r="B9" s="190" t="s">
        <v>206</v>
      </c>
      <c r="C9" s="190">
        <v>169829</v>
      </c>
      <c r="D9" s="190">
        <v>126988</v>
      </c>
      <c r="E9" s="190">
        <v>42804</v>
      </c>
      <c r="F9" s="190">
        <v>0</v>
      </c>
      <c r="G9" s="190">
        <v>0</v>
      </c>
      <c r="H9" s="190">
        <v>0</v>
      </c>
      <c r="I9" s="190">
        <v>0</v>
      </c>
      <c r="J9" s="190">
        <v>0</v>
      </c>
      <c r="K9" s="190">
        <v>37</v>
      </c>
      <c r="O9" s="159" t="s">
        <v>283</v>
      </c>
      <c r="P9" s="159">
        <v>121671</v>
      </c>
      <c r="Q9" s="159">
        <v>124332</v>
      </c>
      <c r="R9" s="159">
        <v>127025</v>
      </c>
      <c r="S9" s="159">
        <f t="shared" si="0"/>
        <v>0.97879944892737647</v>
      </c>
    </row>
    <row r="10" spans="1:19">
      <c r="A10" s="159" t="s">
        <v>369</v>
      </c>
      <c r="B10" s="190" t="s">
        <v>237</v>
      </c>
      <c r="C10" s="190">
        <v>518953</v>
      </c>
      <c r="D10" s="190">
        <v>353397</v>
      </c>
      <c r="E10" s="190">
        <v>148923</v>
      </c>
      <c r="F10" s="190">
        <v>620</v>
      </c>
      <c r="G10" s="190">
        <v>8800</v>
      </c>
      <c r="H10" s="190">
        <v>5288</v>
      </c>
      <c r="I10" s="190">
        <v>992</v>
      </c>
      <c r="J10" s="190">
        <v>826</v>
      </c>
      <c r="K10" s="190">
        <v>107</v>
      </c>
      <c r="O10" s="159" t="s">
        <v>284</v>
      </c>
      <c r="P10" s="159">
        <v>355202</v>
      </c>
      <c r="Q10" s="159">
        <v>362602</v>
      </c>
      <c r="R10" s="159">
        <v>370030</v>
      </c>
      <c r="S10" s="159">
        <f t="shared" si="0"/>
        <v>0.97992595194984189</v>
      </c>
    </row>
    <row r="11" spans="1:19">
      <c r="A11" s="159" t="s">
        <v>370</v>
      </c>
      <c r="B11" s="190" t="s">
        <v>210</v>
      </c>
      <c r="C11" s="190">
        <v>138448</v>
      </c>
      <c r="D11" s="190">
        <v>85895</v>
      </c>
      <c r="E11" s="190">
        <v>52528</v>
      </c>
      <c r="F11" s="190">
        <v>0</v>
      </c>
      <c r="G11" s="190">
        <v>0</v>
      </c>
      <c r="H11" s="190">
        <v>0</v>
      </c>
      <c r="I11" s="190">
        <v>0</v>
      </c>
      <c r="J11" s="190">
        <v>0</v>
      </c>
      <c r="K11" s="190">
        <v>25</v>
      </c>
      <c r="O11" s="159" t="s">
        <v>210</v>
      </c>
      <c r="P11" s="159">
        <v>82099</v>
      </c>
      <c r="Q11" s="159">
        <v>84000</v>
      </c>
      <c r="R11" s="159">
        <v>85920</v>
      </c>
      <c r="S11" s="159">
        <f t="shared" si="0"/>
        <v>0.97765363128491622</v>
      </c>
    </row>
    <row r="12" spans="1:19">
      <c r="A12" s="159" t="s">
        <v>371</v>
      </c>
      <c r="B12" s="190" t="s">
        <v>212</v>
      </c>
      <c r="C12" s="190">
        <v>71529</v>
      </c>
      <c r="D12" s="190">
        <v>68759</v>
      </c>
      <c r="E12" s="190">
        <v>2750</v>
      </c>
      <c r="F12" s="190">
        <v>0</v>
      </c>
      <c r="G12" s="190">
        <v>0</v>
      </c>
      <c r="H12" s="190">
        <v>0</v>
      </c>
      <c r="I12" s="190">
        <v>0</v>
      </c>
      <c r="J12" s="190">
        <v>0</v>
      </c>
      <c r="K12" s="190">
        <v>20</v>
      </c>
      <c r="O12" s="159" t="s">
        <v>288</v>
      </c>
      <c r="P12" s="159">
        <v>65915</v>
      </c>
      <c r="Q12" s="159">
        <v>67340</v>
      </c>
      <c r="R12" s="159">
        <v>68779</v>
      </c>
      <c r="S12" s="159">
        <f t="shared" si="0"/>
        <v>0.97907791622442897</v>
      </c>
    </row>
    <row r="13" spans="1:19">
      <c r="A13" s="159" t="s">
        <v>372</v>
      </c>
      <c r="B13" s="190" t="s">
        <v>214</v>
      </c>
      <c r="C13" s="190">
        <v>210751</v>
      </c>
      <c r="D13" s="190">
        <v>205716</v>
      </c>
      <c r="E13" s="190">
        <v>4805</v>
      </c>
      <c r="F13" s="190">
        <v>0</v>
      </c>
      <c r="G13" s="190">
        <v>97</v>
      </c>
      <c r="H13" s="190">
        <v>54</v>
      </c>
      <c r="I13" s="190">
        <v>10</v>
      </c>
      <c r="J13" s="190">
        <v>9</v>
      </c>
      <c r="K13" s="190">
        <v>60</v>
      </c>
      <c r="O13" s="159" t="s">
        <v>214</v>
      </c>
      <c r="P13" s="159">
        <v>198856</v>
      </c>
      <c r="Q13" s="159">
        <v>202401</v>
      </c>
      <c r="R13" s="159">
        <v>205946</v>
      </c>
      <c r="S13" s="159">
        <f t="shared" si="0"/>
        <v>0.98278674992473758</v>
      </c>
    </row>
    <row r="14" spans="1:19">
      <c r="A14" s="159" t="s">
        <v>373</v>
      </c>
      <c r="B14" s="190" t="s">
        <v>238</v>
      </c>
      <c r="C14" s="190">
        <v>319208</v>
      </c>
      <c r="D14" s="190">
        <v>318957</v>
      </c>
      <c r="E14" s="190">
        <v>0</v>
      </c>
      <c r="F14" s="190">
        <v>0</v>
      </c>
      <c r="G14" s="190">
        <v>90</v>
      </c>
      <c r="H14" s="190">
        <v>51</v>
      </c>
      <c r="I14" s="190">
        <v>9</v>
      </c>
      <c r="J14" s="190">
        <v>8</v>
      </c>
      <c r="K14" s="190">
        <v>93</v>
      </c>
      <c r="O14" s="159" t="s">
        <v>289</v>
      </c>
      <c r="P14" s="159">
        <v>302507</v>
      </c>
      <c r="Q14" s="159">
        <v>310820</v>
      </c>
      <c r="R14" s="159">
        <v>319208</v>
      </c>
      <c r="S14" s="159">
        <f t="shared" si="0"/>
        <v>0.97372246309616295</v>
      </c>
    </row>
    <row r="15" spans="1:19">
      <c r="A15" s="159" t="s">
        <v>374</v>
      </c>
      <c r="B15" s="190" t="s">
        <v>239</v>
      </c>
      <c r="C15" s="190">
        <v>749100</v>
      </c>
      <c r="D15" s="190">
        <v>748513</v>
      </c>
      <c r="E15" s="190">
        <v>0</v>
      </c>
      <c r="F15" s="190">
        <v>0</v>
      </c>
      <c r="G15" s="190">
        <v>211</v>
      </c>
      <c r="H15" s="190">
        <v>118</v>
      </c>
      <c r="I15" s="190">
        <v>22</v>
      </c>
      <c r="J15" s="190">
        <v>19</v>
      </c>
      <c r="K15" s="190">
        <v>217</v>
      </c>
      <c r="O15" s="159" t="s">
        <v>239</v>
      </c>
      <c r="P15" s="159">
        <v>713488</v>
      </c>
      <c r="Q15" s="159">
        <v>731212</v>
      </c>
      <c r="R15" s="159">
        <v>749100</v>
      </c>
      <c r="S15" s="159">
        <f t="shared" si="0"/>
        <v>0.9761206781471099</v>
      </c>
    </row>
    <row r="16" spans="1:19">
      <c r="A16" s="159" t="s">
        <v>375</v>
      </c>
      <c r="B16" s="190" t="s">
        <v>240</v>
      </c>
      <c r="C16" s="190">
        <v>444412</v>
      </c>
      <c r="D16" s="190">
        <v>444064</v>
      </c>
      <c r="E16" s="190">
        <v>0</v>
      </c>
      <c r="F16" s="190">
        <v>0</v>
      </c>
      <c r="G16" s="190">
        <v>125</v>
      </c>
      <c r="H16" s="190">
        <v>70</v>
      </c>
      <c r="I16" s="190">
        <v>13</v>
      </c>
      <c r="J16" s="190">
        <v>11</v>
      </c>
      <c r="K16" s="190">
        <v>129</v>
      </c>
      <c r="O16" s="159" t="s">
        <v>240</v>
      </c>
      <c r="P16" s="159">
        <v>416906</v>
      </c>
      <c r="Q16" s="159">
        <v>430546</v>
      </c>
      <c r="R16" s="159">
        <v>444412</v>
      </c>
      <c r="S16" s="159">
        <f t="shared" si="0"/>
        <v>0.96879922234323101</v>
      </c>
    </row>
    <row r="17" spans="1:19">
      <c r="A17" s="159" t="s">
        <v>376</v>
      </c>
      <c r="B17" s="190" t="s">
        <v>241</v>
      </c>
      <c r="C17" s="190">
        <v>438557</v>
      </c>
      <c r="D17" s="190">
        <v>438213</v>
      </c>
      <c r="E17" s="190">
        <v>0</v>
      </c>
      <c r="F17" s="190">
        <v>0</v>
      </c>
      <c r="G17" s="190">
        <v>124</v>
      </c>
      <c r="H17" s="190">
        <v>69</v>
      </c>
      <c r="I17" s="190">
        <v>13</v>
      </c>
      <c r="J17" s="190">
        <v>11</v>
      </c>
      <c r="K17" s="190">
        <v>127</v>
      </c>
      <c r="O17" s="159" t="s">
        <v>222</v>
      </c>
      <c r="P17" s="159">
        <v>413727</v>
      </c>
      <c r="Q17" s="159">
        <v>426056</v>
      </c>
      <c r="R17" s="159">
        <v>438557</v>
      </c>
      <c r="S17" s="159">
        <f t="shared" si="0"/>
        <v>0.97149515342361425</v>
      </c>
    </row>
    <row r="18" spans="1:19">
      <c r="A18" s="159" t="s">
        <v>377</v>
      </c>
      <c r="B18" s="190" t="s">
        <v>224</v>
      </c>
      <c r="C18" s="190">
        <v>275267</v>
      </c>
      <c r="D18" s="190">
        <v>275051</v>
      </c>
      <c r="E18" s="190">
        <v>0</v>
      </c>
      <c r="F18" s="190">
        <v>0</v>
      </c>
      <c r="G18" s="190">
        <v>77</v>
      </c>
      <c r="H18" s="190">
        <v>44</v>
      </c>
      <c r="I18" s="190">
        <v>8</v>
      </c>
      <c r="J18" s="190">
        <v>7</v>
      </c>
      <c r="K18" s="190">
        <v>80</v>
      </c>
      <c r="O18" s="159" t="s">
        <v>224</v>
      </c>
      <c r="P18" s="159">
        <v>260117</v>
      </c>
      <c r="Q18" s="159">
        <v>267635</v>
      </c>
      <c r="R18" s="159">
        <v>275267</v>
      </c>
      <c r="S18" s="159">
        <f>Q18/R18</f>
        <v>0.97227419196634546</v>
      </c>
    </row>
    <row r="20" spans="1:19">
      <c r="C20" s="159">
        <f>C2*$S$2</f>
        <v>825210.05484931939</v>
      </c>
      <c r="D20" s="159">
        <f t="shared" ref="D20:K20" si="1">D2*$S$2</f>
        <v>799926.71624626871</v>
      </c>
      <c r="E20" s="159">
        <f t="shared" si="1"/>
        <v>23038.0548493194</v>
      </c>
      <c r="F20" s="159">
        <f t="shared" si="1"/>
        <v>0</v>
      </c>
      <c r="G20" s="159">
        <f t="shared" si="1"/>
        <v>1148.0012937192605</v>
      </c>
      <c r="H20" s="159">
        <f t="shared" si="1"/>
        <v>643.73904320706197</v>
      </c>
      <c r="I20" s="159">
        <f t="shared" si="1"/>
        <v>120.94491114799347</v>
      </c>
      <c r="J20" s="159">
        <f t="shared" si="1"/>
        <v>100.46230522776877</v>
      </c>
      <c r="K20" s="159">
        <f t="shared" si="1"/>
        <v>232.13620042921326</v>
      </c>
    </row>
    <row r="21" spans="1:19">
      <c r="C21" s="159">
        <f>C3*$S$3</f>
        <v>553568.75658284931</v>
      </c>
      <c r="D21" s="159">
        <f t="shared" ref="D21:K21" si="2">D3*$S$3</f>
        <v>300769.5933379372</v>
      </c>
      <c r="E21" s="159">
        <f t="shared" si="2"/>
        <v>242524.19144493644</v>
      </c>
      <c r="F21" s="159">
        <f t="shared" si="2"/>
        <v>1039.8341958808953</v>
      </c>
      <c r="G21" s="159">
        <f t="shared" si="2"/>
        <v>4754.6467563066171</v>
      </c>
      <c r="H21" s="159">
        <f t="shared" si="2"/>
        <v>3272.2465938172809</v>
      </c>
      <c r="I21" s="159">
        <f t="shared" si="2"/>
        <v>612.93428118779707</v>
      </c>
      <c r="J21" s="159">
        <f t="shared" si="2"/>
        <v>509.1466872486493</v>
      </c>
      <c r="K21" s="159">
        <f t="shared" si="2"/>
        <v>86.163285534386802</v>
      </c>
      <c r="P21" s="159">
        <f>SUM(P2:P18)</f>
        <v>5227193</v>
      </c>
      <c r="Q21" s="159">
        <f>SUM(Q2:Q18)</f>
        <v>5354656</v>
      </c>
      <c r="R21" s="159">
        <f>SUM(R2:R18)</f>
        <v>5483450</v>
      </c>
    </row>
    <row r="22" spans="1:19">
      <c r="C22" s="159">
        <f>C4*$S$4</f>
        <v>258520.20957874641</v>
      </c>
      <c r="D22" s="159">
        <f t="shared" ref="D22:K22" si="3">D4*$S$4</f>
        <v>170866.69085591257</v>
      </c>
      <c r="E22" s="159">
        <f t="shared" si="3"/>
        <v>87500.774716659216</v>
      </c>
      <c r="F22" s="159">
        <f t="shared" si="3"/>
        <v>29.373847341268231</v>
      </c>
      <c r="G22" s="159">
        <f t="shared" si="3"/>
        <v>40.144258033066578</v>
      </c>
      <c r="H22" s="159">
        <f t="shared" si="3"/>
        <v>19.58256489417882</v>
      </c>
      <c r="I22" s="159">
        <f t="shared" si="3"/>
        <v>4.8956412235447049</v>
      </c>
      <c r="J22" s="159">
        <f t="shared" si="3"/>
        <v>4.8956412235447049</v>
      </c>
      <c r="K22" s="159">
        <f t="shared" si="3"/>
        <v>53.852053458991755</v>
      </c>
    </row>
    <row r="23" spans="1:19">
      <c r="C23" s="159">
        <f>C5*$S$5</f>
        <v>62217.032839979736</v>
      </c>
      <c r="D23" s="159">
        <f t="shared" ref="D23:K23" si="4">D5*$S$5</f>
        <v>53733.025946298039</v>
      </c>
      <c r="E23" s="159">
        <f t="shared" si="4"/>
        <v>7928.0328399797354</v>
      </c>
      <c r="F23" s="159">
        <f t="shared" si="4"/>
        <v>0</v>
      </c>
      <c r="G23" s="159">
        <f t="shared" si="4"/>
        <v>307.45561626981254</v>
      </c>
      <c r="H23" s="159">
        <f t="shared" si="4"/>
        <v>172.88239125714699</v>
      </c>
      <c r="I23" s="159">
        <f t="shared" si="4"/>
        <v>32.415448360715061</v>
      </c>
      <c r="J23" s="159">
        <f t="shared" si="4"/>
        <v>27.504016790909748</v>
      </c>
      <c r="K23" s="159">
        <f t="shared" si="4"/>
        <v>15.716581023377</v>
      </c>
    </row>
    <row r="24" spans="1:19">
      <c r="C24" s="159">
        <f>C6*$S$6</f>
        <v>336766.98214986268</v>
      </c>
      <c r="D24" s="159">
        <f t="shared" ref="D24:K24" si="5">D6*$S$6</f>
        <v>217952.13441545705</v>
      </c>
      <c r="E24" s="159">
        <f t="shared" si="5"/>
        <v>97026.982149862699</v>
      </c>
      <c r="F24" s="159">
        <f t="shared" si="5"/>
        <v>1018.9028377141364</v>
      </c>
      <c r="G24" s="159">
        <f t="shared" si="5"/>
        <v>11360.76664051262</v>
      </c>
      <c r="H24" s="159">
        <f t="shared" si="5"/>
        <v>6950.0930103308492</v>
      </c>
      <c r="I24" s="159">
        <f t="shared" si="5"/>
        <v>1303.0199751536552</v>
      </c>
      <c r="J24" s="159">
        <f t="shared" si="5"/>
        <v>1085.5234078723684</v>
      </c>
      <c r="K24" s="159">
        <f t="shared" si="5"/>
        <v>69.559712959330454</v>
      </c>
    </row>
    <row r="25" spans="1:19">
      <c r="C25" s="159">
        <f>C7*$S$7</f>
        <v>349673.13142047467</v>
      </c>
      <c r="D25" s="159">
        <f t="shared" ref="D25:K25" si="6">D7*$S$7</f>
        <v>344907.57917109458</v>
      </c>
      <c r="E25" s="159">
        <f t="shared" si="6"/>
        <v>3798.1314204746727</v>
      </c>
      <c r="F25" s="159">
        <f t="shared" si="6"/>
        <v>0</v>
      </c>
      <c r="G25" s="159">
        <f t="shared" si="6"/>
        <v>494.00212539851225</v>
      </c>
      <c r="H25" s="159">
        <f t="shared" si="6"/>
        <v>278.36627701027277</v>
      </c>
      <c r="I25" s="159">
        <f t="shared" si="6"/>
        <v>51.94863620262133</v>
      </c>
      <c r="J25" s="159">
        <f t="shared" si="6"/>
        <v>43.127169677647892</v>
      </c>
      <c r="K25" s="159">
        <f t="shared" si="6"/>
        <v>99.97662061636558</v>
      </c>
    </row>
    <row r="26" spans="1:19">
      <c r="C26" s="159">
        <f>C8*$S$8</f>
        <v>446077.304951064</v>
      </c>
      <c r="D26" s="159">
        <f t="shared" ref="D26:K26" si="7">D8*$S$8</f>
        <v>422386.42552087194</v>
      </c>
      <c r="E26" s="159">
        <f t="shared" si="7"/>
        <v>22505.304951063987</v>
      </c>
      <c r="F26" s="159">
        <f t="shared" si="7"/>
        <v>0</v>
      </c>
      <c r="G26" s="159">
        <f t="shared" si="7"/>
        <v>605.54590531623046</v>
      </c>
      <c r="H26" s="159">
        <f t="shared" si="7"/>
        <v>340.55823200118635</v>
      </c>
      <c r="I26" s="159">
        <f t="shared" si="7"/>
        <v>63.793328761029137</v>
      </c>
      <c r="J26" s="159">
        <f t="shared" si="7"/>
        <v>52.997534663008821</v>
      </c>
      <c r="K26" s="159">
        <f t="shared" si="7"/>
        <v>122.6794783865945</v>
      </c>
    </row>
    <row r="27" spans="1:19">
      <c r="C27" s="159">
        <f>C9*$S$9</f>
        <v>166228.53161188742</v>
      </c>
      <c r="D27" s="159">
        <f t="shared" ref="D27:K27" si="8">D9*$S$9</f>
        <v>124295.78442038968</v>
      </c>
      <c r="E27" s="159">
        <f t="shared" si="8"/>
        <v>41896.531611887425</v>
      </c>
      <c r="F27" s="159">
        <f t="shared" si="8"/>
        <v>0</v>
      </c>
      <c r="G27" s="159">
        <f t="shared" si="8"/>
        <v>0</v>
      </c>
      <c r="H27" s="159">
        <f t="shared" si="8"/>
        <v>0</v>
      </c>
      <c r="I27" s="159">
        <f t="shared" si="8"/>
        <v>0</v>
      </c>
      <c r="J27" s="159">
        <f t="shared" si="8"/>
        <v>0</v>
      </c>
      <c r="K27" s="159">
        <f t="shared" si="8"/>
        <v>36.215579610312929</v>
      </c>
    </row>
    <row r="28" spans="1:19">
      <c r="C28" s="159">
        <f>C10*$S$10</f>
        <v>508535.51254222629</v>
      </c>
      <c r="D28" s="159">
        <f t="shared" ref="D28:K28" si="9">D10*$S$10</f>
        <v>346302.89164121827</v>
      </c>
      <c r="E28" s="159">
        <f t="shared" si="9"/>
        <v>145933.51254222629</v>
      </c>
      <c r="F28" s="159">
        <f t="shared" si="9"/>
        <v>607.55409020890193</v>
      </c>
      <c r="G28" s="159">
        <f t="shared" si="9"/>
        <v>8623.3483771586089</v>
      </c>
      <c r="H28" s="159">
        <f t="shared" si="9"/>
        <v>5181.8484339107636</v>
      </c>
      <c r="I28" s="159">
        <f t="shared" si="9"/>
        <v>972.08654433424317</v>
      </c>
      <c r="J28" s="159">
        <f t="shared" si="9"/>
        <v>809.41883631056942</v>
      </c>
      <c r="K28" s="159">
        <f t="shared" si="9"/>
        <v>104.85207685863308</v>
      </c>
    </row>
    <row r="29" spans="1:19">
      <c r="C29" s="159">
        <f>C11*$S$11</f>
        <v>135354.18994413409</v>
      </c>
      <c r="D29" s="159">
        <f t="shared" ref="D29:K29" si="10">D11*$S$11</f>
        <v>83975.558659217873</v>
      </c>
      <c r="E29" s="159">
        <f t="shared" si="10"/>
        <v>51354.189944134079</v>
      </c>
      <c r="F29" s="159">
        <f t="shared" si="10"/>
        <v>0</v>
      </c>
      <c r="G29" s="159">
        <f t="shared" si="10"/>
        <v>0</v>
      </c>
      <c r="H29" s="159">
        <f t="shared" si="10"/>
        <v>0</v>
      </c>
      <c r="I29" s="159">
        <f t="shared" si="10"/>
        <v>0</v>
      </c>
      <c r="J29" s="159">
        <f t="shared" si="10"/>
        <v>0</v>
      </c>
      <c r="K29" s="159">
        <f t="shared" si="10"/>
        <v>24.441340782122907</v>
      </c>
    </row>
    <row r="30" spans="1:19">
      <c r="C30" s="159">
        <f>C12*$S$12</f>
        <v>70032.46426961718</v>
      </c>
      <c r="D30" s="159">
        <f t="shared" ref="D30:K30" si="11">D12*$S$12</f>
        <v>67320.418441675516</v>
      </c>
      <c r="E30" s="159">
        <f t="shared" si="11"/>
        <v>2692.4642696171795</v>
      </c>
      <c r="F30" s="159">
        <f t="shared" si="11"/>
        <v>0</v>
      </c>
      <c r="G30" s="159">
        <f t="shared" si="11"/>
        <v>0</v>
      </c>
      <c r="H30" s="159">
        <f t="shared" si="11"/>
        <v>0</v>
      </c>
      <c r="I30" s="159">
        <f t="shared" si="11"/>
        <v>0</v>
      </c>
      <c r="J30" s="159">
        <f t="shared" si="11"/>
        <v>0</v>
      </c>
      <c r="K30" s="159">
        <f t="shared" si="11"/>
        <v>19.581558324488579</v>
      </c>
    </row>
    <row r="31" spans="1:19">
      <c r="C31" s="159">
        <f>C13*$S$13</f>
        <v>207123.29033338837</v>
      </c>
      <c r="D31" s="159">
        <f t="shared" ref="D31:K31" si="12">D13*$S$13</f>
        <v>202174.9590475173</v>
      </c>
      <c r="E31" s="159">
        <f t="shared" si="12"/>
        <v>4722.2903333883642</v>
      </c>
      <c r="F31" s="159">
        <f t="shared" si="12"/>
        <v>0</v>
      </c>
      <c r="G31" s="159">
        <f t="shared" si="12"/>
        <v>95.330314742699542</v>
      </c>
      <c r="H31" s="159">
        <f t="shared" si="12"/>
        <v>53.07048449593583</v>
      </c>
      <c r="I31" s="159">
        <f t="shared" si="12"/>
        <v>9.8278674992473753</v>
      </c>
      <c r="J31" s="159">
        <f t="shared" si="12"/>
        <v>8.8450807493226389</v>
      </c>
      <c r="K31" s="159">
        <f t="shared" si="12"/>
        <v>58.967204995484252</v>
      </c>
    </row>
    <row r="32" spans="1:19">
      <c r="C32" s="159">
        <f>C14*$S$14</f>
        <v>310820</v>
      </c>
      <c r="D32" s="159">
        <f t="shared" ref="D32:K32" si="13">D14*$S$14</f>
        <v>310575.59566176287</v>
      </c>
      <c r="E32" s="159">
        <f t="shared" si="13"/>
        <v>0</v>
      </c>
      <c r="F32" s="159">
        <f t="shared" si="13"/>
        <v>0</v>
      </c>
      <c r="G32" s="159">
        <f t="shared" si="13"/>
        <v>87.635021678654667</v>
      </c>
      <c r="H32" s="159">
        <f t="shared" si="13"/>
        <v>49.65984561790431</v>
      </c>
      <c r="I32" s="159">
        <f t="shared" si="13"/>
        <v>8.7635021678654663</v>
      </c>
      <c r="J32" s="159">
        <f t="shared" si="13"/>
        <v>7.7897797047693036</v>
      </c>
      <c r="K32" s="159">
        <f t="shared" si="13"/>
        <v>90.556189067943151</v>
      </c>
    </row>
    <row r="33" spans="1:11">
      <c r="C33" s="159">
        <f>C15*$S$15</f>
        <v>731212</v>
      </c>
      <c r="D33" s="159">
        <f t="shared" ref="D33:K33" si="14">D15*$S$15</f>
        <v>730639.01716192765</v>
      </c>
      <c r="E33" s="159">
        <f t="shared" si="14"/>
        <v>0</v>
      </c>
      <c r="F33" s="159">
        <f t="shared" si="14"/>
        <v>0</v>
      </c>
      <c r="G33" s="159">
        <f t="shared" si="14"/>
        <v>205.96146308904019</v>
      </c>
      <c r="H33" s="159">
        <f t="shared" si="14"/>
        <v>115.18224002135896</v>
      </c>
      <c r="I33" s="159">
        <f t="shared" si="14"/>
        <v>21.474654919236418</v>
      </c>
      <c r="J33" s="159">
        <f t="shared" si="14"/>
        <v>18.546292884795086</v>
      </c>
      <c r="K33" s="159">
        <f t="shared" si="14"/>
        <v>211.81818715792284</v>
      </c>
    </row>
    <row r="34" spans="1:11">
      <c r="C34" s="159">
        <f>C16*$S$16</f>
        <v>430546</v>
      </c>
      <c r="D34" s="159">
        <f t="shared" ref="D34:K34" si="15">D16*$S$16</f>
        <v>430208.85787062452</v>
      </c>
      <c r="E34" s="159">
        <f t="shared" si="15"/>
        <v>0</v>
      </c>
      <c r="F34" s="159">
        <f t="shared" si="15"/>
        <v>0</v>
      </c>
      <c r="G34" s="159">
        <f t="shared" si="15"/>
        <v>121.09990279290388</v>
      </c>
      <c r="H34" s="159">
        <f t="shared" si="15"/>
        <v>67.815945564026165</v>
      </c>
      <c r="I34" s="159">
        <f t="shared" si="15"/>
        <v>12.594389890462002</v>
      </c>
      <c r="J34" s="159">
        <f t="shared" si="15"/>
        <v>10.656791445775541</v>
      </c>
      <c r="K34" s="159">
        <f t="shared" si="15"/>
        <v>124.97509968227681</v>
      </c>
    </row>
    <row r="35" spans="1:11">
      <c r="C35" s="159">
        <f>C17*$S$17</f>
        <v>426056</v>
      </c>
      <c r="D35" s="159">
        <f t="shared" ref="D35:K35" si="16">D17*$S$17</f>
        <v>425721.80566722224</v>
      </c>
      <c r="E35" s="159">
        <f t="shared" si="16"/>
        <v>0</v>
      </c>
      <c r="F35" s="159">
        <f t="shared" si="16"/>
        <v>0</v>
      </c>
      <c r="G35" s="159">
        <f t="shared" si="16"/>
        <v>120.46539902452817</v>
      </c>
      <c r="H35" s="159">
        <f t="shared" si="16"/>
        <v>67.033165586229387</v>
      </c>
      <c r="I35" s="159">
        <f t="shared" si="16"/>
        <v>12.629436994506985</v>
      </c>
      <c r="J35" s="159">
        <f t="shared" si="16"/>
        <v>10.686446687659757</v>
      </c>
      <c r="K35" s="159">
        <f t="shared" si="16"/>
        <v>123.37988448479901</v>
      </c>
    </row>
    <row r="36" spans="1:11">
      <c r="C36" s="159">
        <f>C18*$S$18</f>
        <v>267635</v>
      </c>
      <c r="D36" s="159">
        <f t="shared" ref="D36:K36" si="17">D18*$S$18</f>
        <v>267424.9887745353</v>
      </c>
      <c r="E36" s="159">
        <f t="shared" si="17"/>
        <v>0</v>
      </c>
      <c r="F36" s="159">
        <f t="shared" si="17"/>
        <v>0</v>
      </c>
      <c r="G36" s="159">
        <f t="shared" si="17"/>
        <v>74.865112781408598</v>
      </c>
      <c r="H36" s="159">
        <f t="shared" si="17"/>
        <v>42.780064446519198</v>
      </c>
      <c r="I36" s="159">
        <f t="shared" si="17"/>
        <v>7.7781935357307637</v>
      </c>
      <c r="J36" s="159">
        <f t="shared" si="17"/>
        <v>6.8059193437644181</v>
      </c>
      <c r="K36" s="159">
        <f t="shared" si="17"/>
        <v>77.781935357307631</v>
      </c>
    </row>
    <row r="38" spans="1:11">
      <c r="A38" s="162" t="s">
        <v>360</v>
      </c>
      <c r="B38" s="156" t="s">
        <v>243</v>
      </c>
      <c r="C38" s="156" t="s">
        <v>242</v>
      </c>
      <c r="D38" s="156" t="s">
        <v>162</v>
      </c>
      <c r="E38" s="156" t="s">
        <v>157</v>
      </c>
      <c r="F38" s="156" t="s">
        <v>334</v>
      </c>
      <c r="G38" s="156" t="s">
        <v>335</v>
      </c>
      <c r="H38" s="156" t="s">
        <v>336</v>
      </c>
      <c r="I38" s="156" t="s">
        <v>338</v>
      </c>
      <c r="J38" s="156" t="s">
        <v>341</v>
      </c>
      <c r="K38" s="156" t="s">
        <v>163</v>
      </c>
    </row>
    <row r="39" spans="1:11">
      <c r="A39" s="159" t="s">
        <v>361</v>
      </c>
      <c r="B39" s="190" t="s">
        <v>232</v>
      </c>
      <c r="C39" s="159">
        <v>825210</v>
      </c>
      <c r="D39" s="159">
        <v>799927</v>
      </c>
      <c r="E39" s="159">
        <v>23038</v>
      </c>
      <c r="F39" s="159">
        <v>0</v>
      </c>
      <c r="G39" s="159">
        <v>1148</v>
      </c>
      <c r="H39" s="159">
        <v>644</v>
      </c>
      <c r="I39" s="159">
        <v>121</v>
      </c>
      <c r="J39" s="159">
        <v>100</v>
      </c>
      <c r="K39" s="159">
        <v>232</v>
      </c>
    </row>
    <row r="40" spans="1:11">
      <c r="A40" s="190" t="s">
        <v>362</v>
      </c>
      <c r="B40" s="190" t="s">
        <v>355</v>
      </c>
      <c r="C40" s="159">
        <v>553569</v>
      </c>
      <c r="D40" s="159">
        <v>300770</v>
      </c>
      <c r="E40" s="159">
        <v>242524</v>
      </c>
      <c r="F40" s="159">
        <v>1040</v>
      </c>
      <c r="G40" s="159">
        <v>4755</v>
      </c>
      <c r="H40" s="159">
        <v>3272</v>
      </c>
      <c r="I40" s="159">
        <v>613</v>
      </c>
      <c r="J40" s="159">
        <v>509</v>
      </c>
      <c r="K40" s="159">
        <v>86</v>
      </c>
    </row>
    <row r="41" spans="1:11">
      <c r="A41" s="159" t="s">
        <v>363</v>
      </c>
      <c r="B41" s="190" t="s">
        <v>356</v>
      </c>
      <c r="C41" s="159">
        <v>258521</v>
      </c>
      <c r="D41" s="159">
        <v>170867</v>
      </c>
      <c r="E41" s="159">
        <v>87501</v>
      </c>
      <c r="F41" s="159">
        <v>29</v>
      </c>
      <c r="G41" s="159">
        <v>40</v>
      </c>
      <c r="H41" s="159">
        <v>20</v>
      </c>
      <c r="I41" s="159">
        <v>5</v>
      </c>
      <c r="J41" s="159">
        <v>5</v>
      </c>
      <c r="K41" s="159">
        <v>54</v>
      </c>
    </row>
    <row r="42" spans="1:11">
      <c r="A42" s="159" t="s">
        <v>364</v>
      </c>
      <c r="B42" s="190" t="s">
        <v>233</v>
      </c>
      <c r="C42" s="159">
        <v>62217</v>
      </c>
      <c r="D42" s="159">
        <v>53733</v>
      </c>
      <c r="E42" s="159">
        <v>7928</v>
      </c>
      <c r="F42" s="159">
        <v>0</v>
      </c>
      <c r="G42" s="159">
        <v>307</v>
      </c>
      <c r="H42" s="159">
        <v>173</v>
      </c>
      <c r="I42" s="159">
        <v>32</v>
      </c>
      <c r="J42" s="159">
        <v>28</v>
      </c>
      <c r="K42" s="159">
        <v>16</v>
      </c>
    </row>
    <row r="43" spans="1:11">
      <c r="A43" s="159" t="s">
        <v>365</v>
      </c>
      <c r="B43" s="190" t="s">
        <v>234</v>
      </c>
      <c r="C43" s="159">
        <v>336767</v>
      </c>
      <c r="D43" s="159">
        <v>217951</v>
      </c>
      <c r="E43" s="159">
        <v>97027</v>
      </c>
      <c r="F43" s="159">
        <v>1019</v>
      </c>
      <c r="G43" s="159">
        <v>11361</v>
      </c>
      <c r="H43" s="159">
        <v>6950</v>
      </c>
      <c r="I43" s="159">
        <v>1303</v>
      </c>
      <c r="J43" s="159">
        <v>1086</v>
      </c>
      <c r="K43" s="159">
        <v>70</v>
      </c>
    </row>
    <row r="44" spans="1:11">
      <c r="A44" s="159" t="s">
        <v>366</v>
      </c>
      <c r="B44" s="190" t="s">
        <v>235</v>
      </c>
      <c r="C44" s="159">
        <v>349673</v>
      </c>
      <c r="D44" s="159">
        <v>344908</v>
      </c>
      <c r="E44" s="159">
        <v>3798</v>
      </c>
      <c r="F44" s="159">
        <v>0</v>
      </c>
      <c r="G44" s="159">
        <v>494</v>
      </c>
      <c r="H44" s="159">
        <v>278</v>
      </c>
      <c r="I44" s="159">
        <v>52</v>
      </c>
      <c r="J44" s="159">
        <v>43</v>
      </c>
      <c r="K44" s="159">
        <v>100</v>
      </c>
    </row>
    <row r="45" spans="1:11">
      <c r="A45" s="159" t="s">
        <v>367</v>
      </c>
      <c r="B45" s="190" t="s">
        <v>236</v>
      </c>
      <c r="C45" s="159">
        <v>446077</v>
      </c>
      <c r="D45" s="159">
        <v>422385</v>
      </c>
      <c r="E45" s="159">
        <v>22505</v>
      </c>
      <c r="F45" s="159">
        <v>0</v>
      </c>
      <c r="G45" s="159">
        <v>606</v>
      </c>
      <c r="H45" s="159">
        <v>341</v>
      </c>
      <c r="I45" s="159">
        <v>64</v>
      </c>
      <c r="J45" s="159">
        <v>53</v>
      </c>
      <c r="K45" s="159">
        <v>123</v>
      </c>
    </row>
    <row r="46" spans="1:11">
      <c r="A46" s="159" t="s">
        <v>368</v>
      </c>
      <c r="B46" s="190" t="s">
        <v>206</v>
      </c>
      <c r="C46" s="159">
        <v>166229</v>
      </c>
      <c r="D46" s="159">
        <v>124296</v>
      </c>
      <c r="E46" s="159">
        <v>41897</v>
      </c>
      <c r="F46" s="159">
        <v>0</v>
      </c>
      <c r="G46" s="159">
        <v>0</v>
      </c>
      <c r="H46" s="159">
        <v>0</v>
      </c>
      <c r="I46" s="159">
        <v>0</v>
      </c>
      <c r="J46" s="159">
        <v>0</v>
      </c>
      <c r="K46" s="159">
        <v>36</v>
      </c>
    </row>
    <row r="47" spans="1:11">
      <c r="A47" s="159" t="s">
        <v>369</v>
      </c>
      <c r="B47" s="190" t="s">
        <v>237</v>
      </c>
      <c r="C47" s="159">
        <v>508536</v>
      </c>
      <c r="D47" s="159">
        <v>346303</v>
      </c>
      <c r="E47" s="159">
        <v>145934</v>
      </c>
      <c r="F47" s="159">
        <v>608</v>
      </c>
      <c r="G47" s="159">
        <v>8623</v>
      </c>
      <c r="H47" s="159">
        <v>5182</v>
      </c>
      <c r="I47" s="159">
        <v>972</v>
      </c>
      <c r="J47" s="159">
        <v>809</v>
      </c>
      <c r="K47" s="159">
        <v>105</v>
      </c>
    </row>
    <row r="48" spans="1:11">
      <c r="A48" s="159" t="s">
        <v>370</v>
      </c>
      <c r="B48" s="190" t="s">
        <v>210</v>
      </c>
      <c r="C48" s="159">
        <v>135354</v>
      </c>
      <c r="D48" s="159">
        <v>83976</v>
      </c>
      <c r="E48" s="159">
        <v>51354</v>
      </c>
      <c r="F48" s="159">
        <v>0</v>
      </c>
      <c r="G48" s="159">
        <v>0</v>
      </c>
      <c r="H48" s="159">
        <v>0</v>
      </c>
      <c r="I48" s="159">
        <v>0</v>
      </c>
      <c r="J48" s="159">
        <v>0</v>
      </c>
      <c r="K48" s="159">
        <v>24</v>
      </c>
    </row>
    <row r="49" spans="1:11">
      <c r="A49" s="159" t="s">
        <v>371</v>
      </c>
      <c r="B49" s="190" t="s">
        <v>212</v>
      </c>
      <c r="C49" s="159">
        <v>70032</v>
      </c>
      <c r="D49" s="159">
        <v>67320</v>
      </c>
      <c r="E49" s="159">
        <v>2692</v>
      </c>
      <c r="F49" s="159">
        <v>0</v>
      </c>
      <c r="G49" s="159">
        <v>0</v>
      </c>
      <c r="H49" s="159">
        <v>0</v>
      </c>
      <c r="I49" s="159">
        <v>0</v>
      </c>
      <c r="J49" s="159">
        <v>0</v>
      </c>
      <c r="K49" s="159">
        <v>20</v>
      </c>
    </row>
    <row r="50" spans="1:11">
      <c r="A50" s="159" t="s">
        <v>372</v>
      </c>
      <c r="B50" s="190" t="s">
        <v>214</v>
      </c>
      <c r="C50" s="159">
        <v>207123</v>
      </c>
      <c r="D50" s="159">
        <v>202175</v>
      </c>
      <c r="E50" s="159">
        <v>4722</v>
      </c>
      <c r="F50" s="159">
        <v>0</v>
      </c>
      <c r="G50" s="159">
        <v>95</v>
      </c>
      <c r="H50" s="159">
        <v>53</v>
      </c>
      <c r="I50" s="159">
        <v>10</v>
      </c>
      <c r="J50" s="159">
        <v>9</v>
      </c>
      <c r="K50" s="159">
        <v>59</v>
      </c>
    </row>
    <row r="51" spans="1:11">
      <c r="A51" s="159" t="s">
        <v>373</v>
      </c>
      <c r="B51" s="190" t="s">
        <v>238</v>
      </c>
      <c r="C51" s="159">
        <v>310820</v>
      </c>
      <c r="D51" s="159">
        <v>310574</v>
      </c>
      <c r="E51" s="159">
        <v>0</v>
      </c>
      <c r="F51" s="159">
        <v>0</v>
      </c>
      <c r="G51" s="159">
        <v>88</v>
      </c>
      <c r="H51" s="159">
        <v>50</v>
      </c>
      <c r="I51" s="159">
        <v>9</v>
      </c>
      <c r="J51" s="159">
        <v>8</v>
      </c>
      <c r="K51" s="159">
        <v>91</v>
      </c>
    </row>
    <row r="52" spans="1:11">
      <c r="A52" s="159" t="s">
        <v>374</v>
      </c>
      <c r="B52" s="190" t="s">
        <v>239</v>
      </c>
      <c r="C52" s="159">
        <v>731212</v>
      </c>
      <c r="D52" s="159">
        <v>730639</v>
      </c>
      <c r="E52" s="159">
        <v>0</v>
      </c>
      <c r="F52" s="159">
        <v>0</v>
      </c>
      <c r="G52" s="159">
        <v>206</v>
      </c>
      <c r="H52" s="159">
        <v>115</v>
      </c>
      <c r="I52" s="159">
        <v>21</v>
      </c>
      <c r="J52" s="159">
        <v>19</v>
      </c>
      <c r="K52" s="159">
        <v>212</v>
      </c>
    </row>
    <row r="53" spans="1:11">
      <c r="A53" s="159" t="s">
        <v>375</v>
      </c>
      <c r="B53" s="190" t="s">
        <v>240</v>
      </c>
      <c r="C53" s="159">
        <v>430546</v>
      </c>
      <c r="D53" s="159">
        <v>430208</v>
      </c>
      <c r="E53" s="159">
        <v>0</v>
      </c>
      <c r="F53" s="159">
        <v>0</v>
      </c>
      <c r="G53" s="159">
        <v>121</v>
      </c>
      <c r="H53" s="159">
        <v>68</v>
      </c>
      <c r="I53" s="159">
        <v>13</v>
      </c>
      <c r="J53" s="159">
        <v>11</v>
      </c>
      <c r="K53" s="159">
        <v>125</v>
      </c>
    </row>
    <row r="54" spans="1:11">
      <c r="A54" s="159" t="s">
        <v>376</v>
      </c>
      <c r="B54" s="190" t="s">
        <v>241</v>
      </c>
      <c r="C54" s="159">
        <v>426056</v>
      </c>
      <c r="D54" s="159">
        <v>425722</v>
      </c>
      <c r="E54" s="159">
        <v>0</v>
      </c>
      <c r="F54" s="159">
        <v>0</v>
      </c>
      <c r="G54" s="159">
        <v>120</v>
      </c>
      <c r="H54" s="159">
        <v>67</v>
      </c>
      <c r="I54" s="159">
        <v>13</v>
      </c>
      <c r="J54" s="159">
        <v>11</v>
      </c>
      <c r="K54" s="159">
        <v>123</v>
      </c>
    </row>
    <row r="55" spans="1:11">
      <c r="A55" s="159" t="s">
        <v>377</v>
      </c>
      <c r="B55" s="190" t="s">
        <v>224</v>
      </c>
      <c r="C55" s="159">
        <v>267635</v>
      </c>
      <c r="D55" s="159">
        <v>267424</v>
      </c>
      <c r="E55" s="159">
        <v>0</v>
      </c>
      <c r="F55" s="159">
        <v>0</v>
      </c>
      <c r="G55" s="159">
        <v>75</v>
      </c>
      <c r="H55" s="159">
        <v>43</v>
      </c>
      <c r="I55" s="159">
        <v>8</v>
      </c>
      <c r="J55" s="159">
        <v>7</v>
      </c>
      <c r="K55" s="159">
        <v>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C0546-A832-4031-9319-364D7694BE54}">
  <dimension ref="A2:O58"/>
  <sheetViews>
    <sheetView topLeftCell="A26" workbookViewId="0">
      <selection activeCell="O32" sqref="J30:O32"/>
    </sheetView>
  </sheetViews>
  <sheetFormatPr defaultRowHeight="14.4"/>
  <cols>
    <col min="1" max="16384" width="8.6640625" style="159"/>
  </cols>
  <sheetData>
    <row r="2" spans="1:12">
      <c r="A2" s="159" t="s">
        <v>314</v>
      </c>
      <c r="B2" s="156" t="s">
        <v>243</v>
      </c>
      <c r="C2" s="156" t="s">
        <v>290</v>
      </c>
      <c r="D2" s="156" t="s">
        <v>286</v>
      </c>
      <c r="E2" s="156" t="s">
        <v>162</v>
      </c>
      <c r="F2" s="156" t="s">
        <v>159</v>
      </c>
      <c r="G2" s="156" t="s">
        <v>163</v>
      </c>
    </row>
    <row r="3" spans="1:12">
      <c r="B3" s="156" t="s">
        <v>293</v>
      </c>
      <c r="C3" s="160">
        <v>544395</v>
      </c>
      <c r="D3" s="155">
        <v>239951</v>
      </c>
      <c r="E3" s="160">
        <v>293950</v>
      </c>
      <c r="F3" s="160">
        <v>10406</v>
      </c>
      <c r="G3" s="155">
        <v>88</v>
      </c>
      <c r="J3" s="159" t="s">
        <v>304</v>
      </c>
    </row>
    <row r="4" spans="1:12">
      <c r="B4" s="163"/>
      <c r="J4" s="159" t="s">
        <v>305</v>
      </c>
    </row>
    <row r="5" spans="1:12">
      <c r="A5" s="185" t="s">
        <v>315</v>
      </c>
      <c r="B5" s="162" t="s">
        <v>169</v>
      </c>
      <c r="C5" s="162" t="s">
        <v>6</v>
      </c>
      <c r="D5" s="162" t="s">
        <v>157</v>
      </c>
      <c r="E5" s="162" t="s">
        <v>162</v>
      </c>
      <c r="F5" s="162" t="s">
        <v>159</v>
      </c>
      <c r="G5" s="162" t="s">
        <v>163</v>
      </c>
      <c r="J5" s="159" t="s">
        <v>352</v>
      </c>
      <c r="K5" s="159">
        <v>985902</v>
      </c>
    </row>
    <row r="6" spans="1:12">
      <c r="B6" s="163" t="s">
        <v>309</v>
      </c>
      <c r="C6" s="159">
        <v>1224500</v>
      </c>
      <c r="D6" s="159">
        <v>811600</v>
      </c>
      <c r="E6" s="159">
        <v>380300</v>
      </c>
      <c r="F6" s="159">
        <v>13100</v>
      </c>
      <c r="G6" s="159">
        <v>19499.999999999956</v>
      </c>
      <c r="J6" s="159">
        <v>2022</v>
      </c>
      <c r="K6" s="159">
        <v>971800</v>
      </c>
    </row>
    <row r="7" spans="1:12">
      <c r="J7" s="159">
        <v>2021</v>
      </c>
      <c r="K7" s="163">
        <v>957900</v>
      </c>
      <c r="L7" s="159">
        <v>13900</v>
      </c>
    </row>
    <row r="8" spans="1:12">
      <c r="A8" s="159" t="s">
        <v>317</v>
      </c>
      <c r="B8" s="162" t="s">
        <v>169</v>
      </c>
      <c r="C8" s="162" t="s">
        <v>6</v>
      </c>
      <c r="D8" s="162" t="s">
        <v>157</v>
      </c>
      <c r="E8" s="162" t="s">
        <v>162</v>
      </c>
      <c r="F8" s="162" t="s">
        <v>159</v>
      </c>
      <c r="G8" s="162" t="s">
        <v>163</v>
      </c>
      <c r="H8" s="162"/>
    </row>
    <row r="9" spans="1:12">
      <c r="B9" s="185" t="s">
        <v>309</v>
      </c>
      <c r="C9" s="159">
        <f>C6-C12</f>
        <v>238598</v>
      </c>
      <c r="D9" s="159">
        <f>D6-D12</f>
        <v>221045</v>
      </c>
      <c r="E9" s="159">
        <f>E6-E12</f>
        <v>13544</v>
      </c>
      <c r="F9" s="159">
        <f>F6-F12</f>
        <v>1600</v>
      </c>
      <c r="G9" s="159">
        <f>G6-G12</f>
        <v>2408.9999999999563</v>
      </c>
    </row>
    <row r="11" spans="1:12">
      <c r="A11" s="185" t="s">
        <v>354</v>
      </c>
      <c r="B11" s="162" t="s">
        <v>169</v>
      </c>
      <c r="C11" s="162" t="s">
        <v>6</v>
      </c>
      <c r="D11" s="162" t="s">
        <v>157</v>
      </c>
      <c r="E11" s="162" t="s">
        <v>162</v>
      </c>
      <c r="F11" s="162" t="s">
        <v>159</v>
      </c>
      <c r="G11" s="162" t="s">
        <v>163</v>
      </c>
      <c r="I11" s="159" t="s">
        <v>353</v>
      </c>
    </row>
    <row r="12" spans="1:12">
      <c r="B12" s="159" t="s">
        <v>176</v>
      </c>
      <c r="C12" s="159">
        <v>985902</v>
      </c>
      <c r="D12" s="159">
        <v>590555</v>
      </c>
      <c r="E12" s="159">
        <v>366756</v>
      </c>
      <c r="F12" s="159">
        <v>11500</v>
      </c>
      <c r="G12" s="159">
        <v>17091</v>
      </c>
      <c r="I12" s="159">
        <v>590555</v>
      </c>
    </row>
    <row r="13" spans="1:12">
      <c r="I13" s="159">
        <v>366756</v>
      </c>
    </row>
    <row r="14" spans="1:12">
      <c r="A14" s="159" t="s">
        <v>317</v>
      </c>
      <c r="B14" s="159" t="s">
        <v>302</v>
      </c>
      <c r="C14" s="159">
        <f>C12-C15</f>
        <v>441507</v>
      </c>
      <c r="D14" s="159">
        <f>D12-D15</f>
        <v>350604</v>
      </c>
      <c r="E14" s="159">
        <f>E12-E15</f>
        <v>72806</v>
      </c>
      <c r="F14" s="159">
        <f>F12-F15</f>
        <v>1094</v>
      </c>
      <c r="G14" s="159">
        <f>G12-G15</f>
        <v>17003</v>
      </c>
      <c r="I14" s="159">
        <v>11500</v>
      </c>
    </row>
    <row r="15" spans="1:12">
      <c r="A15" s="159" t="s">
        <v>318</v>
      </c>
      <c r="B15" s="159" t="s">
        <v>303</v>
      </c>
      <c r="C15" s="160">
        <v>544395</v>
      </c>
      <c r="D15" s="155">
        <v>239951</v>
      </c>
      <c r="E15" s="160">
        <v>293950</v>
      </c>
      <c r="F15" s="160">
        <v>10406</v>
      </c>
      <c r="G15" s="155">
        <v>88</v>
      </c>
      <c r="I15" s="159">
        <v>17091</v>
      </c>
    </row>
    <row r="16" spans="1:12">
      <c r="I16" s="159">
        <v>985902</v>
      </c>
    </row>
    <row r="17" spans="2:15">
      <c r="C17" s="159" t="s">
        <v>306</v>
      </c>
    </row>
    <row r="20" spans="2:15">
      <c r="C20" s="159" t="s">
        <v>316</v>
      </c>
    </row>
    <row r="21" spans="2:15">
      <c r="C21" s="159" t="s">
        <v>307</v>
      </c>
    </row>
    <row r="22" spans="2:15">
      <c r="C22" s="159">
        <v>2020</v>
      </c>
      <c r="D22" s="159" t="s">
        <v>311</v>
      </c>
      <c r="E22" s="159" t="s">
        <v>312</v>
      </c>
      <c r="G22" s="159" t="s">
        <v>313</v>
      </c>
      <c r="H22" s="159" t="s">
        <v>353</v>
      </c>
    </row>
    <row r="23" spans="2:15">
      <c r="C23" s="159" t="s">
        <v>157</v>
      </c>
      <c r="D23" s="159">
        <v>59.9</v>
      </c>
      <c r="E23" s="159">
        <v>59.9</v>
      </c>
      <c r="F23" s="159">
        <f>E23/100*C12</f>
        <v>590555.29799999995</v>
      </c>
      <c r="G23" s="159">
        <v>573800</v>
      </c>
      <c r="H23" s="159">
        <v>590555</v>
      </c>
      <c r="I23" s="159" t="s">
        <v>157</v>
      </c>
    </row>
    <row r="24" spans="2:15">
      <c r="C24" s="159" t="s">
        <v>158</v>
      </c>
      <c r="D24" s="159">
        <v>37.200000000000003</v>
      </c>
      <c r="E24" s="159">
        <v>37.200000000000003</v>
      </c>
      <c r="F24" s="159">
        <f>E24/100*C12</f>
        <v>366755.54400000005</v>
      </c>
      <c r="G24" s="159">
        <v>356300</v>
      </c>
      <c r="H24" s="159">
        <v>366756</v>
      </c>
      <c r="I24" s="159" t="s">
        <v>158</v>
      </c>
    </row>
    <row r="25" spans="2:15">
      <c r="B25" s="159" t="s">
        <v>310</v>
      </c>
      <c r="C25" s="159" t="s">
        <v>308</v>
      </c>
      <c r="D25" s="159">
        <v>1.7</v>
      </c>
      <c r="E25" s="159">
        <v>1.2</v>
      </c>
      <c r="F25" s="159">
        <f>E25/100*C12</f>
        <v>11830.824000000001</v>
      </c>
      <c r="G25" s="159">
        <v>11500</v>
      </c>
      <c r="H25" s="159">
        <v>11500</v>
      </c>
      <c r="I25" s="159" t="s">
        <v>308</v>
      </c>
    </row>
    <row r="26" spans="2:15">
      <c r="C26" s="159" t="s">
        <v>163</v>
      </c>
      <c r="D26" s="159">
        <v>1.1000000000000001</v>
      </c>
      <c r="E26" s="159">
        <v>1.7</v>
      </c>
      <c r="F26" s="159">
        <f>E26/100*C12</f>
        <v>16760.334000000003</v>
      </c>
      <c r="G26" s="159">
        <v>16300</v>
      </c>
      <c r="H26" s="159">
        <v>17091</v>
      </c>
      <c r="I26" s="159" t="s">
        <v>163</v>
      </c>
    </row>
    <row r="27" spans="2:15">
      <c r="H27" s="159">
        <v>985902</v>
      </c>
    </row>
    <row r="28" spans="2:15">
      <c r="K28" s="162"/>
      <c r="L28" s="162"/>
      <c r="M28" s="162"/>
      <c r="N28" s="162"/>
      <c r="O28" s="162"/>
    </row>
    <row r="30" spans="2:15">
      <c r="J30" s="162"/>
      <c r="K30" s="162" t="s">
        <v>6</v>
      </c>
      <c r="L30" s="162" t="s">
        <v>157</v>
      </c>
      <c r="M30" s="162" t="s">
        <v>162</v>
      </c>
      <c r="N30" s="162" t="s">
        <v>159</v>
      </c>
      <c r="O30" s="162" t="s">
        <v>163</v>
      </c>
    </row>
    <row r="31" spans="2:15">
      <c r="J31" s="185" t="s">
        <v>309</v>
      </c>
      <c r="K31" s="159">
        <v>238598</v>
      </c>
      <c r="L31" s="159">
        <v>221045</v>
      </c>
      <c r="M31" s="159">
        <v>13544</v>
      </c>
      <c r="N31" s="159">
        <v>1600</v>
      </c>
      <c r="O31" s="159">
        <v>2408.9999999999563</v>
      </c>
    </row>
    <row r="32" spans="2:15">
      <c r="B32" s="159" t="s">
        <v>342</v>
      </c>
      <c r="J32" s="159" t="s">
        <v>357</v>
      </c>
      <c r="K32" s="186">
        <v>432333</v>
      </c>
      <c r="L32" s="186">
        <v>348031</v>
      </c>
      <c r="M32" s="186">
        <v>65986</v>
      </c>
      <c r="N32" s="186">
        <v>1311</v>
      </c>
      <c r="O32" s="186">
        <v>17005</v>
      </c>
    </row>
    <row r="33" spans="1:15">
      <c r="C33" s="159">
        <v>2021</v>
      </c>
      <c r="D33" s="159">
        <v>2022</v>
      </c>
      <c r="E33" s="159">
        <v>2023</v>
      </c>
      <c r="J33" s="159" t="s">
        <v>355</v>
      </c>
      <c r="K33" s="159">
        <v>565369</v>
      </c>
      <c r="L33" s="159">
        <v>247694</v>
      </c>
      <c r="M33" s="159">
        <v>307181</v>
      </c>
      <c r="N33" s="159">
        <v>10406</v>
      </c>
      <c r="O33" s="159">
        <v>88</v>
      </c>
    </row>
    <row r="34" spans="1:15">
      <c r="B34" s="159" t="s">
        <v>343</v>
      </c>
      <c r="C34" s="159">
        <v>471834</v>
      </c>
      <c r="D34" s="159">
        <v>482064</v>
      </c>
      <c r="E34" s="159">
        <v>492340</v>
      </c>
      <c r="J34" s="159" t="s">
        <v>356</v>
      </c>
      <c r="K34" s="159">
        <v>264031</v>
      </c>
      <c r="L34" s="159">
        <v>89366</v>
      </c>
      <c r="M34" s="159">
        <v>174509</v>
      </c>
      <c r="N34" s="159">
        <v>101</v>
      </c>
      <c r="O34" s="159">
        <v>55</v>
      </c>
    </row>
    <row r="35" spans="1:15">
      <c r="B35" s="159" t="s">
        <v>344</v>
      </c>
      <c r="C35" s="159">
        <v>304444</v>
      </c>
      <c r="D35" s="159">
        <v>311044</v>
      </c>
      <c r="E35" s="159">
        <v>317675</v>
      </c>
    </row>
    <row r="36" spans="1:15">
      <c r="B36" s="159" t="s">
        <v>345</v>
      </c>
      <c r="C36" s="159">
        <v>167390</v>
      </c>
      <c r="D36" s="159">
        <v>171020</v>
      </c>
      <c r="E36" s="159">
        <v>174665</v>
      </c>
      <c r="F36" s="159">
        <f>E35/C35</f>
        <v>1.0434595524956971</v>
      </c>
      <c r="G36" s="159">
        <v>250379</v>
      </c>
      <c r="K36" s="159">
        <f>K33-C53</f>
        <v>11800</v>
      </c>
      <c r="L36" s="159">
        <f>L33-D53</f>
        <v>5170</v>
      </c>
      <c r="M36" s="159">
        <f>M33-E53</f>
        <v>6411</v>
      </c>
      <c r="N36" s="159">
        <f>N33-F53</f>
        <v>217</v>
      </c>
      <c r="O36" s="159">
        <f>O33-G53</f>
        <v>2</v>
      </c>
    </row>
    <row r="38" spans="1:15">
      <c r="A38" s="159" t="s">
        <v>350</v>
      </c>
      <c r="B38" s="159" t="s">
        <v>348</v>
      </c>
      <c r="D38" s="159" t="s">
        <v>349</v>
      </c>
      <c r="E38" s="159" t="s">
        <v>157</v>
      </c>
    </row>
    <row r="39" spans="1:15">
      <c r="B39" s="159" t="s">
        <v>176</v>
      </c>
      <c r="C39" s="159">
        <f>D39+E39</f>
        <v>803472</v>
      </c>
      <c r="D39" s="159">
        <v>476949</v>
      </c>
      <c r="E39" s="159">
        <v>326523</v>
      </c>
      <c r="F39" s="159">
        <f>D39/(D39+E39)</f>
        <v>0.59360998267518972</v>
      </c>
      <c r="G39" s="159">
        <f>E39/D39</f>
        <v>0.68460778825409008</v>
      </c>
    </row>
    <row r="40" spans="1:15">
      <c r="B40" s="159" t="s">
        <v>346</v>
      </c>
      <c r="C40" s="159">
        <f>D40+E40</f>
        <v>547695</v>
      </c>
      <c r="D40" s="159">
        <v>307744</v>
      </c>
      <c r="E40" s="159">
        <v>239951</v>
      </c>
      <c r="F40" s="159">
        <f>D40/(D40+E40)</f>
        <v>0.56188937273482509</v>
      </c>
      <c r="G40" s="159">
        <f>E40/D40</f>
        <v>0.77970975876052828</v>
      </c>
      <c r="J40" s="181"/>
    </row>
    <row r="41" spans="1:15">
      <c r="B41" s="159" t="s">
        <v>347</v>
      </c>
      <c r="C41" s="159">
        <f>D41+E41</f>
        <v>255777</v>
      </c>
      <c r="D41" s="159">
        <v>169205</v>
      </c>
      <c r="E41" s="159">
        <v>86572</v>
      </c>
      <c r="F41" s="159">
        <f>D41/(D41+E41)</f>
        <v>0.66153328876325856</v>
      </c>
      <c r="G41" s="159">
        <f>E41/D41</f>
        <v>0.51163972695842319</v>
      </c>
    </row>
    <row r="42" spans="1:15">
      <c r="B42" s="159" t="s">
        <v>285</v>
      </c>
    </row>
    <row r="44" spans="1:15" ht="15.6">
      <c r="A44" s="156" t="s">
        <v>243</v>
      </c>
      <c r="B44" s="159" t="s">
        <v>351</v>
      </c>
      <c r="C44" s="156" t="s">
        <v>242</v>
      </c>
      <c r="D44" s="163" t="s">
        <v>157</v>
      </c>
      <c r="E44" s="156" t="s">
        <v>162</v>
      </c>
      <c r="F44" s="156" t="s">
        <v>334</v>
      </c>
      <c r="G44" s="156" t="s">
        <v>335</v>
      </c>
      <c r="H44" s="129" t="s">
        <v>336</v>
      </c>
      <c r="I44" s="156" t="s">
        <v>338</v>
      </c>
      <c r="J44" s="156" t="s">
        <v>341</v>
      </c>
      <c r="K44" s="156" t="s">
        <v>163</v>
      </c>
    </row>
    <row r="45" spans="1:15" ht="15.6">
      <c r="A45" s="181" t="s">
        <v>176</v>
      </c>
      <c r="B45" s="159">
        <f>SUM(D45:K45)</f>
        <v>492340</v>
      </c>
      <c r="C45" s="181">
        <v>492340</v>
      </c>
      <c r="E45" s="181">
        <v>481690</v>
      </c>
      <c r="F45" s="181">
        <v>1092</v>
      </c>
      <c r="G45" s="181">
        <v>4897</v>
      </c>
      <c r="H45" s="126">
        <v>3362</v>
      </c>
      <c r="I45" s="181">
        <v>631</v>
      </c>
      <c r="J45" s="181">
        <v>525</v>
      </c>
      <c r="K45" s="181">
        <v>143</v>
      </c>
    </row>
    <row r="47" spans="1:15" ht="15.6">
      <c r="A47" s="159" t="s">
        <v>343</v>
      </c>
      <c r="B47" s="159">
        <f>SUM(D47:K47)</f>
        <v>492340</v>
      </c>
      <c r="C47" s="159">
        <v>492340</v>
      </c>
      <c r="E47" s="181">
        <v>481690</v>
      </c>
      <c r="F47" s="181">
        <v>1092</v>
      </c>
      <c r="G47" s="181">
        <v>4897</v>
      </c>
      <c r="H47" s="126">
        <v>3362</v>
      </c>
      <c r="I47" s="181">
        <v>631</v>
      </c>
      <c r="J47" s="181">
        <v>525</v>
      </c>
      <c r="K47" s="181">
        <v>143</v>
      </c>
    </row>
    <row r="48" spans="1:15">
      <c r="A48" s="159" t="s">
        <v>344</v>
      </c>
      <c r="B48" s="159">
        <f>SUM(D48:K48)</f>
        <v>0</v>
      </c>
      <c r="C48" s="159">
        <v>317675</v>
      </c>
    </row>
    <row r="49" spans="1:12">
      <c r="A49" s="159" t="s">
        <v>345</v>
      </c>
      <c r="B49" s="159">
        <f>SUM(D49:K49)</f>
        <v>0</v>
      </c>
      <c r="C49" s="159">
        <v>174665</v>
      </c>
      <c r="F49" s="160"/>
      <c r="G49" s="155"/>
    </row>
    <row r="52" spans="1:12">
      <c r="C52" s="156" t="s">
        <v>242</v>
      </c>
      <c r="D52" s="156" t="s">
        <v>157</v>
      </c>
      <c r="E52" s="156" t="s">
        <v>162</v>
      </c>
      <c r="F52" s="159" t="s">
        <v>320</v>
      </c>
      <c r="G52" s="156" t="s">
        <v>163</v>
      </c>
      <c r="H52" s="156" t="s">
        <v>334</v>
      </c>
      <c r="I52" s="156" t="s">
        <v>335</v>
      </c>
      <c r="J52" s="156" t="s">
        <v>336</v>
      </c>
      <c r="K52" s="156" t="s">
        <v>338</v>
      </c>
      <c r="L52" s="156" t="s">
        <v>341</v>
      </c>
    </row>
    <row r="53" spans="1:12">
      <c r="C53" s="159">
        <v>553569</v>
      </c>
      <c r="D53" s="159">
        <v>242524</v>
      </c>
      <c r="E53" s="159">
        <v>300770</v>
      </c>
      <c r="F53" s="159">
        <f>SUM(H53:L53)</f>
        <v>10189</v>
      </c>
      <c r="G53" s="159">
        <v>86</v>
      </c>
      <c r="H53" s="159">
        <v>1040</v>
      </c>
      <c r="I53" s="159">
        <v>4755</v>
      </c>
      <c r="J53" s="159">
        <v>3272</v>
      </c>
      <c r="K53" s="159">
        <v>613</v>
      </c>
      <c r="L53" s="159">
        <v>509</v>
      </c>
    </row>
    <row r="56" spans="1:12">
      <c r="B56" s="163"/>
    </row>
    <row r="57" spans="1:12">
      <c r="A57" s="185" t="s">
        <v>315</v>
      </c>
      <c r="B57" s="162" t="s">
        <v>169</v>
      </c>
      <c r="C57" s="162" t="s">
        <v>6</v>
      </c>
      <c r="D57" s="162" t="s">
        <v>157</v>
      </c>
      <c r="E57" s="162" t="s">
        <v>162</v>
      </c>
      <c r="F57" s="162" t="s">
        <v>159</v>
      </c>
      <c r="G57" s="162" t="s">
        <v>163</v>
      </c>
    </row>
    <row r="58" spans="1:12">
      <c r="B58" s="163" t="s">
        <v>309</v>
      </c>
      <c r="C58" s="159">
        <v>1224500</v>
      </c>
      <c r="D58" s="159">
        <v>811600</v>
      </c>
      <c r="E58" s="159">
        <v>380300</v>
      </c>
      <c r="F58" s="159">
        <v>13100</v>
      </c>
      <c r="G58" s="159">
        <v>19499.999999999956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611AF-218F-4236-9E77-3DF40D3894AC}">
  <dimension ref="A1:F14"/>
  <sheetViews>
    <sheetView workbookViewId="0">
      <selection activeCell="F9" sqref="A9:F14"/>
    </sheetView>
  </sheetViews>
  <sheetFormatPr defaultRowHeight="14.4"/>
  <cols>
    <col min="1" max="1" width="14.08203125" style="159" bestFit="1" customWidth="1"/>
    <col min="2" max="16384" width="8.6640625" style="159"/>
  </cols>
  <sheetData>
    <row r="1" spans="1:6">
      <c r="A1" s="163"/>
      <c r="B1" s="163" t="s">
        <v>6</v>
      </c>
      <c r="C1" s="163" t="s">
        <v>157</v>
      </c>
      <c r="D1" s="163" t="s">
        <v>162</v>
      </c>
      <c r="E1" s="163" t="s">
        <v>159</v>
      </c>
      <c r="F1" s="163" t="s">
        <v>163</v>
      </c>
    </row>
    <row r="2" spans="1:6">
      <c r="A2" s="159" t="s">
        <v>309</v>
      </c>
      <c r="B2" s="159">
        <v>238598</v>
      </c>
      <c r="C2" s="159">
        <v>221045</v>
      </c>
      <c r="D2" s="159">
        <v>13544</v>
      </c>
      <c r="E2" s="159">
        <v>1600</v>
      </c>
      <c r="F2" s="159">
        <v>2408.9999999999563</v>
      </c>
    </row>
    <row r="3" spans="1:6">
      <c r="A3" s="155" t="s">
        <v>357</v>
      </c>
      <c r="B3" s="160">
        <v>420533</v>
      </c>
      <c r="C3" s="155">
        <v>342861</v>
      </c>
      <c r="D3" s="160">
        <v>59575</v>
      </c>
      <c r="E3" s="160">
        <v>1094</v>
      </c>
      <c r="F3" s="155">
        <v>17003</v>
      </c>
    </row>
    <row r="4" spans="1:6">
      <c r="A4" s="159" t="s">
        <v>355</v>
      </c>
      <c r="B4" s="159">
        <v>565369</v>
      </c>
      <c r="C4" s="159">
        <v>247694</v>
      </c>
      <c r="D4" s="159">
        <v>307181</v>
      </c>
      <c r="E4" s="159">
        <v>10406</v>
      </c>
      <c r="F4" s="159">
        <v>88</v>
      </c>
    </row>
    <row r="5" spans="1:6">
      <c r="A5" s="159" t="s">
        <v>356</v>
      </c>
      <c r="B5" s="159">
        <v>264031</v>
      </c>
      <c r="C5" s="159">
        <v>89366</v>
      </c>
      <c r="D5" s="159">
        <v>174509</v>
      </c>
      <c r="E5" s="159">
        <v>101</v>
      </c>
      <c r="F5" s="159">
        <v>88</v>
      </c>
    </row>
    <row r="9" spans="1:6">
      <c r="A9" s="163" t="s">
        <v>169</v>
      </c>
      <c r="B9" s="163" t="s">
        <v>6</v>
      </c>
      <c r="C9" s="163" t="s">
        <v>286</v>
      </c>
      <c r="D9" s="163" t="s">
        <v>162</v>
      </c>
      <c r="E9" s="163" t="s">
        <v>159</v>
      </c>
      <c r="F9" s="163" t="s">
        <v>163</v>
      </c>
    </row>
    <row r="10" spans="1:6">
      <c r="A10" s="159" t="s">
        <v>358</v>
      </c>
      <c r="B10" s="159">
        <v>266600</v>
      </c>
      <c r="C10" s="159">
        <v>237800</v>
      </c>
      <c r="D10" s="159">
        <v>24000</v>
      </c>
      <c r="E10" s="159">
        <v>1600</v>
      </c>
      <c r="F10" s="159">
        <v>3199.9999999999563</v>
      </c>
    </row>
    <row r="11" spans="1:6">
      <c r="A11" s="182" t="s">
        <v>359</v>
      </c>
      <c r="B11" s="183">
        <v>253962</v>
      </c>
      <c r="C11" s="182">
        <v>86572</v>
      </c>
      <c r="D11" s="183">
        <v>167260</v>
      </c>
      <c r="E11" s="183">
        <v>81</v>
      </c>
      <c r="F11" s="182">
        <v>49</v>
      </c>
    </row>
    <row r="12" spans="1:6">
      <c r="A12" s="159" t="s">
        <v>176</v>
      </c>
      <c r="B12" s="159">
        <v>957900</v>
      </c>
      <c r="C12" s="159">
        <v>573800</v>
      </c>
      <c r="D12" s="159">
        <v>356300</v>
      </c>
      <c r="E12" s="159">
        <v>11500</v>
      </c>
      <c r="F12" s="159">
        <v>16300</v>
      </c>
    </row>
    <row r="13" spans="1:6">
      <c r="A13" s="159" t="s">
        <v>357</v>
      </c>
      <c r="B13" s="159">
        <v>413505</v>
      </c>
      <c r="C13" s="159">
        <v>333849</v>
      </c>
      <c r="D13" s="159">
        <v>62350</v>
      </c>
      <c r="E13" s="159">
        <v>1094</v>
      </c>
      <c r="F13" s="159">
        <v>16212</v>
      </c>
    </row>
    <row r="14" spans="1:6">
      <c r="A14" s="189" t="s">
        <v>355</v>
      </c>
      <c r="B14" s="189">
        <v>544395</v>
      </c>
      <c r="C14" s="189">
        <v>239951</v>
      </c>
      <c r="D14" s="189">
        <v>293950</v>
      </c>
      <c r="E14" s="189">
        <v>10406</v>
      </c>
      <c r="F14" s="189">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d0583b520c103543296f4434bed73337">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d0417e7df721e5ecc020a8d728bfa422"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 xsi:nil="true"/>
    <LikesCount xmlns="http://schemas.microsoft.com/sharepoint/v3" xsi:nil="true"/>
    <CbsDocArticleVariationRelUrl xmlns="f37fff55-d014-472b-b062-823f736a4040" xsi:nil="true"/>
    <PublishingRollupImage xmlns="http://schemas.microsoft.com/sharepoint/v3" xsi:nil="true"/>
    <CbsOrderField xmlns="f37fff55-d014-472b-b062-823f736a4040">20</CbsOrderField>
    <CbsPublishingDocChapter xmlns="f37fff55-d014-472b-b062-823f736a4040">לוחות</CbsPublishingDocChapter>
    <Ratings xmlns="http://schemas.microsoft.com/sharepoint/v3" xsi:nil="true"/>
    <CbsHide xmlns="f37fff55-d014-472b-b062-823f736a4040" xsi:nil="true"/>
    <CbsEnglishTitle xmlns="f37fff55-d014-472b-b062-823f736a4040">2.19 Population, by Population Group, Religion, Age and Sex, District and Sub-District</CbsEnglishTitle>
    <CbsPublishingDocSubjectEng xmlns="f37fff55-d014-472b-b062-823f736a4040">2. Population</CbsPublishingDocSubjectEng>
    <CbsPublishingDocChapterEng xmlns="f37fff55-d014-472b-b062-823f736a4040">Tables</CbsPublishingDocChapterEng>
    <ArticleStartDate xmlns="http://schemas.microsoft.com/sharepoint/v3">2023-09-11T21:00:00+00:00</ArticleStartDate>
    <VariationsItemGroupID xmlns="http://schemas.microsoft.com/sharepoint/v3">c9790906-a310-45e5-ba2a-dbb94e10ab56</VariationsItemGroupID>
    <LikedBy xmlns="http://schemas.microsoft.com/sharepoint/v3">
      <UserInfo>
        <DisplayName/>
        <AccountId xsi:nil="true"/>
        <AccountType/>
      </UserInfo>
    </LikedBy>
    <CbsDataPublishDate xmlns="f37fff55-d014-472b-b062-823f736a4040">2023-09-12T10:00:00+00:00</CbsDataPublishDate>
    <CbsPublishingDocSubject xmlns="f37fff55-d014-472b-b062-823f736a4040">2. אוכלוסייה</CbsPublishingDocSubject>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אוכלוסייה במחוזות, בנפות ובאזורים טבעיים</TermName>
          <TermId xmlns="http://schemas.microsoft.com/office/infopath/2007/PartnerControls">64346fac-5e63-4bd2-b60a-e4ca7f409e9a</TermId>
        </TermInfo>
        <TermInfo xmlns="http://schemas.microsoft.com/office/infopath/2007/PartnerControls">
          <TermName xmlns="http://schemas.microsoft.com/office/infopath/2007/PartnerControls">אוכלוסייה לפי דת וקבוצת אוכלוסייה</TermName>
          <TermId xmlns="http://schemas.microsoft.com/office/infopath/2007/PartnerControls">5461a9b0-0e9b-4d8d-a39f-719638a22203</TermId>
        </TermInfo>
        <TermInfo xmlns="http://schemas.microsoft.com/office/infopath/2007/PartnerControls">
          <TermName xmlns="http://schemas.microsoft.com/office/infopath/2007/PartnerControls">אוכלוסייה לפי מין</TermName>
          <TermId xmlns="http://schemas.microsoft.com/office/infopath/2007/PartnerControls">7fed3954-2d1e-4604-98fe-6af99f7458fa</TermId>
        </TermInfo>
      </Terms>
    </badce114fb994f27a777030e336d1efa>
    <RatedBy xmlns="http://schemas.microsoft.com/sharepoint/v3">
      <UserInfo>
        <DisplayName/>
        <AccountId xsi:nil="true"/>
        <AccountType/>
      </UserInfo>
    </RatedBy>
    <CbsMadadPublishDate xmlns="f37fff55-d014-472b-b062-823f736a404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C6FA65A-BEF7-4483-B363-E781EE4E34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F54EA9-4CC2-4D88-A39C-07CFC082EAF9}">
  <ds:schemaRefs>
    <ds:schemaRef ds:uri="http://schemas.microsoft.com/office/2006/metadata/properties"/>
    <ds:schemaRef ds:uri="http://schemas.microsoft.com/office/infopath/2007/PartnerControls"/>
    <ds:schemaRef ds:uri="f37fff55-d014-472b-b062-823f736a4040"/>
    <ds:schemaRef ds:uri="http://schemas.microsoft.com/sharepoint/v3"/>
  </ds:schemaRefs>
</ds:datastoreItem>
</file>

<file path=customXml/itemProps3.xml><?xml version="1.0" encoding="utf-8"?>
<ds:datastoreItem xmlns:ds="http://schemas.openxmlformats.org/officeDocument/2006/customXml" ds:itemID="{F74D0A81-9E81-4756-9911-0814C7BAAD88}">
  <ds:schemaRefs>
    <ds:schemaRef ds:uri="http://schemas.microsoft.com/sharepoint/v3/contenttype/forms"/>
  </ds:schemaRefs>
</ds:datastoreItem>
</file>

<file path=customXml/itemProps4.xml><?xml version="1.0" encoding="utf-8"?>
<ds:datastoreItem xmlns:ds="http://schemas.openxmlformats.org/officeDocument/2006/customXml" ds:itemID="{7FDD0D10-1D94-4C41-8828-CFDDBF0B0F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5</vt:i4>
      </vt:variant>
    </vt:vector>
  </HeadingPairs>
  <TitlesOfParts>
    <vt:vector size="33" baseType="lpstr">
      <vt:lpstr>ST02-19x</vt:lpstr>
      <vt:lpstr>ST02-19y</vt:lpstr>
      <vt:lpstr>ST02-19z</vt:lpstr>
      <vt:lpstr>combined</vt:lpstr>
      <vt:lpstr>combined2</vt:lpstr>
      <vt:lpstr>combined2 (2)</vt:lpstr>
      <vt:lpstr>combined2 (3)</vt:lpstr>
      <vt:lpstr>combined2 (4)</vt:lpstr>
      <vt:lpstr>Israel final</vt:lpstr>
      <vt:lpstr>IS final</vt:lpstr>
      <vt:lpstr>Sheet1</vt:lpstr>
      <vt:lpstr>new israel</vt:lpstr>
      <vt:lpstr>new jer</vt:lpstr>
      <vt:lpstr>new pale</vt:lpstr>
      <vt:lpstr>combine</vt:lpstr>
      <vt:lpstr>Sheet3</vt:lpstr>
      <vt:lpstr>pl2</vt:lpstr>
      <vt:lpstr>Palestine pop</vt:lpstr>
      <vt:lpstr>pl links</vt:lpstr>
      <vt:lpstr>PL 21, 23</vt:lpstr>
      <vt:lpstr>pl working</vt:lpstr>
      <vt:lpstr>PL demo</vt:lpstr>
      <vt:lpstr>PL (2023,2021)</vt:lpstr>
      <vt:lpstr>PL christ</vt:lpstr>
      <vt:lpstr>PL jew adjst 21,23</vt:lpstr>
      <vt:lpstr>Sheet2</vt:lpstr>
      <vt:lpstr>JS draft</vt:lpstr>
      <vt:lpstr>JS final</vt:lpstr>
      <vt:lpstr>'ST02-19x'!Print_Area</vt:lpstr>
      <vt:lpstr>'ST02-19y'!Print_Area</vt:lpstr>
      <vt:lpstr>'ST02-19z'!Print_Area</vt:lpstr>
      <vt:lpstr>'ST02-19x'!Print_Area_MI</vt:lpstr>
      <vt:lpstr>'ST02-19y'!Print_Area_MI</vt:lpstr>
    </vt:vector>
  </TitlesOfParts>
  <Company>lamas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2.19 אוכלוסייה, לפי קבוצת אוכלוסייה, דת, גיל ומין, מחוז ונפה</dc:title>
  <dc:creator>Michal Sternfeld</dc:creator>
  <cp:lastModifiedBy>Turan Tashkin</cp:lastModifiedBy>
  <cp:lastPrinted>2021-08-23T09:04:04Z</cp:lastPrinted>
  <dcterms:created xsi:type="dcterms:W3CDTF">2003-09-08T09:38:36Z</dcterms:created>
  <dcterms:modified xsi:type="dcterms:W3CDTF">2024-03-07T02:36:55Z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0x01010018C65C5FFA1A411CB733A36D5E05D176005EC8771B28134F43A3AE7296363CCDAA00776BC5533B746B4DA895265925393F0F</vt:lpwstr>
  </property>
  <property fmtid="{D5CDD505-2E9C-101B-9397-08002B2CF9AE}" pid="3" name="CbsMMDLanguages">
    <vt:lpwstr>24;#עברית|d5ca1f8a-058f-4a61-87d9-d098eff07fef;#23;#אנגלית|bcd2f785-9433-481a-8dea-af8b5faa5f5c</vt:lpwstr>
  </property>
  <property fmtid="{D5CDD505-2E9C-101B-9397-08002B2CF9AE}" pid="4" name="CbsMMDInterval">
    <vt:lpwstr>132;#שנתי|3aa65854-6eee-4c18-bea6-a232fd3cf6c6</vt:lpwstr>
  </property>
  <property fmtid="{D5CDD505-2E9C-101B-9397-08002B2CF9AE}" pid="5" name="TaxCatchAll">
    <vt:lpwstr>405;#אוכלוסייה במחוזות, בנפות ובאזורים טבעיים|64346fac-5e63-4bd2-b60a-e4ca7f409e9a;#399;#אוכלוסייה לפי דת וקבוצת אוכלוסייה|5461a9b0-0e9b-4d8d-a39f-719638a22203;#401;#אוכלוסייה לפי מין|7fed3954-2d1e-4604-98fe-6af99f7458fa;#24;#עברית|d5ca1f8a-058f-4a61-87d9-d098eff07fef;#23;#אנגלית|bcd2f785-9433-481a-8dea-af8b5faa5f5c;#27;#לוח|6b95aa8e-5cab-4c4c-8bab-5ee7b221131a;#132;#שנתי|3aa65854-6eee-4c18-bea6-a232fd3cf6c6</vt:lpwstr>
  </property>
  <property fmtid="{D5CDD505-2E9C-101B-9397-08002B2CF9AE}" pid="6" name="jb05328652cd4d188b8237060e08f6a6">
    <vt:lpwstr>לוח|6b95aa8e-5cab-4c4c-8bab-5ee7b221131a</vt:lpwstr>
  </property>
  <property fmtid="{D5CDD505-2E9C-101B-9397-08002B2CF9AE}" pid="7" name="CbsMMDItemType">
    <vt:lpwstr>27;#לוח|6b95aa8e-5cab-4c4c-8bab-5ee7b221131a</vt:lpwstr>
  </property>
  <property fmtid="{D5CDD505-2E9C-101B-9397-08002B2CF9AE}" pid="8" name="o2494bd4375f452fad1b646d6a811f44">
    <vt:lpwstr>שנתי|3aa65854-6eee-4c18-bea6-a232fd3cf6c6</vt:lpwstr>
  </property>
  <property fmtid="{D5CDD505-2E9C-101B-9397-08002B2CF9AE}" pid="9" name="CbsMMDSubjects">
    <vt:lpwstr>405;#אוכלוסייה במחוזות, בנפות ובאזורים טבעיים|64346fac-5e63-4bd2-b60a-e4ca7f409e9a;#399;#אוכלוסייה לפי דת וקבוצת אוכלוסייה|5461a9b0-0e9b-4d8d-a39f-719638a22203;#401;#אוכלוסייה לפי מין|7fed3954-2d1e-4604-98fe-6af99f7458fa</vt:lpwstr>
  </property>
  <property fmtid="{D5CDD505-2E9C-101B-9397-08002B2CF9AE}" pid="10" name="l2e12a95055c425a9be399caf84ebe5f">
    <vt:lpwstr>עברית|d5ca1f8a-058f-4a61-87d9-d098eff07fef;אנגלית|bcd2f785-9433-481a-8dea-af8b5faa5f5c</vt:lpwstr>
  </property>
  <property fmtid="{D5CDD505-2E9C-101B-9397-08002B2CF9AE}" pid="11" name="CbsMMDSurveys">
    <vt:lpwstr/>
  </property>
  <property fmtid="{D5CDD505-2E9C-101B-9397-08002B2CF9AE}" pid="12" name="Order">
    <vt:r8>50140800</vt:r8>
  </property>
  <property fmtid="{D5CDD505-2E9C-101B-9397-08002B2CF9AE}" pid="13" name="CbsMMDPublisher">
    <vt:lpwstr/>
  </property>
  <property fmtid="{D5CDD505-2E9C-101B-9397-08002B2CF9AE}" pid="14" name="GUID">
    <vt:lpwstr>6dc5b866-d396-4348-95c9-1fed87537778</vt:lpwstr>
  </property>
  <property fmtid="{D5CDD505-2E9C-101B-9397-08002B2CF9AE}" pid="15" name="CbsMMDGatheringMethod">
    <vt:lpwstr/>
  </property>
  <property fmtid="{D5CDD505-2E9C-101B-9397-08002B2CF9AE}" pid="16" name="CbsMMDGeoDistribution">
    <vt:lpwstr/>
  </property>
  <property fmtid="{D5CDD505-2E9C-101B-9397-08002B2CF9AE}" pid="17" name="CbsMMDSettlements">
    <vt:lpwstr/>
  </property>
  <property fmtid="{D5CDD505-2E9C-101B-9397-08002B2CF9AE}" pid="18" name="CbsMMDLicense">
    <vt:lpwstr/>
  </property>
  <property fmtid="{D5CDD505-2E9C-101B-9397-08002B2CF9AE}" pid="19" name="CbsMMDGlobalSubjects">
    <vt:lpwstr/>
  </property>
  <property fmtid="{D5CDD505-2E9C-101B-9397-08002B2CF9AE}" pid="20" name="CbsMMDForPublicationCSB">
    <vt:lpwstr/>
  </property>
</Properties>
</file>