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game\TTenYXDoc仓库\TTenYXDoc\DSP\"/>
    </mc:Choice>
  </mc:AlternateContent>
  <xr:revisionPtr revIDLastSave="0" documentId="13_ncr:1_{A6A7B26F-D3EC-4757-AB13-232F76B6410C}" xr6:coauthVersionLast="47" xr6:coauthVersionMax="47" xr10:uidLastSave="{00000000-0000-0000-0000-000000000000}"/>
  <bookViews>
    <workbookView xWindow="-120" yWindow="-120" windowWidth="29040" windowHeight="15990" activeTab="7" xr2:uid="{00000000-000D-0000-FFFF-FFFF00000000}"/>
  </bookViews>
  <sheets>
    <sheet name="星球建造规格" sheetId="4" r:id="rId1"/>
    <sheet name="建筑尺寸统计、分拣器建造条件" sheetId="3" r:id="rId2"/>
    <sheet name="分馏对撞卡顿比较" sheetId="2" r:id="rId3"/>
    <sheet name="通关科技需求" sheetId="1" r:id="rId4"/>
    <sheet name="机甲耗电" sheetId="7" r:id="rId5"/>
    <sheet name="建设机" sheetId="8" r:id="rId6"/>
    <sheet name="科技计算" sheetId="5" r:id="rId7"/>
    <sheet name="Sheet1" sheetId="9" r:id="rId8"/>
    <sheet name="流程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9" i="5"/>
  <c r="C7" i="5"/>
  <c r="C10" i="5"/>
  <c r="N9" i="8" l="1"/>
  <c r="N8" i="8"/>
  <c r="N7" i="8"/>
  <c r="N4" i="8"/>
  <c r="N5" i="8"/>
  <c r="N6" i="8"/>
  <c r="N3" i="8"/>
  <c r="D129" i="1"/>
  <c r="B127" i="1"/>
  <c r="C127" i="1"/>
  <c r="A127" i="1"/>
  <c r="B125" i="1"/>
  <c r="C125" i="1"/>
  <c r="A125" i="1"/>
  <c r="J82" i="1" l="1"/>
  <c r="B92" i="1"/>
  <c r="D127" i="1"/>
  <c r="D125" i="1"/>
  <c r="D111" i="1"/>
  <c r="A115" i="1"/>
  <c r="A113" i="1"/>
  <c r="C111" i="1" s="1"/>
  <c r="C107" i="1"/>
  <c r="C108" i="1"/>
  <c r="C92" i="1"/>
  <c r="E92" i="1"/>
  <c r="D92" i="1"/>
  <c r="F92" i="1"/>
  <c r="B52" i="1"/>
  <c r="C52" i="1"/>
  <c r="C82" i="1" s="1"/>
  <c r="D52" i="1"/>
  <c r="E52" i="1"/>
  <c r="G52" i="1"/>
  <c r="G82" i="1" s="1"/>
  <c r="H52" i="1"/>
  <c r="I52" i="1"/>
  <c r="I82" i="1" s="1"/>
  <c r="J52" i="1"/>
  <c r="K52" i="1"/>
  <c r="L52" i="1"/>
  <c r="L82" i="1" s="1"/>
  <c r="M52" i="1"/>
  <c r="N52" i="1"/>
  <c r="N82" i="1" s="1"/>
  <c r="F52" i="1"/>
  <c r="E2" i="5"/>
  <c r="F2" i="5"/>
  <c r="G2" i="5"/>
  <c r="H2" i="5"/>
  <c r="I2" i="5"/>
  <c r="J2" i="5"/>
  <c r="K2" i="5"/>
  <c r="L2" i="5"/>
  <c r="M2" i="5"/>
  <c r="N2" i="5"/>
  <c r="O2" i="5"/>
  <c r="P2" i="5"/>
  <c r="D2" i="5"/>
  <c r="C89" i="1"/>
  <c r="D89" i="1"/>
  <c r="E89" i="1"/>
  <c r="F89" i="1"/>
  <c r="G89" i="1"/>
  <c r="D82" i="1"/>
  <c r="E82" i="1"/>
  <c r="F82" i="1"/>
  <c r="H82" i="1"/>
  <c r="K82" i="1"/>
  <c r="B23" i="4"/>
  <c r="B22" i="4"/>
  <c r="B19" i="4"/>
  <c r="B24" i="4" s="1"/>
  <c r="G13" i="4"/>
  <c r="B13" i="4"/>
  <c r="G12" i="4"/>
  <c r="B12" i="4"/>
  <c r="G11" i="4"/>
  <c r="B11" i="4"/>
  <c r="G10" i="4"/>
  <c r="B10" i="4"/>
  <c r="G9" i="4"/>
  <c r="B9" i="4"/>
  <c r="G8" i="4"/>
  <c r="B8" i="4"/>
  <c r="G7" i="4"/>
  <c r="B7" i="4"/>
  <c r="G6" i="4"/>
  <c r="B6" i="4"/>
  <c r="G5" i="4"/>
  <c r="B5" i="4"/>
  <c r="G4" i="4"/>
  <c r="B4" i="4"/>
  <c r="H3" i="4"/>
  <c r="G3" i="4"/>
  <c r="B20" i="4" s="1"/>
  <c r="E3" i="4"/>
  <c r="F3" i="4" s="1"/>
  <c r="H4" i="4" s="1"/>
  <c r="B3" i="4"/>
  <c r="G2" i="4"/>
  <c r="F2" i="4"/>
  <c r="E2" i="4"/>
  <c r="A44" i="3"/>
  <c r="D43" i="3"/>
  <c r="B43" i="3"/>
  <c r="A43" i="3"/>
  <c r="A42" i="3"/>
  <c r="B41" i="3"/>
  <c r="A41" i="3"/>
  <c r="G40" i="3"/>
  <c r="G41" i="3" s="1"/>
  <c r="L38" i="3"/>
  <c r="K38" i="3"/>
  <c r="J38" i="3"/>
  <c r="F37" i="3"/>
  <c r="H36" i="3"/>
  <c r="G36" i="3"/>
  <c r="I34" i="3"/>
  <c r="J34" i="3" s="1"/>
  <c r="K34" i="3" s="1"/>
  <c r="L34" i="3" s="1"/>
  <c r="G32" i="3"/>
  <c r="F32" i="3"/>
  <c r="E32" i="3"/>
  <c r="G31" i="3"/>
  <c r="F31" i="3"/>
  <c r="E31" i="3"/>
  <c r="J30" i="3"/>
  <c r="K30" i="3" s="1"/>
  <c r="L30" i="3" s="1"/>
  <c r="I30" i="3"/>
  <c r="G30" i="3"/>
  <c r="F30" i="3"/>
  <c r="E30" i="3"/>
  <c r="H9" i="3"/>
  <c r="E9" i="3"/>
  <c r="D9" i="3"/>
  <c r="C9" i="3"/>
  <c r="B9" i="3"/>
  <c r="J7" i="3"/>
  <c r="I7" i="3"/>
  <c r="H7" i="3"/>
  <c r="C7" i="3"/>
  <c r="E7" i="3" s="1"/>
  <c r="K7" i="3" s="1"/>
  <c r="L6" i="3"/>
  <c r="K6" i="3"/>
  <c r="J6" i="3"/>
  <c r="H6" i="3"/>
  <c r="E6" i="3"/>
  <c r="C6" i="3"/>
  <c r="I6" i="3" s="1"/>
  <c r="L5" i="3"/>
  <c r="H5" i="3"/>
  <c r="D5" i="3"/>
  <c r="J5" i="3" s="1"/>
  <c r="C5" i="3"/>
  <c r="E5" i="3" s="1"/>
  <c r="K5" i="3" s="1"/>
  <c r="M4" i="3"/>
  <c r="L4" i="3"/>
  <c r="J4" i="3"/>
  <c r="I4" i="3"/>
  <c r="H4" i="3"/>
  <c r="E4" i="3"/>
  <c r="K4" i="3" s="1"/>
  <c r="L3" i="3"/>
  <c r="K3" i="3"/>
  <c r="J3" i="3"/>
  <c r="I3" i="3"/>
  <c r="H3" i="3"/>
  <c r="E3" i="3"/>
  <c r="D3" i="3"/>
  <c r="L2" i="3"/>
  <c r="K2" i="3"/>
  <c r="I2" i="3"/>
  <c r="H2" i="3"/>
  <c r="E2" i="3"/>
  <c r="D2" i="3"/>
  <c r="J2" i="3" s="1"/>
  <c r="D10" i="2"/>
  <c r="C10" i="2"/>
  <c r="B10" i="2"/>
  <c r="D9" i="2"/>
  <c r="D8" i="2"/>
  <c r="D7" i="2"/>
  <c r="D6" i="2"/>
  <c r="D5" i="2"/>
  <c r="D4" i="2"/>
  <c r="D3" i="2"/>
  <c r="D2" i="2"/>
  <c r="M82" i="1"/>
  <c r="B82" i="1"/>
  <c r="A129" i="1" l="1"/>
  <c r="C129" i="1"/>
  <c r="E4" i="4"/>
  <c r="I40" i="3"/>
  <c r="I5" i="3"/>
  <c r="H40" i="3"/>
  <c r="E5" i="4" l="1"/>
  <c r="F4" i="4"/>
  <c r="H5" i="4" s="1"/>
  <c r="F5" i="4" l="1"/>
  <c r="E6" i="4"/>
  <c r="B21" i="4" l="1"/>
  <c r="H6" i="4"/>
  <c r="E7" i="4"/>
  <c r="F6" i="4"/>
  <c r="H7" i="4" s="1"/>
  <c r="F7" i="4" l="1"/>
  <c r="H8" i="4" s="1"/>
  <c r="E8" i="4"/>
  <c r="F8" i="4" l="1"/>
  <c r="H9" i="4" s="1"/>
  <c r="E9" i="4"/>
  <c r="E10" i="4" l="1"/>
  <c r="F9" i="4"/>
  <c r="H10" i="4" s="1"/>
  <c r="E11" i="4" l="1"/>
  <c r="F10" i="4"/>
  <c r="H11" i="4" s="1"/>
  <c r="E12" i="4" l="1"/>
  <c r="F11" i="4"/>
  <c r="H12" i="4" s="1"/>
  <c r="F12" i="4" l="1"/>
  <c r="H13" i="4" s="1"/>
  <c r="E13" i="4"/>
  <c r="F13" i="4" s="1"/>
</calcChain>
</file>

<file path=xl/sharedStrings.xml><?xml version="1.0" encoding="utf-8"?>
<sst xmlns="http://schemas.openxmlformats.org/spreadsheetml/2006/main" count="768" uniqueCount="459">
  <si>
    <t>通关必要科技</t>
    <phoneticPr fontId="3" type="noConversion"/>
  </si>
  <si>
    <t>煤矿</t>
    <phoneticPr fontId="3" type="noConversion"/>
  </si>
  <si>
    <t>铁块</t>
    <phoneticPr fontId="3" type="noConversion"/>
  </si>
  <si>
    <t>铜块</t>
    <phoneticPr fontId="3" type="noConversion"/>
  </si>
  <si>
    <t>磁线圈</t>
    <phoneticPr fontId="3" type="noConversion"/>
  </si>
  <si>
    <t>齿轮</t>
    <phoneticPr fontId="3" type="noConversion"/>
  </si>
  <si>
    <t>电路板</t>
    <phoneticPr fontId="3" type="noConversion"/>
  </si>
  <si>
    <t>发动机</t>
    <phoneticPr fontId="3" type="noConversion"/>
  </si>
  <si>
    <t>蓝</t>
    <phoneticPr fontId="3" type="noConversion"/>
  </si>
  <si>
    <t>红</t>
    <phoneticPr fontId="3" type="noConversion"/>
  </si>
  <si>
    <t>黄</t>
    <phoneticPr fontId="3" type="noConversion"/>
  </si>
  <si>
    <t>紫</t>
    <phoneticPr fontId="3" type="noConversion"/>
  </si>
  <si>
    <t>绿</t>
    <phoneticPr fontId="3" type="noConversion"/>
  </si>
  <si>
    <t>白</t>
    <phoneticPr fontId="3" type="noConversion"/>
  </si>
  <si>
    <t>前置科技</t>
    <phoneticPr fontId="3" type="noConversion"/>
  </si>
  <si>
    <t>电磁学</t>
    <phoneticPr fontId="3" type="noConversion"/>
  </si>
  <si>
    <t>电磁矩阵</t>
    <phoneticPr fontId="3" type="noConversion"/>
  </si>
  <si>
    <t>太阳能收集</t>
    <phoneticPr fontId="3" type="noConversion"/>
  </si>
  <si>
    <t>光子变频</t>
    <phoneticPr fontId="3" type="noConversion"/>
  </si>
  <si>
    <t>冶炼提纯</t>
    <phoneticPr fontId="3" type="noConversion"/>
  </si>
  <si>
    <t>基础制造工艺</t>
    <phoneticPr fontId="3" type="noConversion"/>
  </si>
  <si>
    <t>太阳帆轨道系统</t>
    <phoneticPr fontId="3" type="noConversion"/>
  </si>
  <si>
    <t>超级磁场发生器</t>
    <phoneticPr fontId="3" type="noConversion"/>
  </si>
  <si>
    <t>射线接收站</t>
    <phoneticPr fontId="3" type="noConversion"/>
  </si>
  <si>
    <t>行星电离层利用</t>
    <phoneticPr fontId="3" type="noConversion"/>
  </si>
  <si>
    <t>引力波折射</t>
    <phoneticPr fontId="3" type="noConversion"/>
  </si>
  <si>
    <t>引力矩阵</t>
    <phoneticPr fontId="3" type="noConversion"/>
  </si>
  <si>
    <t>狄拉克逆变</t>
    <phoneticPr fontId="3" type="noConversion"/>
  </si>
  <si>
    <t>宇宙矩阵</t>
    <phoneticPr fontId="3" type="noConversion"/>
  </si>
  <si>
    <t>钢材冶炼</t>
    <phoneticPr fontId="3" type="noConversion"/>
  </si>
  <si>
    <t>自动化冶金</t>
    <phoneticPr fontId="3" type="noConversion"/>
  </si>
  <si>
    <t>钛矿冶炼</t>
    <phoneticPr fontId="3" type="noConversion"/>
  </si>
  <si>
    <t>半导体材料</t>
    <phoneticPr fontId="3" type="noConversion"/>
  </si>
  <si>
    <t>处理器</t>
    <phoneticPr fontId="3" type="noConversion"/>
  </si>
  <si>
    <t>机甲核心1</t>
    <phoneticPr fontId="3" type="noConversion"/>
  </si>
  <si>
    <t>机甲核心2</t>
    <phoneticPr fontId="3" type="noConversion"/>
  </si>
  <si>
    <t>驱动引擎1</t>
    <phoneticPr fontId="3" type="noConversion"/>
  </si>
  <si>
    <t>驱动引擎2</t>
    <phoneticPr fontId="3" type="noConversion"/>
  </si>
  <si>
    <t>流体储存</t>
    <phoneticPr fontId="3" type="noConversion"/>
  </si>
  <si>
    <t>高效电浆</t>
    <phoneticPr fontId="3" type="noConversion"/>
  </si>
  <si>
    <t>等离子萃取精炼</t>
    <phoneticPr fontId="3" type="noConversion"/>
  </si>
  <si>
    <t>能量矩阵</t>
    <phoneticPr fontId="3" type="noConversion"/>
  </si>
  <si>
    <t>基础化工</t>
    <phoneticPr fontId="3" type="noConversion"/>
  </si>
  <si>
    <t>高分子化工</t>
    <phoneticPr fontId="3" type="noConversion"/>
  </si>
  <si>
    <t>高强度晶体</t>
    <phoneticPr fontId="3" type="noConversion"/>
  </si>
  <si>
    <t>结构矩阵</t>
    <phoneticPr fontId="3" type="noConversion"/>
  </si>
  <si>
    <t>晶体冶炼</t>
    <phoneticPr fontId="3" type="noConversion"/>
  </si>
  <si>
    <t>微型粒子对撞机</t>
    <phoneticPr fontId="3" type="noConversion"/>
  </si>
  <si>
    <t>奇异物质</t>
    <phoneticPr fontId="3" type="noConversion"/>
  </si>
  <si>
    <t>粒子磁力阱</t>
    <phoneticPr fontId="3" type="noConversion"/>
  </si>
  <si>
    <t>卡西米尔晶体</t>
    <phoneticPr fontId="3" type="noConversion"/>
  </si>
  <si>
    <t>应用型导体</t>
    <phoneticPr fontId="3" type="noConversion"/>
  </si>
  <si>
    <t>高强度材料</t>
    <phoneticPr fontId="3" type="noConversion"/>
  </si>
  <si>
    <t>高强度玻璃</t>
    <phoneticPr fontId="3" type="noConversion"/>
  </si>
  <si>
    <t>信息矩阵</t>
    <phoneticPr fontId="3" type="noConversion"/>
  </si>
  <si>
    <t>粒子可控技术</t>
    <phoneticPr fontId="3" type="noConversion"/>
  </si>
  <si>
    <t>波函数干扰</t>
    <phoneticPr fontId="3" type="noConversion"/>
  </si>
  <si>
    <t>量子芯片</t>
    <phoneticPr fontId="3" type="noConversion"/>
  </si>
  <si>
    <t>电磁驱动</t>
    <phoneticPr fontId="3" type="noConversion"/>
  </si>
  <si>
    <t>磁悬浮技术</t>
    <phoneticPr fontId="3" type="noConversion"/>
  </si>
  <si>
    <t>任务完成</t>
    <phoneticPr fontId="3" type="noConversion"/>
  </si>
  <si>
    <t>高强度钛合金</t>
    <phoneticPr fontId="3" type="noConversion"/>
  </si>
  <si>
    <t>总计</t>
    <phoneticPr fontId="3" type="noConversion"/>
  </si>
  <si>
    <t>非必点科技（不是通关硬性要求但是多半要点的科技，如基础物流，理论上不点也可以通关，但是实际上基本必点。标红为较低优先度、仅是部分人的选择）</t>
    <phoneticPr fontId="3" type="noConversion"/>
  </si>
  <si>
    <t>基础物流</t>
    <phoneticPr fontId="3" type="noConversion"/>
  </si>
  <si>
    <t>批量建造1</t>
    <phoneticPr fontId="3" type="noConversion"/>
  </si>
  <si>
    <t>增产剂MK1</t>
    <phoneticPr fontId="3" type="noConversion"/>
  </si>
  <si>
    <t>增产剂MK2</t>
    <phoneticPr fontId="3" type="noConversion"/>
  </si>
  <si>
    <t>增产剂MK3</t>
    <phoneticPr fontId="3" type="noConversion"/>
  </si>
  <si>
    <t>火力发电</t>
    <phoneticPr fontId="3" type="noConversion"/>
  </si>
  <si>
    <t>重氢分馏</t>
    <phoneticPr fontId="3" type="noConversion"/>
  </si>
  <si>
    <t>微型核聚变发电</t>
    <phoneticPr fontId="3" type="noConversion"/>
  </si>
  <si>
    <t>改良物流</t>
    <phoneticPr fontId="3" type="noConversion"/>
  </si>
  <si>
    <t>高效物流</t>
    <phoneticPr fontId="3" type="noConversion"/>
  </si>
  <si>
    <t>氢燃料棒</t>
    <phoneticPr fontId="3" type="noConversion"/>
  </si>
  <si>
    <t>推进器</t>
    <phoneticPr fontId="3" type="noConversion"/>
  </si>
  <si>
    <t>垂直建造1</t>
    <phoneticPr fontId="3" type="noConversion"/>
  </si>
  <si>
    <t>行星物流</t>
    <phoneticPr fontId="3" type="noConversion"/>
  </si>
  <si>
    <t>加力推进器</t>
    <phoneticPr fontId="3" type="noConversion"/>
  </si>
  <si>
    <t>星际物流</t>
    <phoneticPr fontId="3" type="noConversion"/>
  </si>
  <si>
    <t>能量储存</t>
    <phoneticPr fontId="3" type="noConversion"/>
  </si>
  <si>
    <t>星际电力运输</t>
    <phoneticPr fontId="3" type="noConversion"/>
  </si>
  <si>
    <t>高强度钛金</t>
    <phoneticPr fontId="3" type="noConversion"/>
  </si>
  <si>
    <t>气态行星开采</t>
    <phoneticPr fontId="3" type="noConversion"/>
  </si>
  <si>
    <t>机甲核心3</t>
    <phoneticPr fontId="3" type="noConversion"/>
  </si>
  <si>
    <t>机甲核心4</t>
    <phoneticPr fontId="3" type="noConversion"/>
  </si>
  <si>
    <t>驱动引擎3</t>
    <phoneticPr fontId="3" type="noConversion"/>
  </si>
  <si>
    <t>驱动引擎4</t>
    <phoneticPr fontId="3" type="noConversion"/>
  </si>
  <si>
    <t>射线传输效率1</t>
    <phoneticPr fontId="3" type="noConversion"/>
  </si>
  <si>
    <t>射线传输效率2</t>
    <phoneticPr fontId="3" type="noConversion"/>
  </si>
  <si>
    <t>射线传输效率3</t>
    <phoneticPr fontId="3" type="noConversion"/>
  </si>
  <si>
    <t>分馏105k</t>
    <phoneticPr fontId="3" type="noConversion"/>
  </si>
  <si>
    <t>对撞103k</t>
    <phoneticPr fontId="3" type="noConversion"/>
  </si>
  <si>
    <t>差值</t>
    <phoneticPr fontId="3" type="noConversion"/>
  </si>
  <si>
    <t>传送带</t>
    <phoneticPr fontId="3" type="noConversion"/>
  </si>
  <si>
    <t>分流器</t>
    <phoneticPr fontId="3" type="noConversion"/>
  </si>
  <si>
    <t>货物</t>
    <phoneticPr fontId="3" type="noConversion"/>
  </si>
  <si>
    <t>分拣器</t>
    <phoneticPr fontId="3" type="noConversion"/>
  </si>
  <si>
    <t>电力</t>
    <phoneticPr fontId="3" type="noConversion"/>
  </si>
  <si>
    <t>各类设施</t>
    <phoneticPr fontId="3" type="noConversion"/>
  </si>
  <si>
    <t>仓储</t>
    <phoneticPr fontId="3" type="noConversion"/>
  </si>
  <si>
    <t>物流运输</t>
    <phoneticPr fontId="3" type="noConversion"/>
  </si>
  <si>
    <t>合计</t>
    <phoneticPr fontId="3" type="noConversion"/>
  </si>
  <si>
    <t>注：测试数据使用沙盒物本地物流塔锁定供氢，op60TW小太阳</t>
    <phoneticPr fontId="3" type="noConversion"/>
  </si>
  <si>
    <t>在实际使用过程中同产量分馏耗电更低，且氢气来源往往是轨道采集器，故而对撞机撞重氢在实际应用中也需要额外的算力开销：一是更多耗电导致的对戴森球、接收站及其消耗透镜的工厂、黑棒工厂、运输、小太阳的额外需求；二是从采集器取氢的更多星际物流的需求。所以实际使用时二者对于电脑算力的需求可能相去不远</t>
    <phoneticPr fontId="3" type="noConversion"/>
  </si>
  <si>
    <t>建筑名称</t>
    <phoneticPr fontId="3" type="noConversion"/>
  </si>
  <si>
    <t>半长</t>
    <phoneticPr fontId="3" type="noConversion"/>
  </si>
  <si>
    <t>半宽</t>
    <phoneticPr fontId="3" type="noConversion"/>
  </si>
  <si>
    <t>长</t>
    <phoneticPr fontId="3" type="noConversion"/>
  </si>
  <si>
    <t>宽</t>
    <phoneticPr fontId="3" type="noConversion"/>
  </si>
  <si>
    <t>分拣器位置</t>
    <phoneticPr fontId="3" type="noConversion"/>
  </si>
  <si>
    <t>→换算成m                                                  ←换算成赤道格</t>
    <phoneticPr fontId="3" type="noConversion"/>
  </si>
  <si>
    <t>熔炉</t>
    <phoneticPr fontId="3" type="noConversion"/>
  </si>
  <si>
    <t>制造台</t>
    <phoneticPr fontId="3" type="noConversion"/>
  </si>
  <si>
    <t>化工厂</t>
    <phoneticPr fontId="3" type="noConversion"/>
  </si>
  <si>
    <t>3.18/3.42</t>
    <phoneticPr fontId="3" type="noConversion"/>
  </si>
  <si>
    <t>1.271945/2.225815</t>
    <phoneticPr fontId="3" type="noConversion"/>
  </si>
  <si>
    <t>0.7155/1.6695</t>
    <phoneticPr fontId="3" type="noConversion"/>
  </si>
  <si>
    <t>研究站</t>
    <phoneticPr fontId="3" type="noConversion"/>
  </si>
  <si>
    <t>2.22475/带爪对位2.6</t>
    <phoneticPr fontId="3" type="noConversion"/>
  </si>
  <si>
    <t>对撞机</t>
    <phoneticPr fontId="3" type="noConversion"/>
  </si>
  <si>
    <t>4.0854/5.075(带杆5.27275)</t>
    <phoneticPr fontId="3" type="noConversion"/>
  </si>
  <si>
    <t>9.35815(带杆)</t>
    <phoneticPr fontId="3" type="noConversion"/>
  </si>
  <si>
    <t>3.81651(正)</t>
    <phoneticPr fontId="3" type="noConversion"/>
  </si>
  <si>
    <t>精炼厂</t>
    <phoneticPr fontId="3" type="noConversion"/>
  </si>
  <si>
    <t>2.6305/3.625(带爪)</t>
    <phoneticPr fontId="3" type="noConversion"/>
  </si>
  <si>
    <t>6.2555(带爪)</t>
    <phoneticPr fontId="3" type="noConversion"/>
  </si>
  <si>
    <t>2.8622(正)</t>
    <phoneticPr fontId="3" type="noConversion"/>
  </si>
  <si>
    <t>3.5967(正)</t>
    <phoneticPr fontId="3" type="noConversion"/>
  </si>
  <si>
    <t>小太阳</t>
    <phoneticPr fontId="3" type="noConversion"/>
  </si>
  <si>
    <t>（极地6圈时平均占地）</t>
    <phoneticPr fontId="3" type="noConversion"/>
  </si>
  <si>
    <t>（赤道占地）</t>
    <phoneticPr fontId="3" type="noConversion"/>
  </si>
  <si>
    <t>接收站</t>
    <phoneticPr fontId="3" type="noConversion"/>
  </si>
  <si>
    <t>全长</t>
    <phoneticPr fontId="3" type="noConversion"/>
  </si>
  <si>
    <t>7.3463668&lt;x&lt;7.34806152153</t>
    <phoneticPr fontId="3" type="noConversion"/>
  </si>
  <si>
    <t>（算上物流塔全球5806锅的平均占地）</t>
    <phoneticPr fontId="3" type="noConversion"/>
  </si>
  <si>
    <t>电线杆</t>
    <phoneticPr fontId="3" type="noConversion"/>
  </si>
  <si>
    <t>分馏塔</t>
    <phoneticPr fontId="3" type="noConversion"/>
  </si>
  <si>
    <t>/</t>
    <phoneticPr fontId="3" type="noConversion"/>
  </si>
  <si>
    <t>6个一串联，算上补氢占地，平均单台17</t>
    <phoneticPr fontId="3" type="noConversion"/>
  </si>
  <si>
    <t>纬线格*赤道格</t>
    <phoneticPr fontId="3" type="noConversion"/>
  </si>
  <si>
    <t>单个建筑尺寸</t>
    <phoneticPr fontId="3" type="noConversion"/>
  </si>
  <si>
    <t>2.31118*2.31118</t>
    <phoneticPr fontId="3" type="noConversion"/>
  </si>
  <si>
    <t>3.0416*3.0416</t>
    <phoneticPr fontId="3" type="noConversion"/>
  </si>
  <si>
    <t>3.49776*6.59729</t>
    <phoneticPr fontId="3" type="noConversion"/>
  </si>
  <si>
    <t>4.4495*4.4495</t>
    <phoneticPr fontId="3" type="noConversion"/>
  </si>
  <si>
    <t>9.1604*4.6756</t>
    <phoneticPr fontId="3" type="noConversion"/>
  </si>
  <si>
    <t>6.2555(带爪)*2.79486</t>
    <phoneticPr fontId="3" type="noConversion"/>
  </si>
  <si>
    <t>对位结构尺寸</t>
    <phoneticPr fontId="3" type="noConversion"/>
  </si>
  <si>
    <t>5.31118*2.31118</t>
    <phoneticPr fontId="3" type="noConversion"/>
  </si>
  <si>
    <t>7.7416*3.0416</t>
    <phoneticPr fontId="3" type="noConversion"/>
  </si>
  <si>
    <t>7.55*6.5972906</t>
    <phoneticPr fontId="3" type="noConversion"/>
  </si>
  <si>
    <t>9.6495*4.4495</t>
    <phoneticPr fontId="3" type="noConversion"/>
  </si>
  <si>
    <t>18.7163*4.6756</t>
    <phoneticPr fontId="3" type="noConversion"/>
  </si>
  <si>
    <t>12.511*2.79486</t>
    <phoneticPr fontId="3" type="noConversion"/>
  </si>
  <si>
    <t>名称</t>
  </si>
  <si>
    <t>伊卡洛斯</t>
  </si>
  <si>
    <t>采矿机</t>
  </si>
  <si>
    <t>大型采矿机</t>
  </si>
  <si>
    <t>抽水机</t>
  </si>
  <si>
    <t>原油萃取站</t>
  </si>
  <si>
    <t>轨道采集器</t>
  </si>
  <si>
    <t>射线接收站</t>
  </si>
  <si>
    <t>电弧熔炉</t>
  </si>
  <si>
    <t>位面熔炉</t>
  </si>
  <si>
    <t>制造台MK.Ⅰ</t>
  </si>
  <si>
    <t>制造台MK.Ⅱ</t>
  </si>
  <si>
    <t>制造台MK.Ⅲ</t>
  </si>
  <si>
    <t>原油精炼厂</t>
  </si>
  <si>
    <t>化工厂</t>
  </si>
  <si>
    <t>量子化工厂</t>
  </si>
  <si>
    <t>分馏塔</t>
  </si>
  <si>
    <t>微型粒子对撞机</t>
  </si>
  <si>
    <t>研究站</t>
  </si>
  <si>
    <t>能量枢纽</t>
  </si>
  <si>
    <t>蓄电器</t>
  </si>
  <si>
    <t>倍率</t>
  </si>
  <si>
    <t>耗能</t>
  </si>
  <si>
    <t>占地</t>
  </si>
  <si>
    <t>分拣器槽大小：0.795赤道格</t>
    <phoneticPr fontId="3" type="noConversion"/>
  </si>
  <si>
    <t>垂直高度↓</t>
    <phoneticPr fontId="3" type="noConversion"/>
  </si>
  <si>
    <t>物理距离范围</t>
    <phoneticPr fontId="3" type="noConversion"/>
  </si>
  <si>
    <t>网格坐标水平跨度范围</t>
    <phoneticPr fontId="3" type="noConversion"/>
  </si>
  <si>
    <t>纵向最小距离</t>
    <phoneticPr fontId="3" type="noConversion"/>
  </si>
  <si>
    <t>此时的水平最大偏转</t>
    <phoneticPr fontId="3" type="noConversion"/>
  </si>
  <si>
    <t>水平偏转对应近似分数</t>
    <phoneticPr fontId="3" type="noConversion"/>
  </si>
  <si>
    <t>正方向跨度</t>
    <phoneticPr fontId="3" type="noConversion"/>
  </si>
  <si>
    <t>对应的水平方向所需跨度</t>
    <phoneticPr fontId="3" type="noConversion"/>
  </si>
  <si>
    <t>偏转角度</t>
    <phoneticPr fontId="3" type="noConversion"/>
  </si>
  <si>
    <t>建筑→传送带：</t>
    <phoneticPr fontId="3" type="noConversion"/>
  </si>
  <si>
    <t>0.6m~5.5m</t>
    <phoneticPr fontId="3" type="noConversion"/>
  </si>
  <si>
    <t>0.88格~3.5格</t>
    <phoneticPr fontId="3" type="noConversion"/>
  </si>
  <si>
    <t>传送带→传送带</t>
    <phoneticPr fontId="3" type="noConversion"/>
  </si>
  <si>
    <t>0.4m~5m</t>
    <phoneticPr fontId="3" type="noConversion"/>
  </si>
  <si>
    <t>0.8格~3.2格</t>
    <phoneticPr fontId="3" type="noConversion"/>
  </si>
  <si>
    <t>建筑→建筑：</t>
    <phoneticPr fontId="3" type="noConversion"/>
  </si>
  <si>
    <t>0.9m~7.5m</t>
    <phoneticPr fontId="3" type="noConversion"/>
  </si>
  <si>
    <t>1.451格~3.799格</t>
    <phoneticPr fontId="3" type="noConversion"/>
  </si>
  <si>
    <t>水平方向跨度</t>
    <phoneticPr fontId="3" type="noConversion"/>
  </si>
  <si>
    <t>对应的正方向所需跨度</t>
    <phoneticPr fontId="3" type="noConversion"/>
  </si>
  <si>
    <t>无偏熔炉出爪建议：正方向偏14/23或5/8或2/3,水平扭5/14</t>
    <phoneticPr fontId="3" type="noConversion"/>
  </si>
  <si>
    <t>无偏精炼厂出爪建议：正方向偏2/3，水平扭5/14</t>
    <phoneticPr fontId="3" type="noConversion"/>
  </si>
  <si>
    <t>无偏研究站：正向偏7/11or2/3，水平扭5/14；0.375格进爪时，正方向8/11,水平无</t>
    <phoneticPr fontId="3" type="noConversion"/>
  </si>
  <si>
    <t>纬度带</t>
    <phoneticPr fontId="3" type="noConversion"/>
  </si>
  <si>
    <t>与上纬度带格宽比</t>
    <phoneticPr fontId="3" type="noConversion"/>
  </si>
  <si>
    <t xml:space="preserve"> 沿纬线格数</t>
    <phoneticPr fontId="3" type="noConversion"/>
  </si>
  <si>
    <t>沿经线格数</t>
    <phoneticPr fontId="3" type="noConversion"/>
  </si>
  <si>
    <t>总计经线格数</t>
    <phoneticPr fontId="3" type="noConversion"/>
  </si>
  <si>
    <t>最高点纬度</t>
    <phoneticPr fontId="3" type="noConversion"/>
  </si>
  <si>
    <t>总格数</t>
    <phoneticPr fontId="3" type="noConversion"/>
  </si>
  <si>
    <t>最低纬度经线间距</t>
    <phoneticPr fontId="3" type="noConversion"/>
  </si>
  <si>
    <t>赤道带（第0纬度带）</t>
    <phoneticPr fontId="3" type="noConversion"/>
  </si>
  <si>
    <t>第1纬度带</t>
    <phoneticPr fontId="3" type="noConversion"/>
  </si>
  <si>
    <t>第2纬度带</t>
  </si>
  <si>
    <t>第3纬度带</t>
  </si>
  <si>
    <t>第4纬度带</t>
  </si>
  <si>
    <t>第5纬度带</t>
  </si>
  <si>
    <t>第6纬度带</t>
  </si>
  <si>
    <t>第7纬度带</t>
  </si>
  <si>
    <t>第8纬度带</t>
  </si>
  <si>
    <t>第9纬度带</t>
  </si>
  <si>
    <t>第10纬度带</t>
  </si>
  <si>
    <t>第11纬度带(极点）</t>
    <phoneticPr fontId="3" type="noConversion"/>
  </si>
  <si>
    <t>星球大圆周长</t>
    <phoneticPr fontId="3" type="noConversion"/>
  </si>
  <si>
    <t>星球表面积</t>
    <phoneticPr fontId="3" type="noConversion"/>
  </si>
  <si>
    <t>星球总格数</t>
    <phoneticPr fontId="3" type="noConversion"/>
  </si>
  <si>
    <t>最低4纬度带面积(600小太阳)</t>
    <phoneticPr fontId="3" type="noConversion"/>
  </si>
  <si>
    <t>赤道格长度</t>
    <phoneticPr fontId="3" type="noConversion"/>
  </si>
  <si>
    <t>1层高度长度</t>
    <phoneticPr fontId="3" type="noConversion"/>
  </si>
  <si>
    <t>极地格数占用-小太阳期望发电</t>
    <phoneticPr fontId="3" type="noConversion"/>
  </si>
  <si>
    <t>机舱容量1</t>
    <phoneticPr fontId="2" type="noConversion"/>
  </si>
  <si>
    <t>机舱容量2</t>
    <phoneticPr fontId="2" type="noConversion"/>
  </si>
  <si>
    <t>6k</t>
    <phoneticPr fontId="2" type="noConversion"/>
  </si>
  <si>
    <t>处理器</t>
    <phoneticPr fontId="2" type="noConversion"/>
  </si>
  <si>
    <t>1.6w</t>
    <phoneticPr fontId="2" type="noConversion"/>
  </si>
  <si>
    <t>微晶元件</t>
    <phoneticPr fontId="2" type="noConversion"/>
  </si>
  <si>
    <t>2.7w</t>
    <phoneticPr fontId="2" type="noConversion"/>
  </si>
  <si>
    <t>宽带</t>
    <phoneticPr fontId="2" type="noConversion"/>
  </si>
  <si>
    <t>透镜</t>
    <phoneticPr fontId="2" type="noConversion"/>
  </si>
  <si>
    <t>3k</t>
    <phoneticPr fontId="2" type="noConversion"/>
  </si>
  <si>
    <t>奇异</t>
    <phoneticPr fontId="2" type="noConversion"/>
  </si>
  <si>
    <t>2.4k</t>
    <phoneticPr fontId="2" type="noConversion"/>
  </si>
  <si>
    <t>粒子容器</t>
    <phoneticPr fontId="2" type="noConversion"/>
  </si>
  <si>
    <t>5k</t>
    <phoneticPr fontId="2" type="noConversion"/>
  </si>
  <si>
    <t>电磁涡轮</t>
    <phoneticPr fontId="2" type="noConversion"/>
  </si>
  <si>
    <t>9k</t>
    <phoneticPr fontId="2" type="noConversion"/>
  </si>
  <si>
    <t>量子芯片</t>
    <phoneticPr fontId="2" type="noConversion"/>
  </si>
  <si>
    <t>2.8k</t>
    <phoneticPr fontId="2" type="noConversion"/>
  </si>
  <si>
    <t>卡晶</t>
    <phoneticPr fontId="2" type="noConversion"/>
  </si>
  <si>
    <t>3.6k</t>
    <phoneticPr fontId="2" type="noConversion"/>
  </si>
  <si>
    <t>精炼油</t>
    <phoneticPr fontId="2" type="noConversion"/>
  </si>
  <si>
    <t>6w</t>
    <phoneticPr fontId="2" type="noConversion"/>
  </si>
  <si>
    <t>塑料</t>
    <phoneticPr fontId="2" type="noConversion"/>
  </si>
  <si>
    <t>钛晶石</t>
    <phoneticPr fontId="2" type="noConversion"/>
  </si>
  <si>
    <t>有机</t>
    <phoneticPr fontId="2" type="noConversion"/>
  </si>
  <si>
    <t>1w</t>
    <phoneticPr fontId="2" type="noConversion"/>
  </si>
  <si>
    <t>1.25w</t>
    <phoneticPr fontId="2" type="noConversion"/>
  </si>
  <si>
    <t>重氢</t>
    <phoneticPr fontId="2" type="noConversion"/>
  </si>
  <si>
    <t>1.8w</t>
    <phoneticPr fontId="2" type="noConversion"/>
  </si>
  <si>
    <t>氢(来源于冰)</t>
    <phoneticPr fontId="2" type="noConversion"/>
  </si>
  <si>
    <t>5.5w</t>
    <phoneticPr fontId="2" type="noConversion"/>
  </si>
  <si>
    <t>弹射时间</t>
    <phoneticPr fontId="2" type="noConversion"/>
  </si>
  <si>
    <t>太阳帆弹射器数量</t>
    <phoneticPr fontId="2" type="noConversion"/>
  </si>
  <si>
    <t>分钟弹射量</t>
    <phoneticPr fontId="2" type="noConversion"/>
  </si>
  <si>
    <t>总发电量(MJ)</t>
    <phoneticPr fontId="2" type="noConversion"/>
  </si>
  <si>
    <t>每分钟电力增长(MW)</t>
    <phoneticPr fontId="2" type="noConversion"/>
  </si>
  <si>
    <t>光子需求电量(MJ)</t>
    <phoneticPr fontId="2" type="noConversion"/>
  </si>
  <si>
    <t>弹射但不接收时间</t>
    <phoneticPr fontId="2" type="noConversion"/>
  </si>
  <si>
    <t>弹射器数量</t>
    <phoneticPr fontId="2" type="noConversion"/>
  </si>
  <si>
    <t>弹射时间</t>
    <phoneticPr fontId="2" type="noConversion"/>
  </si>
  <si>
    <t>总发电量</t>
    <phoneticPr fontId="2" type="noConversion"/>
  </si>
  <si>
    <t>接收电量</t>
    <phoneticPr fontId="2" type="noConversion"/>
  </si>
  <si>
    <t>总弹射帆*分</t>
    <phoneticPr fontId="2" type="noConversion"/>
  </si>
  <si>
    <t>接收时间</t>
    <phoneticPr fontId="2" type="noConversion"/>
  </si>
  <si>
    <t>接收帆*分</t>
    <phoneticPr fontId="2" type="noConversion"/>
  </si>
  <si>
    <t>第一批</t>
    <phoneticPr fontId="2" type="noConversion"/>
  </si>
  <si>
    <t>第二批</t>
    <phoneticPr fontId="2" type="noConversion"/>
  </si>
  <si>
    <t>第三批</t>
    <phoneticPr fontId="2" type="noConversion"/>
  </si>
  <si>
    <t>第四批</t>
    <phoneticPr fontId="2" type="noConversion"/>
  </si>
  <si>
    <t>通讯控制</t>
    <phoneticPr fontId="2" type="noConversion"/>
  </si>
  <si>
    <t>无人机引擎</t>
    <phoneticPr fontId="2" type="noConversion"/>
  </si>
  <si>
    <t>改良物流</t>
    <phoneticPr fontId="2" type="noConversion"/>
  </si>
  <si>
    <t>批量建造2</t>
    <phoneticPr fontId="2" type="noConversion"/>
  </si>
  <si>
    <t>能量回路</t>
    <phoneticPr fontId="2" type="noConversion"/>
  </si>
  <si>
    <t>移山填海</t>
    <phoneticPr fontId="2" type="noConversion"/>
  </si>
  <si>
    <t>机舱容量</t>
    <phoneticPr fontId="2" type="noConversion"/>
  </si>
  <si>
    <t>通讯控制2</t>
    <phoneticPr fontId="2" type="noConversion"/>
  </si>
  <si>
    <t>机械骨骼</t>
    <phoneticPr fontId="2" type="noConversion"/>
  </si>
  <si>
    <t>无人机引擎2</t>
    <phoneticPr fontId="2" type="noConversion"/>
  </si>
  <si>
    <t>机舱容量2</t>
    <phoneticPr fontId="2" type="noConversion"/>
  </si>
  <si>
    <t>高效物流系统</t>
    <phoneticPr fontId="2" type="noConversion"/>
  </si>
  <si>
    <t>分钟产量</t>
    <phoneticPr fontId="2" type="noConversion"/>
  </si>
  <si>
    <t>需要时间(分)</t>
    <phoneticPr fontId="2" type="noConversion"/>
  </si>
  <si>
    <t>种子筛选</t>
    <phoneticPr fontId="2" type="noConversion"/>
  </si>
  <si>
    <t>卫星数</t>
    <phoneticPr fontId="2" type="noConversion"/>
  </si>
  <si>
    <t>特征</t>
    <phoneticPr fontId="2" type="noConversion"/>
  </si>
  <si>
    <t>一可燃冰一高风</t>
  </si>
  <si>
    <t>开局面积紧张资源丰富，可燃冰集中</t>
    <phoneticPr fontId="2" type="noConversion"/>
  </si>
  <si>
    <t>开局舒服但有颗猩红比较废</t>
    <phoneticPr fontId="2" type="noConversion"/>
  </si>
  <si>
    <t>开局石头远，富可燃冰</t>
    <phoneticPr fontId="2" type="noConversion"/>
  </si>
  <si>
    <t>开局2口3/s以上油井，但是剩下油井较远，另两颗卫星各50可燃冰，总体较合适</t>
    <phoneticPr fontId="2" type="noConversion"/>
  </si>
  <si>
    <t>电磁学</t>
    <phoneticPr fontId="2" type="noConversion"/>
  </si>
  <si>
    <t>冶金</t>
    <phoneticPr fontId="2" type="noConversion"/>
  </si>
  <si>
    <t>基础制造工艺</t>
    <phoneticPr fontId="2" type="noConversion"/>
  </si>
  <si>
    <t>科技流程</t>
    <phoneticPr fontId="2" type="noConversion"/>
  </si>
  <si>
    <t>手搓路线</t>
    <phoneticPr fontId="2" type="noConversion"/>
  </si>
  <si>
    <t>磁线圈</t>
    <phoneticPr fontId="2" type="noConversion"/>
  </si>
  <si>
    <t>电路板</t>
    <phoneticPr fontId="2" type="noConversion"/>
  </si>
  <si>
    <t>机甲行为</t>
    <phoneticPr fontId="2" type="noConversion"/>
  </si>
  <si>
    <t>挖铁</t>
    <phoneticPr fontId="2" type="noConversion"/>
  </si>
  <si>
    <t>挖铜</t>
    <phoneticPr fontId="2" type="noConversion"/>
  </si>
  <si>
    <t>矿机挖铁</t>
    <phoneticPr fontId="2" type="noConversion"/>
  </si>
  <si>
    <t>-</t>
    <phoneticPr fontId="2" type="noConversion"/>
  </si>
  <si>
    <t>风力涡轮</t>
    <phoneticPr fontId="2" type="noConversion"/>
  </si>
  <si>
    <t>挖矿</t>
    <phoneticPr fontId="2" type="noConversion"/>
  </si>
  <si>
    <t>制造</t>
    <phoneticPr fontId="2" type="noConversion"/>
  </si>
  <si>
    <t>研究</t>
    <phoneticPr fontId="2" type="noConversion"/>
  </si>
  <si>
    <t>走路</t>
    <phoneticPr fontId="2" type="noConversion"/>
  </si>
  <si>
    <t>建设</t>
    <phoneticPr fontId="2" type="noConversion"/>
  </si>
  <si>
    <t>60kj/m</t>
    <phoneticPr fontId="2" type="noConversion"/>
  </si>
  <si>
    <t>起飞耗电300kj</t>
    <phoneticPr fontId="2" type="noConversion"/>
  </si>
  <si>
    <t>对应数量</t>
    <phoneticPr fontId="2" type="noConversion"/>
  </si>
  <si>
    <t>矩阵消耗</t>
    <phoneticPr fontId="2" type="noConversion"/>
  </si>
  <si>
    <t>蓝</t>
    <phoneticPr fontId="2" type="noConversion"/>
  </si>
  <si>
    <t>红</t>
    <phoneticPr fontId="2" type="noConversion"/>
  </si>
  <si>
    <t>黄</t>
    <phoneticPr fontId="2" type="noConversion"/>
  </si>
  <si>
    <t>任务点数</t>
    <phoneticPr fontId="2" type="noConversion"/>
  </si>
  <si>
    <t>引擎</t>
    <phoneticPr fontId="2" type="noConversion"/>
  </si>
  <si>
    <t>对应速度</t>
    <phoneticPr fontId="2" type="noConversion"/>
  </si>
  <si>
    <t>建议顺序</t>
    <phoneticPr fontId="2" type="noConversion"/>
  </si>
  <si>
    <t>控制1</t>
    <phoneticPr fontId="2" type="noConversion"/>
  </si>
  <si>
    <t>引擎1</t>
    <phoneticPr fontId="2" type="noConversion"/>
  </si>
  <si>
    <t>控制2</t>
    <phoneticPr fontId="2" type="noConversion"/>
  </si>
  <si>
    <t>引擎2</t>
    <phoneticPr fontId="2" type="noConversion"/>
  </si>
  <si>
    <t>效率估算</t>
    <phoneticPr fontId="2" type="noConversion"/>
  </si>
  <si>
    <t>控制3</t>
    <phoneticPr fontId="2" type="noConversion"/>
  </si>
  <si>
    <t>控制4</t>
    <phoneticPr fontId="2" type="noConversion"/>
  </si>
  <si>
    <t>引擎3</t>
    <phoneticPr fontId="2" type="noConversion"/>
  </si>
  <si>
    <t>x</t>
    <phoneticPr fontId="2" type="noConversion"/>
  </si>
  <si>
    <t>矿机</t>
    <phoneticPr fontId="2" type="noConversion"/>
  </si>
  <si>
    <t>齿/电轮点</t>
    <phoneticPr fontId="2" type="noConversion"/>
  </si>
  <si>
    <t>捡石头</t>
    <phoneticPr fontId="2" type="noConversion"/>
  </si>
  <si>
    <t>铺设</t>
    <phoneticPr fontId="2" type="noConversion"/>
  </si>
  <si>
    <t>-</t>
    <phoneticPr fontId="2" type="noConversion"/>
  </si>
  <si>
    <t>捡石头</t>
    <phoneticPr fontId="2" type="noConversion"/>
  </si>
  <si>
    <t>磁线圈</t>
    <phoneticPr fontId="2" type="noConversion"/>
  </si>
  <si>
    <t>电路板</t>
    <phoneticPr fontId="2" type="noConversion"/>
  </si>
  <si>
    <t>6~10</t>
    <phoneticPr fontId="2" type="noConversion"/>
  </si>
  <si>
    <t>到够科技</t>
    <phoneticPr fontId="2" type="noConversion"/>
  </si>
  <si>
    <t>电磁矩阵</t>
    <phoneticPr fontId="2" type="noConversion"/>
  </si>
  <si>
    <t>熔炉</t>
    <phoneticPr fontId="2" type="noConversion"/>
  </si>
  <si>
    <t>2-30</t>
    <phoneticPr fontId="2" type="noConversion"/>
  </si>
  <si>
    <t>基础物流</t>
    <phoneticPr fontId="2" type="noConversion"/>
  </si>
  <si>
    <t>制造台</t>
    <phoneticPr fontId="2" type="noConversion"/>
  </si>
  <si>
    <t>火电</t>
    <phoneticPr fontId="2" type="noConversion"/>
  </si>
  <si>
    <t>铺火电</t>
    <phoneticPr fontId="2" type="noConversion"/>
  </si>
  <si>
    <t>分拣器</t>
    <phoneticPr fontId="2" type="noConversion"/>
  </si>
  <si>
    <t>按需</t>
    <phoneticPr fontId="2" type="noConversion"/>
  </si>
  <si>
    <t>传送带</t>
    <phoneticPr fontId="2" type="noConversion"/>
  </si>
  <si>
    <t>放煤矿机</t>
    <phoneticPr fontId="2" type="noConversion"/>
  </si>
  <si>
    <t>矿机+电杆</t>
    <phoneticPr fontId="2" type="noConversion"/>
  </si>
  <si>
    <t>机甲核心1</t>
    <phoneticPr fontId="2" type="noConversion"/>
  </si>
  <si>
    <t>可提3秒</t>
    <phoneticPr fontId="2" type="noConversion"/>
  </si>
  <si>
    <t>批量建造1</t>
    <phoneticPr fontId="2" type="noConversion"/>
  </si>
  <si>
    <t>通讯控制1</t>
    <phoneticPr fontId="2" type="noConversion"/>
  </si>
  <si>
    <t>无人机引擎1</t>
    <phoneticPr fontId="2" type="noConversion"/>
  </si>
  <si>
    <t>电磁驱动</t>
    <phoneticPr fontId="2" type="noConversion"/>
  </si>
  <si>
    <t>改良物流</t>
    <phoneticPr fontId="2" type="noConversion"/>
  </si>
  <si>
    <t>驱动引擎1</t>
    <phoneticPr fontId="2" type="noConversion"/>
  </si>
  <si>
    <t>能量回路1</t>
    <phoneticPr fontId="2" type="noConversion"/>
  </si>
  <si>
    <t>通讯控制3</t>
    <phoneticPr fontId="2" type="noConversion"/>
  </si>
  <si>
    <t>预计产能</t>
    <phoneticPr fontId="2" type="noConversion"/>
  </si>
  <si>
    <t>蓝</t>
    <phoneticPr fontId="2" type="noConversion"/>
  </si>
  <si>
    <t>红</t>
    <phoneticPr fontId="2" type="noConversion"/>
  </si>
  <si>
    <t>黄</t>
    <phoneticPr fontId="2" type="noConversion"/>
  </si>
  <si>
    <t>紫</t>
    <phoneticPr fontId="2" type="noConversion"/>
  </si>
  <si>
    <t>绿</t>
    <phoneticPr fontId="2" type="noConversion"/>
  </si>
  <si>
    <t>hash/60</t>
    <phoneticPr fontId="2" type="noConversion"/>
  </si>
  <si>
    <t>哈希/60/s</t>
    <phoneticPr fontId="2" type="noConversion"/>
  </si>
  <si>
    <t>1矿/s=80kj</t>
    <phoneticPr fontId="2" type="noConversion"/>
  </si>
  <si>
    <t>1炉·s=360kj</t>
    <phoneticPr fontId="2" type="noConversion"/>
  </si>
  <si>
    <t>1炉·s=363kj</t>
  </si>
  <si>
    <t>1炉·s=364kj</t>
  </si>
  <si>
    <t>1炉·s=365kj</t>
  </si>
  <si>
    <t>1炉·s=366kj</t>
  </si>
  <si>
    <t>1台·s=360kj</t>
    <phoneticPr fontId="2" type="noConversion"/>
  </si>
  <si>
    <t>1研究·s=480kj</t>
    <phoneticPr fontId="2" type="noConversion"/>
  </si>
  <si>
    <t>背包制造秒</t>
    <phoneticPr fontId="2" type="noConversion"/>
  </si>
  <si>
    <t>铁块</t>
  </si>
  <si>
    <t>铜块</t>
  </si>
  <si>
    <t>高纯硅块</t>
  </si>
  <si>
    <t>钛块</t>
  </si>
  <si>
    <t>石材</t>
  </si>
  <si>
    <t>高能石墨</t>
  </si>
  <si>
    <t>玻璃</t>
  </si>
  <si>
    <t>晶格硅(高效)</t>
  </si>
  <si>
    <t>金刚石(高效)</t>
  </si>
  <si>
    <t>石墨烯</t>
  </si>
  <si>
    <t>精炼油</t>
  </si>
  <si>
    <t>碳纳米管（高效）</t>
  </si>
  <si>
    <t>磁铁</t>
  </si>
  <si>
    <t>重氢(加速分馏塔)</t>
  </si>
  <si>
    <t>重氢(对撞机）</t>
  </si>
  <si>
    <t>磁线圈</t>
  </si>
  <si>
    <t>钢材</t>
  </si>
  <si>
    <t>钛合金</t>
  </si>
  <si>
    <t>钛化玻璃</t>
  </si>
  <si>
    <t>棱镜</t>
  </si>
  <si>
    <t>电浆激发器</t>
  </si>
  <si>
    <t>齿轮</t>
  </si>
  <si>
    <t>电路板</t>
  </si>
  <si>
    <t>微晶元件</t>
  </si>
  <si>
    <t>处理器</t>
  </si>
  <si>
    <t>电动机</t>
  </si>
  <si>
    <t>电磁涡轮</t>
  </si>
  <si>
    <t>钛晶石</t>
  </si>
  <si>
    <t>卡西米尔晶体（高效）</t>
  </si>
  <si>
    <t>卡西米尔晶体（低效）</t>
  </si>
  <si>
    <t>位面过滤器</t>
  </si>
  <si>
    <t>粒子容器(高效）</t>
  </si>
  <si>
    <t>粒子容器(低效）</t>
  </si>
  <si>
    <t>奇异物质</t>
  </si>
  <si>
    <t>光子合并器(低效)</t>
  </si>
  <si>
    <t>光子合并器(高效)</t>
  </si>
  <si>
    <t>太阳帆</t>
  </si>
  <si>
    <t>反物质</t>
  </si>
  <si>
    <t>塑料</t>
  </si>
  <si>
    <t>粒子宽带</t>
  </si>
  <si>
    <t>碳纳米管（低效）</t>
  </si>
  <si>
    <t>金刚石（低效）</t>
  </si>
  <si>
    <t>晶格硅(低效)</t>
  </si>
  <si>
    <t>有机晶体（低效）</t>
  </si>
  <si>
    <t>超级磁场环</t>
  </si>
  <si>
    <t>引力透镜</t>
  </si>
  <si>
    <t>量子芯片</t>
  </si>
  <si>
    <t>框架材料</t>
  </si>
  <si>
    <t>戴森球组件</t>
  </si>
  <si>
    <t>湮灭约束球</t>
  </si>
  <si>
    <t>空间翘曲器（高效）</t>
  </si>
  <si>
    <t>小型运载火箭</t>
  </si>
  <si>
    <t>增产剂MK1</t>
  </si>
  <si>
    <t>增产剂MK2</t>
  </si>
  <si>
    <t>增产剂MK3</t>
  </si>
  <si>
    <t>液氢燃料棒</t>
  </si>
  <si>
    <t>氘核燃料棒</t>
  </si>
  <si>
    <t>反物质燃料棒</t>
  </si>
  <si>
    <t>推进器</t>
  </si>
  <si>
    <t>加力推进器</t>
  </si>
  <si>
    <t>电磁矩阵</t>
  </si>
  <si>
    <t>能量矩阵</t>
  </si>
  <si>
    <t>结构矩阵</t>
  </si>
  <si>
    <t>信息矩阵</t>
  </si>
  <si>
    <t>引力矩阵</t>
  </si>
  <si>
    <t>宇宙矩阵</t>
  </si>
  <si>
    <t>300kw</t>
    <phoneticPr fontId="2" type="noConversion"/>
  </si>
  <si>
    <t>500kw</t>
    <phoneticPr fontId="2" type="noConversion"/>
  </si>
  <si>
    <t>耗能与速度成正比，阻挡时耗能不减少，每6米0.5MJ的耗电</t>
    <phoneticPr fontId="2" type="noConversion"/>
  </si>
  <si>
    <t>510kw</t>
    <phoneticPr fontId="2" type="noConversion"/>
  </si>
  <si>
    <t>背包制造耗时（单位：秒）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</si>
</sst>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2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B4F0-CA73-4696-A902-B074362E029F}">
  <dimension ref="A1:H24"/>
  <sheetViews>
    <sheetView workbookViewId="0">
      <selection activeCell="F15" sqref="F15"/>
    </sheetView>
  </sheetViews>
  <sheetFormatPr defaultRowHeight="14.25" x14ac:dyDescent="0.2"/>
  <cols>
    <col min="1" max="1" width="26.5" style="1" customWidth="1"/>
    <col min="2" max="2" width="16.875" style="1" customWidth="1"/>
    <col min="3" max="3" width="20.75" style="1" customWidth="1"/>
    <col min="4" max="4" width="16.875" style="1" customWidth="1"/>
    <col min="5" max="5" width="18.125" style="1" customWidth="1"/>
    <col min="6" max="6" width="26.125" style="1" customWidth="1"/>
    <col min="7" max="7" width="19.375" style="1" customWidth="1"/>
    <col min="8" max="8" width="18.5" style="1" customWidth="1"/>
    <col min="9" max="9" width="21.25" style="1" customWidth="1"/>
    <col min="10" max="16384" width="9" style="1"/>
  </cols>
  <sheetData>
    <row r="1" spans="1:8" x14ac:dyDescent="0.2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</row>
    <row r="2" spans="1:8" x14ac:dyDescent="0.2">
      <c r="A2" s="1" t="s">
        <v>211</v>
      </c>
      <c r="B2" s="1" t="s">
        <v>138</v>
      </c>
      <c r="C2" s="1">
        <v>1000</v>
      </c>
      <c r="D2" s="1">
        <v>80</v>
      </c>
      <c r="E2" s="1">
        <f>D2</f>
        <v>80</v>
      </c>
      <c r="F2" s="1">
        <f>0.36*E2</f>
        <v>28.799999999999997</v>
      </c>
      <c r="G2" s="1">
        <f>D2*C2</f>
        <v>80000</v>
      </c>
      <c r="H2" s="1">
        <v>1</v>
      </c>
    </row>
    <row r="3" spans="1:8" x14ac:dyDescent="0.2">
      <c r="A3" s="1" t="s">
        <v>212</v>
      </c>
      <c r="B3" s="4">
        <f>C3/C2</f>
        <v>0.8</v>
      </c>
      <c r="C3" s="1">
        <v>800</v>
      </c>
      <c r="D3" s="1">
        <v>50</v>
      </c>
      <c r="E3" s="1">
        <f>E2+D3</f>
        <v>130</v>
      </c>
      <c r="F3" s="1">
        <f t="shared" ref="F3:F13" si="0">0.36*E3</f>
        <v>46.8</v>
      </c>
      <c r="G3" s="1">
        <f t="shared" ref="G3:G13" si="1">D3*C3</f>
        <v>40000</v>
      </c>
      <c r="H3" s="1">
        <f>COS((F2+0.32)*PI()/180)*1000/C3</f>
        <v>1.0920030084156485</v>
      </c>
    </row>
    <row r="4" spans="1:8" x14ac:dyDescent="0.2">
      <c r="A4" s="1" t="s">
        <v>213</v>
      </c>
      <c r="B4" s="4">
        <f t="shared" ref="B4:B13" si="2">C4/C3</f>
        <v>0.75</v>
      </c>
      <c r="C4" s="1">
        <v>600</v>
      </c>
      <c r="D4" s="1">
        <v>25</v>
      </c>
      <c r="E4" s="1">
        <f t="shared" ref="E4:E13" si="3">E3+D4</f>
        <v>155</v>
      </c>
      <c r="F4" s="1">
        <f t="shared" si="0"/>
        <v>55.8</v>
      </c>
      <c r="G4" s="1">
        <f t="shared" si="1"/>
        <v>15000</v>
      </c>
      <c r="H4" s="1">
        <f t="shared" ref="H4:H13" si="4">COS((F3+0.32)*PI()/180)*1000/C4</f>
        <v>1.1341085363038421</v>
      </c>
    </row>
    <row r="5" spans="1:8" x14ac:dyDescent="0.2">
      <c r="A5" s="1" t="s">
        <v>214</v>
      </c>
      <c r="B5" s="4">
        <f t="shared" si="2"/>
        <v>0.83333333333333337</v>
      </c>
      <c r="C5" s="1">
        <v>500</v>
      </c>
      <c r="D5" s="1">
        <v>25</v>
      </c>
      <c r="E5" s="1">
        <f t="shared" si="3"/>
        <v>180</v>
      </c>
      <c r="F5" s="1">
        <f t="shared" si="0"/>
        <v>64.8</v>
      </c>
      <c r="G5" s="1">
        <f t="shared" si="1"/>
        <v>12500</v>
      </c>
      <c r="H5" s="1">
        <f t="shared" si="4"/>
        <v>1.1149106921233218</v>
      </c>
    </row>
    <row r="6" spans="1:8" x14ac:dyDescent="0.2">
      <c r="A6" s="1" t="s">
        <v>215</v>
      </c>
      <c r="B6" s="4">
        <f t="shared" si="2"/>
        <v>0.8</v>
      </c>
      <c r="C6" s="1">
        <v>400</v>
      </c>
      <c r="D6" s="1">
        <v>15</v>
      </c>
      <c r="E6" s="1">
        <f t="shared" si="3"/>
        <v>195</v>
      </c>
      <c r="F6" s="1">
        <f t="shared" si="0"/>
        <v>70.2</v>
      </c>
      <c r="G6" s="1">
        <f t="shared" si="1"/>
        <v>6000</v>
      </c>
      <c r="H6" s="1">
        <f t="shared" si="4"/>
        <v>1.0517979240818869</v>
      </c>
    </row>
    <row r="7" spans="1:8" x14ac:dyDescent="0.2">
      <c r="A7" s="1" t="s">
        <v>216</v>
      </c>
      <c r="B7" s="4">
        <f t="shared" si="2"/>
        <v>0.75</v>
      </c>
      <c r="C7" s="1">
        <v>300</v>
      </c>
      <c r="D7" s="1">
        <v>15</v>
      </c>
      <c r="E7" s="1">
        <f t="shared" si="3"/>
        <v>210</v>
      </c>
      <c r="F7" s="1">
        <f t="shared" si="0"/>
        <v>75.599999999999994</v>
      </c>
      <c r="G7" s="1">
        <f t="shared" si="1"/>
        <v>4500</v>
      </c>
      <c r="H7" s="1">
        <f t="shared" si="4"/>
        <v>1.1115926498335571</v>
      </c>
    </row>
    <row r="8" spans="1:8" x14ac:dyDescent="0.2">
      <c r="A8" s="1" t="s">
        <v>217</v>
      </c>
      <c r="B8" s="4">
        <f t="shared" si="2"/>
        <v>0.66666666666666663</v>
      </c>
      <c r="C8" s="1">
        <v>200</v>
      </c>
      <c r="D8" s="1">
        <v>10</v>
      </c>
      <c r="E8" s="1">
        <f t="shared" si="3"/>
        <v>220</v>
      </c>
      <c r="F8" s="1">
        <f t="shared" si="0"/>
        <v>79.2</v>
      </c>
      <c r="G8" s="1">
        <f t="shared" si="1"/>
        <v>2000</v>
      </c>
      <c r="H8" s="1">
        <f t="shared" si="4"/>
        <v>1.2163822387561474</v>
      </c>
    </row>
    <row r="9" spans="1:8" x14ac:dyDescent="0.2">
      <c r="A9" s="1" t="s">
        <v>218</v>
      </c>
      <c r="B9" s="4">
        <f t="shared" si="2"/>
        <v>0.8</v>
      </c>
      <c r="C9" s="1">
        <v>160</v>
      </c>
      <c r="D9" s="1">
        <v>10</v>
      </c>
      <c r="E9" s="1">
        <f t="shared" si="3"/>
        <v>230</v>
      </c>
      <c r="F9" s="1">
        <f t="shared" si="0"/>
        <v>82.8</v>
      </c>
      <c r="G9" s="1">
        <f t="shared" si="1"/>
        <v>1600</v>
      </c>
      <c r="H9" s="1">
        <f t="shared" si="4"/>
        <v>1.1368268355389193</v>
      </c>
    </row>
    <row r="10" spans="1:8" x14ac:dyDescent="0.2">
      <c r="A10" s="1" t="s">
        <v>219</v>
      </c>
      <c r="B10" s="4">
        <f t="shared" si="2"/>
        <v>0.625</v>
      </c>
      <c r="C10" s="1">
        <v>100</v>
      </c>
      <c r="D10" s="1">
        <v>5</v>
      </c>
      <c r="E10" s="1">
        <f t="shared" si="3"/>
        <v>235</v>
      </c>
      <c r="F10" s="1">
        <f t="shared" si="0"/>
        <v>84.6</v>
      </c>
      <c r="G10" s="1">
        <f t="shared" si="1"/>
        <v>500</v>
      </c>
      <c r="H10" s="1">
        <f t="shared" si="4"/>
        <v>1.1979029383672966</v>
      </c>
    </row>
    <row r="11" spans="1:8" x14ac:dyDescent="0.2">
      <c r="A11" s="1" t="s">
        <v>220</v>
      </c>
      <c r="B11" s="4">
        <f t="shared" si="2"/>
        <v>0.8</v>
      </c>
      <c r="C11" s="1">
        <v>80</v>
      </c>
      <c r="D11" s="1">
        <v>5</v>
      </c>
      <c r="E11" s="1">
        <f t="shared" si="3"/>
        <v>240</v>
      </c>
      <c r="F11" s="1">
        <f t="shared" si="0"/>
        <v>86.399999999999991</v>
      </c>
      <c r="G11" s="1">
        <f t="shared" si="1"/>
        <v>400</v>
      </c>
      <c r="H11" s="1">
        <f t="shared" si="4"/>
        <v>1.1068325942027815</v>
      </c>
    </row>
    <row r="12" spans="1:8" x14ac:dyDescent="0.2">
      <c r="A12" s="1" t="s">
        <v>221</v>
      </c>
      <c r="B12" s="4">
        <f t="shared" si="2"/>
        <v>0.5</v>
      </c>
      <c r="C12" s="1">
        <v>40</v>
      </c>
      <c r="D12" s="1">
        <v>5</v>
      </c>
      <c r="E12" s="1">
        <f t="shared" si="3"/>
        <v>245</v>
      </c>
      <c r="F12" s="1">
        <f t="shared" si="0"/>
        <v>88.2</v>
      </c>
      <c r="G12" s="1">
        <f t="shared" si="1"/>
        <v>200</v>
      </c>
      <c r="H12" s="1">
        <f t="shared" si="4"/>
        <v>1.4303884106109657</v>
      </c>
    </row>
    <row r="13" spans="1:8" x14ac:dyDescent="0.2">
      <c r="A13" s="1" t="s">
        <v>222</v>
      </c>
      <c r="B13" s="4">
        <f t="shared" si="2"/>
        <v>0.5</v>
      </c>
      <c r="C13" s="1">
        <v>20</v>
      </c>
      <c r="D13" s="1">
        <v>5</v>
      </c>
      <c r="E13" s="1">
        <f t="shared" si="3"/>
        <v>250</v>
      </c>
      <c r="F13" s="1">
        <f t="shared" si="0"/>
        <v>90</v>
      </c>
      <c r="G13" s="1">
        <f t="shared" si="1"/>
        <v>100</v>
      </c>
      <c r="H13" s="1">
        <f t="shared" si="4"/>
        <v>1.2914000242959287</v>
      </c>
    </row>
    <row r="18" spans="1:2" x14ac:dyDescent="0.2">
      <c r="A18" s="1" t="s">
        <v>223</v>
      </c>
      <c r="B18" s="1">
        <v>1000</v>
      </c>
    </row>
    <row r="19" spans="1:2" x14ac:dyDescent="0.2">
      <c r="A19" s="1" t="s">
        <v>224</v>
      </c>
      <c r="B19" s="1">
        <f>B18*B18/PI()</f>
        <v>318309.88618379069</v>
      </c>
    </row>
    <row r="20" spans="1:2" x14ac:dyDescent="0.2">
      <c r="A20" s="1" t="s">
        <v>225</v>
      </c>
      <c r="B20" s="1">
        <f>SUM(G2:G13)*2</f>
        <v>325600</v>
      </c>
    </row>
    <row r="21" spans="1:2" x14ac:dyDescent="0.2">
      <c r="A21" s="1" t="s">
        <v>226</v>
      </c>
      <c r="B21" s="1">
        <f>SIN(F5*PI()/180)*B19</f>
        <v>288015.39608647348</v>
      </c>
    </row>
    <row r="22" spans="1:2" x14ac:dyDescent="0.2">
      <c r="A22" s="1" t="s">
        <v>227</v>
      </c>
      <c r="B22" s="1">
        <f>0.4*PI()</f>
        <v>1.2566370614359172</v>
      </c>
    </row>
    <row r="23" spans="1:2" x14ac:dyDescent="0.2">
      <c r="A23" s="1" t="s">
        <v>228</v>
      </c>
      <c r="B23" s="1">
        <f>4/3</f>
        <v>1.3333333333333333</v>
      </c>
    </row>
    <row r="24" spans="1:2" x14ac:dyDescent="0.2">
      <c r="A24" s="1" t="s">
        <v>229</v>
      </c>
      <c r="B24" s="1">
        <f>(318309.886183791-SIN(0.36*(250-83)*PI()/180)*B19)/48.96*144</f>
        <v>124449.14700830175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0588-D093-4741-82CE-BBC07AEE66DD}">
  <dimension ref="A1:U46"/>
  <sheetViews>
    <sheetView workbookViewId="0">
      <selection activeCell="D29" sqref="D29"/>
    </sheetView>
  </sheetViews>
  <sheetFormatPr defaultRowHeight="14.25" x14ac:dyDescent="0.2"/>
  <cols>
    <col min="1" max="1" width="12.875" style="1" customWidth="1"/>
    <col min="2" max="2" width="23.5" style="1" customWidth="1"/>
    <col min="3" max="3" width="18.625" style="1" customWidth="1"/>
    <col min="4" max="4" width="15.875" style="1" customWidth="1"/>
    <col min="5" max="5" width="16" style="1" customWidth="1"/>
    <col min="6" max="6" width="20" style="1" customWidth="1"/>
    <col min="7" max="7" width="26.125" style="1" customWidth="1"/>
    <col min="8" max="8" width="17" style="1" customWidth="1"/>
    <col min="9" max="9" width="15.25" style="1" customWidth="1"/>
    <col min="10" max="10" width="21.5" style="1" customWidth="1"/>
    <col min="11" max="11" width="9.875" style="1" customWidth="1"/>
    <col min="12" max="12" width="11.125" style="1" customWidth="1"/>
    <col min="13" max="16384" width="9" style="1"/>
  </cols>
  <sheetData>
    <row r="1" spans="1:13" x14ac:dyDescent="0.2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0" t="s">
        <v>111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</row>
    <row r="2" spans="1:13" x14ac:dyDescent="0.2">
      <c r="A2" s="1" t="s">
        <v>112</v>
      </c>
      <c r="B2" s="1">
        <v>1.1555899999999999</v>
      </c>
      <c r="C2" s="1">
        <v>1.1555899999999999</v>
      </c>
      <c r="D2" s="1">
        <f t="shared" ref="D2:E3" si="0">2*B2</f>
        <v>2.3111799999999998</v>
      </c>
      <c r="E2" s="1">
        <f t="shared" si="0"/>
        <v>2.3111799999999998</v>
      </c>
      <c r="F2" s="1">
        <v>0.79500000000000004</v>
      </c>
      <c r="G2" s="10"/>
      <c r="H2" s="1">
        <f t="shared" ref="H2:L7" si="1">B2*1.25663706143591</f>
        <v>1.452157221824723</v>
      </c>
      <c r="I2" s="1">
        <f t="shared" si="1"/>
        <v>1.452157221824723</v>
      </c>
      <c r="J2" s="1">
        <f t="shared" si="1"/>
        <v>2.9043144436494459</v>
      </c>
      <c r="K2" s="1">
        <f t="shared" si="1"/>
        <v>2.9043144436494459</v>
      </c>
      <c r="L2" s="1">
        <f t="shared" si="1"/>
        <v>0.99902646384154847</v>
      </c>
    </row>
    <row r="3" spans="1:13" x14ac:dyDescent="0.2">
      <c r="A3" s="1" t="s">
        <v>113</v>
      </c>
      <c r="B3" s="1">
        <v>1.5207999999999999</v>
      </c>
      <c r="C3" s="1">
        <v>1.5207999999999999</v>
      </c>
      <c r="D3" s="1">
        <f t="shared" si="0"/>
        <v>3.0415999999999999</v>
      </c>
      <c r="E3" s="1">
        <f t="shared" si="0"/>
        <v>3.0415999999999999</v>
      </c>
      <c r="F3" s="1">
        <v>0.875</v>
      </c>
      <c r="G3" s="10"/>
      <c r="H3" s="1">
        <f t="shared" si="1"/>
        <v>1.9110936430317318</v>
      </c>
      <c r="I3" s="1">
        <f t="shared" si="1"/>
        <v>1.9110936430317318</v>
      </c>
      <c r="J3" s="1">
        <f t="shared" si="1"/>
        <v>3.8221872860634636</v>
      </c>
      <c r="K3" s="1">
        <f t="shared" si="1"/>
        <v>3.8221872860634636</v>
      </c>
      <c r="L3" s="1">
        <f t="shared" si="1"/>
        <v>1.0995574287564212</v>
      </c>
    </row>
    <row r="4" spans="1:13" x14ac:dyDescent="0.2">
      <c r="A4" s="1" t="s">
        <v>114</v>
      </c>
      <c r="B4" s="1" t="s">
        <v>115</v>
      </c>
      <c r="C4" s="1" t="s">
        <v>116</v>
      </c>
      <c r="D4" s="1">
        <v>6.5972906</v>
      </c>
      <c r="E4" s="1">
        <f>3.49776</f>
        <v>3.49776</v>
      </c>
      <c r="F4" s="1" t="s">
        <v>117</v>
      </c>
      <c r="G4" s="10"/>
      <c r="H4" s="1" t="e">
        <f t="shared" si="1"/>
        <v>#VALUE!</v>
      </c>
      <c r="I4" s="1" t="e">
        <f t="shared" si="1"/>
        <v>#VALUE!</v>
      </c>
      <c r="J4" s="1">
        <f t="shared" si="1"/>
        <v>8.2903998730227517</v>
      </c>
      <c r="K4" s="1">
        <f t="shared" si="1"/>
        <v>4.3954148480080679</v>
      </c>
      <c r="L4" s="1">
        <f>0.7155*1.25663706143591</f>
        <v>0.89912381745739356</v>
      </c>
      <c r="M4" s="1">
        <f>1.6695*1.25663706143591</f>
        <v>2.0979555740672517</v>
      </c>
    </row>
    <row r="5" spans="1:13" x14ac:dyDescent="0.2">
      <c r="A5" s="1" t="s">
        <v>118</v>
      </c>
      <c r="B5" s="1" t="s">
        <v>119</v>
      </c>
      <c r="C5" s="1">
        <f>2.22475</f>
        <v>2.2247499999999998</v>
      </c>
      <c r="D5" s="1">
        <f>2.22475+2.6</f>
        <v>4.8247499999999999</v>
      </c>
      <c r="E5" s="1">
        <f>2*C5</f>
        <v>4.4494999999999996</v>
      </c>
      <c r="F5" s="1">
        <v>1.8285556999999999</v>
      </c>
      <c r="G5" s="10"/>
      <c r="H5" s="1" t="e">
        <f t="shared" si="1"/>
        <v>#VALUE!</v>
      </c>
      <c r="I5" s="1">
        <f t="shared" si="1"/>
        <v>2.7957033024295401</v>
      </c>
      <c r="J5" s="1">
        <f t="shared" si="1"/>
        <v>6.062959662162906</v>
      </c>
      <c r="K5" s="1">
        <f t="shared" si="1"/>
        <v>5.5914066048590803</v>
      </c>
      <c r="L5" s="1">
        <f t="shared" si="1"/>
        <v>2.2978308615198832</v>
      </c>
    </row>
    <row r="6" spans="1:13" x14ac:dyDescent="0.2">
      <c r="A6" s="1" t="s">
        <v>120</v>
      </c>
      <c r="B6" s="1" t="s">
        <v>121</v>
      </c>
      <c r="C6" s="1">
        <f>E6/2</f>
        <v>2.3378000000000001</v>
      </c>
      <c r="D6" s="1" t="s">
        <v>122</v>
      </c>
      <c r="E6" s="1">
        <f>4.6756</f>
        <v>4.6756000000000002</v>
      </c>
      <c r="F6" s="1" t="s">
        <v>123</v>
      </c>
      <c r="G6" s="10"/>
      <c r="H6" s="1">
        <f>(4.3+5.1)*1.25663706143591</f>
        <v>11.812388377497552</v>
      </c>
      <c r="I6" s="1">
        <f t="shared" si="1"/>
        <v>2.9377661222248705</v>
      </c>
      <c r="J6" s="1" t="e">
        <f t="shared" si="1"/>
        <v>#VALUE!</v>
      </c>
      <c r="K6" s="1">
        <f t="shared" si="1"/>
        <v>5.8755322444497411</v>
      </c>
      <c r="L6" s="1">
        <f>3.81651*1.25663706143591</f>
        <v>4.7959679113407647</v>
      </c>
    </row>
    <row r="7" spans="1:13" x14ac:dyDescent="0.2">
      <c r="A7" s="1" t="s">
        <v>124</v>
      </c>
      <c r="B7" s="1" t="s">
        <v>125</v>
      </c>
      <c r="C7" s="1">
        <f>2.79486/2</f>
        <v>1.3974299999999999</v>
      </c>
      <c r="D7" s="1" t="s">
        <v>126</v>
      </c>
      <c r="E7" s="1">
        <f>2*C7</f>
        <v>2.7948599999999999</v>
      </c>
      <c r="F7" s="1" t="s">
        <v>127</v>
      </c>
      <c r="G7" s="10"/>
      <c r="H7" s="1" t="e">
        <f>B7*1.25663706143591</f>
        <v>#VALUE!</v>
      </c>
      <c r="I7" s="1">
        <f t="shared" si="1"/>
        <v>1.7560623287623836</v>
      </c>
      <c r="J7" s="1" t="e">
        <f t="shared" si="1"/>
        <v>#VALUE!</v>
      </c>
      <c r="K7" s="1">
        <f t="shared" si="1"/>
        <v>3.5121246575247671</v>
      </c>
      <c r="L7" s="1" t="s">
        <v>128</v>
      </c>
    </row>
    <row r="9" spans="1:13" x14ac:dyDescent="0.2">
      <c r="A9" s="1" t="s">
        <v>129</v>
      </c>
      <c r="B9" s="1">
        <f>6.751/2</f>
        <v>3.3755000000000002</v>
      </c>
      <c r="C9" s="1">
        <f>6.751/2</f>
        <v>3.3755000000000002</v>
      </c>
      <c r="D9" s="1">
        <f>6.751/2</f>
        <v>3.3755000000000002</v>
      </c>
      <c r="E9" s="1">
        <f>6.751/2</f>
        <v>3.3755000000000002</v>
      </c>
      <c r="F9" s="1">
        <v>48.96</v>
      </c>
      <c r="G9" s="1" t="s">
        <v>130</v>
      </c>
      <c r="H9" s="1">
        <f>4*D9*D9</f>
        <v>45.576001000000005</v>
      </c>
      <c r="I9" s="1" t="s">
        <v>131</v>
      </c>
    </row>
    <row r="10" spans="1:13" x14ac:dyDescent="0.2">
      <c r="A10" s="1" t="s">
        <v>132</v>
      </c>
      <c r="B10" s="1" t="s">
        <v>133</v>
      </c>
      <c r="E10" s="1" t="s">
        <v>134</v>
      </c>
      <c r="F10" s="1">
        <v>54.824300000000001</v>
      </c>
      <c r="G10" s="1" t="s">
        <v>135</v>
      </c>
    </row>
    <row r="11" spans="1:13" x14ac:dyDescent="0.2">
      <c r="A11" s="1" t="s">
        <v>136</v>
      </c>
      <c r="B11" s="1">
        <v>0.2</v>
      </c>
      <c r="C11" s="1">
        <v>0.2</v>
      </c>
      <c r="D11" s="1">
        <v>0.4</v>
      </c>
      <c r="E11" s="1">
        <v>0.4</v>
      </c>
    </row>
    <row r="13" spans="1:13" x14ac:dyDescent="0.2">
      <c r="A13" s="1" t="s">
        <v>137</v>
      </c>
      <c r="B13" s="1">
        <v>1.8</v>
      </c>
      <c r="C13" s="1">
        <v>1.8</v>
      </c>
      <c r="D13" s="1">
        <v>2</v>
      </c>
      <c r="E13" s="1" t="s">
        <v>138</v>
      </c>
      <c r="F13" s="1" t="s">
        <v>139</v>
      </c>
    </row>
    <row r="15" spans="1:13" x14ac:dyDescent="0.2">
      <c r="A15" s="1" t="s">
        <v>140</v>
      </c>
      <c r="B15" s="1" t="s">
        <v>112</v>
      </c>
      <c r="C15" s="1" t="s">
        <v>113</v>
      </c>
      <c r="D15" s="1" t="s">
        <v>114</v>
      </c>
      <c r="E15" s="1" t="s">
        <v>118</v>
      </c>
      <c r="F15" s="1" t="s">
        <v>120</v>
      </c>
      <c r="G15" s="1" t="s">
        <v>124</v>
      </c>
    </row>
    <row r="16" spans="1:13" x14ac:dyDescent="0.2">
      <c r="A16" s="1" t="s">
        <v>141</v>
      </c>
      <c r="B16" s="1" t="s">
        <v>142</v>
      </c>
      <c r="C16" s="1" t="s">
        <v>143</v>
      </c>
      <c r="D16" s="1" t="s">
        <v>144</v>
      </c>
      <c r="E16" s="1" t="s">
        <v>145</v>
      </c>
      <c r="F16" s="1" t="s">
        <v>146</v>
      </c>
      <c r="G16" s="1" t="s">
        <v>147</v>
      </c>
    </row>
    <row r="17" spans="1:21" x14ac:dyDescent="0.2">
      <c r="A17" s="1" t="s">
        <v>148</v>
      </c>
      <c r="B17" s="1" t="s">
        <v>149</v>
      </c>
      <c r="C17" s="1" t="s">
        <v>150</v>
      </c>
      <c r="D17" s="1" t="s">
        <v>151</v>
      </c>
      <c r="E17" s="1" t="s">
        <v>152</v>
      </c>
      <c r="F17" s="1" t="s">
        <v>153</v>
      </c>
      <c r="G17" s="1" t="s">
        <v>154</v>
      </c>
    </row>
    <row r="21" spans="1:21" x14ac:dyDescent="0.2">
      <c r="A21" s="1" t="s">
        <v>155</v>
      </c>
      <c r="B21" s="1" t="s">
        <v>156</v>
      </c>
      <c r="C21" s="1" t="s">
        <v>157</v>
      </c>
      <c r="D21" s="1" t="s">
        <v>158</v>
      </c>
      <c r="E21" s="1" t="s">
        <v>159</v>
      </c>
      <c r="F21" s="1" t="s">
        <v>160</v>
      </c>
      <c r="G21" s="1" t="s">
        <v>161</v>
      </c>
      <c r="H21" s="1" t="s">
        <v>162</v>
      </c>
      <c r="I21" s="1" t="s">
        <v>163</v>
      </c>
      <c r="J21" s="1" t="s">
        <v>164</v>
      </c>
      <c r="K21" s="1" t="s">
        <v>165</v>
      </c>
      <c r="L21" s="1" t="s">
        <v>166</v>
      </c>
      <c r="M21" s="1" t="s">
        <v>167</v>
      </c>
      <c r="N21" s="1" t="s">
        <v>168</v>
      </c>
      <c r="O21" s="1" t="s">
        <v>169</v>
      </c>
      <c r="P21" s="1" t="s">
        <v>170</v>
      </c>
      <c r="Q21" s="1" t="s">
        <v>171</v>
      </c>
      <c r="R21" s="1" t="s">
        <v>172</v>
      </c>
      <c r="S21" s="1" t="s">
        <v>173</v>
      </c>
      <c r="T21" s="1" t="s">
        <v>174</v>
      </c>
      <c r="U21" s="1" t="s">
        <v>175</v>
      </c>
    </row>
    <row r="22" spans="1:21" x14ac:dyDescent="0.2">
      <c r="A22" s="1" t="s">
        <v>176</v>
      </c>
      <c r="B22" s="1">
        <v>1</v>
      </c>
      <c r="C22" s="1">
        <v>0.5</v>
      </c>
      <c r="D22" s="1">
        <v>1</v>
      </c>
      <c r="E22" s="1">
        <v>1</v>
      </c>
      <c r="F22" s="1">
        <v>1</v>
      </c>
      <c r="G22" s="1">
        <v>8</v>
      </c>
      <c r="H22" s="1">
        <v>1</v>
      </c>
      <c r="I22" s="1">
        <v>1</v>
      </c>
      <c r="J22" s="1">
        <v>2</v>
      </c>
      <c r="K22" s="1">
        <v>0.75</v>
      </c>
      <c r="L22" s="1">
        <v>1</v>
      </c>
      <c r="M22" s="1">
        <v>1.5</v>
      </c>
      <c r="N22" s="1">
        <v>1</v>
      </c>
      <c r="O22" s="1">
        <v>1</v>
      </c>
      <c r="P22" s="1">
        <v>2</v>
      </c>
      <c r="Q22" s="1">
        <v>1</v>
      </c>
      <c r="R22" s="1">
        <v>1</v>
      </c>
      <c r="S22" s="1">
        <v>1</v>
      </c>
      <c r="T22" s="1">
        <v>50</v>
      </c>
      <c r="U22" s="1">
        <v>1</v>
      </c>
    </row>
    <row r="23" spans="1:21" x14ac:dyDescent="0.2">
      <c r="A23" s="1" t="s">
        <v>177</v>
      </c>
      <c r="B23" s="1">
        <v>0.08</v>
      </c>
      <c r="C23" s="1">
        <v>0.42</v>
      </c>
      <c r="D23" s="1">
        <v>2.94</v>
      </c>
      <c r="E23" s="1">
        <v>0.3</v>
      </c>
      <c r="F23" s="1">
        <v>0.3</v>
      </c>
      <c r="G23" s="1">
        <v>30</v>
      </c>
      <c r="H23" s="1">
        <v>0</v>
      </c>
      <c r="I23" s="1">
        <v>0.36</v>
      </c>
      <c r="J23" s="1">
        <v>1.44</v>
      </c>
      <c r="K23" s="1">
        <v>0.27</v>
      </c>
      <c r="L23" s="1">
        <v>0.54</v>
      </c>
      <c r="M23" s="1">
        <v>1.08</v>
      </c>
      <c r="N23" s="1">
        <v>0.96</v>
      </c>
      <c r="O23" s="1">
        <v>0.72</v>
      </c>
      <c r="P23" s="1">
        <v>2.16</v>
      </c>
      <c r="Q23" s="1">
        <v>0.72</v>
      </c>
      <c r="R23" s="1">
        <v>12</v>
      </c>
      <c r="S23" s="1">
        <v>0.48</v>
      </c>
      <c r="T23" s="1">
        <v>45</v>
      </c>
      <c r="U23" s="1">
        <v>0.9</v>
      </c>
    </row>
    <row r="24" spans="1:2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2">
      <c r="A25" s="1" t="s">
        <v>178</v>
      </c>
      <c r="B25" s="1">
        <v>0</v>
      </c>
      <c r="C25" s="1">
        <v>15</v>
      </c>
      <c r="D25" s="1">
        <v>25</v>
      </c>
      <c r="E25" s="1">
        <v>12</v>
      </c>
      <c r="F25" s="1">
        <v>50</v>
      </c>
      <c r="G25" s="1">
        <v>0</v>
      </c>
      <c r="H25" s="1">
        <v>54.82</v>
      </c>
      <c r="I25" s="1">
        <v>5.76</v>
      </c>
      <c r="J25" s="1">
        <v>5.76</v>
      </c>
      <c r="K25" s="1">
        <v>10.24</v>
      </c>
      <c r="L25" s="1">
        <v>10.24</v>
      </c>
      <c r="M25" s="1">
        <v>10.24</v>
      </c>
      <c r="N25" s="1">
        <v>18</v>
      </c>
      <c r="O25" s="1">
        <v>23.76</v>
      </c>
      <c r="P25" s="1">
        <v>23.76</v>
      </c>
      <c r="Q25" s="1">
        <v>12.96</v>
      </c>
      <c r="R25" s="1">
        <v>45.12</v>
      </c>
      <c r="S25" s="1">
        <v>20.25</v>
      </c>
      <c r="T25" s="1">
        <v>64</v>
      </c>
      <c r="U25" s="1">
        <v>4</v>
      </c>
    </row>
    <row r="28" spans="1:21" x14ac:dyDescent="0.2">
      <c r="A28" s="1" t="s">
        <v>179</v>
      </c>
      <c r="K28" s="1" t="s">
        <v>180</v>
      </c>
    </row>
    <row r="29" spans="1:21" x14ac:dyDescent="0.2">
      <c r="B29" s="1" t="s">
        <v>181</v>
      </c>
      <c r="C29" s="1" t="s">
        <v>182</v>
      </c>
      <c r="E29" s="1" t="s">
        <v>183</v>
      </c>
      <c r="F29" s="1" t="s">
        <v>184</v>
      </c>
      <c r="G29" s="1" t="s">
        <v>185</v>
      </c>
      <c r="I29" s="1" t="s">
        <v>186</v>
      </c>
      <c r="J29" s="1" t="s">
        <v>187</v>
      </c>
      <c r="K29" s="1">
        <v>0</v>
      </c>
      <c r="L29" s="1" t="s">
        <v>188</v>
      </c>
    </row>
    <row r="30" spans="1:21" x14ac:dyDescent="0.2">
      <c r="A30" s="1" t="s">
        <v>189</v>
      </c>
      <c r="B30" s="1" t="s">
        <v>190</v>
      </c>
      <c r="C30" s="1" t="s">
        <v>191</v>
      </c>
      <c r="E30" s="1">
        <f>COS(PI()*24/180)*0.88</f>
        <v>0.8039200027254888</v>
      </c>
      <c r="F30" s="1">
        <f>SIN(PI()*24/180)*0.88</f>
        <v>0.35792824590670413</v>
      </c>
      <c r="G30" s="1">
        <f>5/14</f>
        <v>0.35714285714285715</v>
      </c>
      <c r="I30" s="1">
        <f>0.7+0.125</f>
        <v>0.82499999999999996</v>
      </c>
      <c r="J30" s="1">
        <f>SQRT(MAX(0.88*0.88-I30*I30,0))</f>
        <v>0.30622703995565131</v>
      </c>
      <c r="K30" s="1">
        <f>SQRT(1.33*1.33/0.16/PI()/PI()*K29*K29+J30*J30)</f>
        <v>0.30622703995565131</v>
      </c>
      <c r="L30" s="1">
        <f>ATAN(K30/I30)*180/PI()</f>
        <v>20.364134806317814</v>
      </c>
    </row>
    <row r="31" spans="1:21" x14ac:dyDescent="0.2">
      <c r="A31" s="1" t="s">
        <v>192</v>
      </c>
      <c r="B31" s="1" t="s">
        <v>193</v>
      </c>
      <c r="C31" s="1" t="s">
        <v>194</v>
      </c>
      <c r="E31" s="1">
        <f>COS(PI()*24/180)*0.8</f>
        <v>0.73083636611408076</v>
      </c>
      <c r="F31" s="1">
        <f>SIN(PI()*24/180)*0.8</f>
        <v>0.32538931446064012</v>
      </c>
      <c r="G31" s="1">
        <f>8/25</f>
        <v>0.32</v>
      </c>
    </row>
    <row r="32" spans="1:21" x14ac:dyDescent="0.2">
      <c r="A32" s="1" t="s">
        <v>195</v>
      </c>
      <c r="B32" s="1" t="s">
        <v>196</v>
      </c>
      <c r="C32" s="1" t="s">
        <v>197</v>
      </c>
      <c r="E32" s="1">
        <f>COS(PI()*24/180)*1.451</f>
        <v>1.3255544590394139</v>
      </c>
      <c r="F32" s="1">
        <f>SIN(PI()*24/180)*1.451</f>
        <v>0.590174869102986</v>
      </c>
      <c r="G32" s="1">
        <f>10/17</f>
        <v>0.58823529411764708</v>
      </c>
      <c r="K32" s="1" t="s">
        <v>180</v>
      </c>
    </row>
    <row r="33" spans="1:12" x14ac:dyDescent="0.2">
      <c r="I33" s="1" t="s">
        <v>198</v>
      </c>
      <c r="J33" s="1" t="s">
        <v>199</v>
      </c>
      <c r="K33" s="1">
        <v>0.375</v>
      </c>
      <c r="L33" s="1" t="s">
        <v>188</v>
      </c>
    </row>
    <row r="34" spans="1:12" x14ac:dyDescent="0.2">
      <c r="I34" s="1">
        <f>0.1</f>
        <v>0.1</v>
      </c>
      <c r="J34" s="1">
        <f>SQRT(MAX(0.88*0.88-I34*I34,0))</f>
        <v>0.8742997197757757</v>
      </c>
      <c r="K34" s="1">
        <f>SQRT(11.055625/PI()/PI()*K33*K33+J34*J34)</f>
        <v>0.96016861392082109</v>
      </c>
      <c r="L34" s="1">
        <f>ATAN(K34/J34)*180/PI()</f>
        <v>47.679979039624904</v>
      </c>
    </row>
    <row r="36" spans="1:12" x14ac:dyDescent="0.2">
      <c r="G36" s="1">
        <f>COS(22*PI()/180)*109/6.6</f>
        <v>15.312581840572703</v>
      </c>
      <c r="H36" s="1">
        <f>56.4/67</f>
        <v>0.84179104477611943</v>
      </c>
      <c r="K36" s="1" t="s">
        <v>180</v>
      </c>
    </row>
    <row r="37" spans="1:12" x14ac:dyDescent="0.2">
      <c r="F37" s="1">
        <f>19/24</f>
        <v>0.79166666666666663</v>
      </c>
      <c r="I37" s="1" t="s">
        <v>198</v>
      </c>
      <c r="J37" s="1" t="s">
        <v>186</v>
      </c>
      <c r="K37" s="1">
        <v>0.375</v>
      </c>
      <c r="L37" s="1" t="s">
        <v>188</v>
      </c>
    </row>
    <row r="38" spans="1:12" x14ac:dyDescent="0.2">
      <c r="A38" s="1" t="s">
        <v>200</v>
      </c>
      <c r="I38" s="1">
        <v>0</v>
      </c>
      <c r="J38" s="1">
        <f>1.1-0.12856650352478</f>
        <v>0.97143349647522004</v>
      </c>
      <c r="K38" s="1">
        <f>SQRT(K37*K37+I38*I38)</f>
        <v>0.375</v>
      </c>
      <c r="L38" s="1">
        <f>ATAN(K38/J38)*180/PI()</f>
        <v>21.107957327406918</v>
      </c>
    </row>
    <row r="39" spans="1:12" x14ac:dyDescent="0.2">
      <c r="A39" s="1" t="s">
        <v>201</v>
      </c>
    </row>
    <row r="40" spans="1:12" x14ac:dyDescent="0.2">
      <c r="A40" s="1" t="s">
        <v>202</v>
      </c>
      <c r="G40" s="1">
        <f>ACOS(0.97029572725296)*180/PI()</f>
        <v>13.999999768619997</v>
      </c>
      <c r="H40" s="1">
        <f>5.5*SIN(G40*PI()/180)</f>
        <v>1.330570404247045</v>
      </c>
      <c r="I40" s="1">
        <f>5.5*COS(G40*PI()/180)+0.795</f>
        <v>6.1316264998912802</v>
      </c>
    </row>
    <row r="41" spans="1:12" x14ac:dyDescent="0.2">
      <c r="A41" s="1">
        <f>0.12856650352478+COS(PI()*24/180)*0.88</f>
        <v>0.93248650625026874</v>
      </c>
      <c r="B41" s="1">
        <f>9/13</f>
        <v>0.69230769230769229</v>
      </c>
      <c r="G41" s="1">
        <f>TAN(G40*PI()/180)*(1.191035-0.795)</f>
        <v>9.874261390725278E-2</v>
      </c>
    </row>
    <row r="42" spans="1:12" x14ac:dyDescent="0.2">
      <c r="A42" s="1">
        <f>SQRT(0.88*0.88 - 5*5/14/14)</f>
        <v>0.8042692208407809</v>
      </c>
    </row>
    <row r="43" spans="1:12" x14ac:dyDescent="0.2">
      <c r="A43" s="1">
        <f>0.12856650352478+A42</f>
        <v>0.93283572436556095</v>
      </c>
      <c r="B43" s="1">
        <f>14/15</f>
        <v>0.93333333333333335</v>
      </c>
      <c r="D43" s="1">
        <f>0.795+10/14</f>
        <v>1.5092857142857143</v>
      </c>
    </row>
    <row r="44" spans="1:12" x14ac:dyDescent="0.2">
      <c r="A44" s="1">
        <f>0.12856650352478+0.88</f>
        <v>1.0085665035247799</v>
      </c>
    </row>
    <row r="46" spans="1:12" x14ac:dyDescent="0.2">
      <c r="B46" s="1">
        <v>0.16700000000000001</v>
      </c>
    </row>
  </sheetData>
  <mergeCells count="1">
    <mergeCell ref="G1:G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15AD-5F1E-4146-8C15-33E73E072B8D}">
  <dimension ref="A1:N15"/>
  <sheetViews>
    <sheetView workbookViewId="0">
      <selection activeCell="J6" sqref="J6"/>
    </sheetView>
  </sheetViews>
  <sheetFormatPr defaultRowHeight="14.25" x14ac:dyDescent="0.2"/>
  <cols>
    <col min="1" max="16384" width="9" style="1"/>
  </cols>
  <sheetData>
    <row r="1" spans="1:14" x14ac:dyDescent="0.2">
      <c r="B1" s="1" t="s">
        <v>91</v>
      </c>
      <c r="C1" s="1" t="s">
        <v>92</v>
      </c>
      <c r="D1" s="1" t="s">
        <v>93</v>
      </c>
    </row>
    <row r="2" spans="1:14" x14ac:dyDescent="0.2">
      <c r="A2" s="1" t="s">
        <v>94</v>
      </c>
      <c r="B2" s="1">
        <v>0.52</v>
      </c>
      <c r="C2" s="1">
        <v>0.23300000000000001</v>
      </c>
      <c r="D2" s="1">
        <f>B2-C2</f>
        <v>0.28700000000000003</v>
      </c>
    </row>
    <row r="3" spans="1:14" x14ac:dyDescent="0.2">
      <c r="A3" s="1" t="s">
        <v>95</v>
      </c>
      <c r="B3" s="1">
        <v>1E-3</v>
      </c>
      <c r="C3" s="1">
        <v>1E-3</v>
      </c>
      <c r="D3" s="1">
        <f t="shared" ref="D3:D10" si="0">B3-C3</f>
        <v>0</v>
      </c>
    </row>
    <row r="4" spans="1:14" x14ac:dyDescent="0.2">
      <c r="A4" s="1" t="s">
        <v>96</v>
      </c>
      <c r="B4" s="1">
        <v>0.76400000000000001</v>
      </c>
      <c r="C4" s="1">
        <v>0.501</v>
      </c>
      <c r="D4" s="1">
        <f t="shared" si="0"/>
        <v>0.26300000000000001</v>
      </c>
    </row>
    <row r="5" spans="1:14" x14ac:dyDescent="0.2">
      <c r="A5" s="1" t="s">
        <v>97</v>
      </c>
      <c r="B5" s="1">
        <v>0.17799999999999999</v>
      </c>
      <c r="C5" s="1">
        <v>0.251</v>
      </c>
      <c r="D5" s="1">
        <f t="shared" si="0"/>
        <v>-7.3000000000000009E-2</v>
      </c>
    </row>
    <row r="6" spans="1:14" x14ac:dyDescent="0.2">
      <c r="A6" s="1" t="s">
        <v>98</v>
      </c>
      <c r="B6" s="1">
        <v>0.47099999999999997</v>
      </c>
      <c r="C6" s="1">
        <v>0.61899999999999999</v>
      </c>
      <c r="D6" s="1">
        <f t="shared" si="0"/>
        <v>-0.14800000000000002</v>
      </c>
    </row>
    <row r="7" spans="1:14" x14ac:dyDescent="0.2">
      <c r="A7" s="1" t="s">
        <v>99</v>
      </c>
      <c r="B7" s="1">
        <v>0.64</v>
      </c>
      <c r="C7" s="1">
        <v>0.54500000000000004</v>
      </c>
      <c r="D7" s="1">
        <f t="shared" si="0"/>
        <v>9.4999999999999973E-2</v>
      </c>
    </row>
    <row r="8" spans="1:14" x14ac:dyDescent="0.2">
      <c r="A8" s="1" t="s">
        <v>100</v>
      </c>
      <c r="B8" s="1">
        <v>2.1999999999999999E-2</v>
      </c>
      <c r="C8" s="1">
        <v>4.8000000000000001E-2</v>
      </c>
      <c r="D8" s="1">
        <f t="shared" si="0"/>
        <v>-2.6000000000000002E-2</v>
      </c>
    </row>
    <row r="9" spans="1:14" x14ac:dyDescent="0.2">
      <c r="A9" s="1" t="s">
        <v>101</v>
      </c>
      <c r="B9" s="1">
        <v>0.161</v>
      </c>
      <c r="C9" s="1">
        <v>0.21</v>
      </c>
      <c r="D9" s="1">
        <f t="shared" si="0"/>
        <v>-4.8999999999999988E-2</v>
      </c>
    </row>
    <row r="10" spans="1:14" x14ac:dyDescent="0.2">
      <c r="A10" s="1" t="s">
        <v>102</v>
      </c>
      <c r="B10" s="1">
        <f>SUM(B2:B9)</f>
        <v>2.7570000000000001</v>
      </c>
      <c r="C10" s="1">
        <f>SUM(C2:C9)</f>
        <v>2.4079999999999999</v>
      </c>
      <c r="D10" s="1">
        <f t="shared" si="0"/>
        <v>0.3490000000000002</v>
      </c>
    </row>
    <row r="12" spans="1:14" x14ac:dyDescent="0.2">
      <c r="A12" s="11" t="s">
        <v>103</v>
      </c>
      <c r="B12" s="11"/>
      <c r="C12" s="11"/>
      <c r="D12" s="11"/>
      <c r="E12" s="11"/>
      <c r="F12" s="11"/>
      <c r="G12" s="11"/>
    </row>
    <row r="13" spans="1:14" ht="14.25" customHeight="1" x14ac:dyDescent="0.2">
      <c r="B13" s="12" t="s">
        <v>104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</sheetData>
  <mergeCells count="2">
    <mergeCell ref="A12:G12"/>
    <mergeCell ref="B13:N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topLeftCell="A4" workbookViewId="0">
      <selection activeCell="A60" sqref="A60"/>
    </sheetView>
  </sheetViews>
  <sheetFormatPr defaultRowHeight="14.25" x14ac:dyDescent="0.2"/>
  <cols>
    <col min="1" max="1" width="17.125" style="1" customWidth="1"/>
    <col min="2" max="2" width="14.375" style="1" customWidth="1"/>
    <col min="3" max="3" width="18" style="1" customWidth="1"/>
    <col min="4" max="4" width="16.875" style="1" customWidth="1"/>
    <col min="5" max="8" width="9" style="1"/>
    <col min="9" max="9" width="9.5" style="1" bestFit="1" customWidth="1"/>
    <col min="10" max="10" width="9" style="1"/>
    <col min="11" max="11" width="9" style="1" customWidth="1"/>
    <col min="12" max="14" width="9" style="1"/>
    <col min="15" max="15" width="14.25" style="1" customWidth="1"/>
    <col min="16" max="16" width="14.375" style="1" customWidth="1"/>
    <col min="17" max="17" width="12.375" style="1" customWidth="1"/>
    <col min="18" max="16384" width="9" style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x14ac:dyDescent="0.2">
      <c r="A2" s="1" t="s">
        <v>15</v>
      </c>
      <c r="E2" s="1">
        <v>10</v>
      </c>
    </row>
    <row r="3" spans="1:17" x14ac:dyDescent="0.2">
      <c r="A3" s="1" t="s">
        <v>16</v>
      </c>
      <c r="E3" s="1">
        <v>10</v>
      </c>
      <c r="G3" s="1">
        <v>10</v>
      </c>
      <c r="O3" s="1" t="s">
        <v>15</v>
      </c>
    </row>
    <row r="4" spans="1:17" x14ac:dyDescent="0.2">
      <c r="A4" s="1" t="s">
        <v>17</v>
      </c>
      <c r="I4" s="1">
        <v>200</v>
      </c>
      <c r="O4" s="1" t="s">
        <v>16</v>
      </c>
    </row>
    <row r="5" spans="1:17" x14ac:dyDescent="0.2">
      <c r="A5" s="1" t="s">
        <v>18</v>
      </c>
      <c r="I5" s="1">
        <v>200</v>
      </c>
      <c r="J5" s="1">
        <v>200</v>
      </c>
      <c r="O5" s="1" t="s">
        <v>17</v>
      </c>
      <c r="P5" s="1" t="s">
        <v>19</v>
      </c>
      <c r="Q5" s="1" t="s">
        <v>20</v>
      </c>
    </row>
    <row r="6" spans="1:17" x14ac:dyDescent="0.2">
      <c r="A6" s="1" t="s">
        <v>21</v>
      </c>
      <c r="I6" s="1">
        <v>300</v>
      </c>
      <c r="J6" s="1">
        <v>300</v>
      </c>
      <c r="O6" s="1" t="s">
        <v>18</v>
      </c>
      <c r="P6" s="1" t="s">
        <v>22</v>
      </c>
    </row>
    <row r="7" spans="1:17" x14ac:dyDescent="0.2">
      <c r="A7" s="1" t="s">
        <v>23</v>
      </c>
      <c r="I7" s="1">
        <v>600</v>
      </c>
      <c r="J7" s="1">
        <v>600</v>
      </c>
      <c r="O7" s="1" t="s">
        <v>21</v>
      </c>
    </row>
    <row r="8" spans="1:17" x14ac:dyDescent="0.2">
      <c r="A8" s="1" t="s">
        <v>24</v>
      </c>
      <c r="I8" s="1">
        <v>2000</v>
      </c>
      <c r="J8" s="1">
        <v>2000</v>
      </c>
      <c r="K8" s="1">
        <v>2000</v>
      </c>
      <c r="M8" s="1">
        <v>2000</v>
      </c>
      <c r="O8" s="1" t="s">
        <v>23</v>
      </c>
      <c r="P8" s="1" t="s">
        <v>25</v>
      </c>
      <c r="Q8" s="1" t="s">
        <v>26</v>
      </c>
    </row>
    <row r="9" spans="1:17" x14ac:dyDescent="0.2">
      <c r="A9" s="1" t="s">
        <v>27</v>
      </c>
      <c r="I9" s="1">
        <v>3000</v>
      </c>
      <c r="J9" s="1">
        <v>3000</v>
      </c>
      <c r="K9" s="1">
        <v>750</v>
      </c>
      <c r="L9" s="1">
        <v>750</v>
      </c>
      <c r="M9" s="1">
        <v>1500</v>
      </c>
      <c r="O9" s="1" t="s">
        <v>24</v>
      </c>
    </row>
    <row r="10" spans="1:17" x14ac:dyDescent="0.2">
      <c r="A10" s="1" t="s">
        <v>28</v>
      </c>
      <c r="I10" s="1">
        <v>2000</v>
      </c>
      <c r="J10" s="1">
        <v>2000</v>
      </c>
      <c r="K10" s="1">
        <v>2000</v>
      </c>
      <c r="L10" s="1">
        <v>2000</v>
      </c>
      <c r="M10" s="1">
        <v>2000</v>
      </c>
      <c r="O10" s="1" t="s">
        <v>27</v>
      </c>
    </row>
    <row r="11" spans="1:17" x14ac:dyDescent="0.2">
      <c r="A11" s="1" t="s">
        <v>29</v>
      </c>
      <c r="I11" s="1">
        <v>120</v>
      </c>
      <c r="O11" s="1" t="s">
        <v>30</v>
      </c>
    </row>
    <row r="12" spans="1:17" ht="13.5" customHeight="1" x14ac:dyDescent="0.2">
      <c r="A12" s="1" t="s">
        <v>31</v>
      </c>
      <c r="I12" s="1">
        <v>200</v>
      </c>
      <c r="J12" s="1">
        <v>200</v>
      </c>
      <c r="O12" s="1" t="s">
        <v>29</v>
      </c>
    </row>
    <row r="13" spans="1:17" x14ac:dyDescent="0.2">
      <c r="A13" s="1" t="s">
        <v>20</v>
      </c>
      <c r="F13" s="1">
        <v>10</v>
      </c>
      <c r="G13" s="1">
        <v>10</v>
      </c>
      <c r="O13" s="1" t="s">
        <v>15</v>
      </c>
    </row>
    <row r="14" spans="1:17" x14ac:dyDescent="0.2">
      <c r="A14" s="1" t="s">
        <v>32</v>
      </c>
      <c r="I14" s="1">
        <v>200</v>
      </c>
      <c r="O14" s="1" t="s">
        <v>20</v>
      </c>
    </row>
    <row r="15" spans="1:17" x14ac:dyDescent="0.2">
      <c r="A15" s="1" t="s">
        <v>33</v>
      </c>
      <c r="I15" s="1">
        <v>800</v>
      </c>
      <c r="O15" s="1" t="s">
        <v>32</v>
      </c>
    </row>
    <row r="16" spans="1:17" x14ac:dyDescent="0.2">
      <c r="A16" s="1" t="s">
        <v>34</v>
      </c>
      <c r="C16" s="1">
        <v>20</v>
      </c>
      <c r="D16" s="1">
        <v>20</v>
      </c>
    </row>
    <row r="17" spans="1:16" x14ac:dyDescent="0.2">
      <c r="A17" s="1" t="s">
        <v>35</v>
      </c>
      <c r="I17" s="1">
        <v>100</v>
      </c>
      <c r="J17" s="1">
        <v>100</v>
      </c>
      <c r="O17" s="1" t="s">
        <v>34</v>
      </c>
    </row>
    <row r="18" spans="1:16" x14ac:dyDescent="0.2">
      <c r="A18" s="1" t="s">
        <v>36</v>
      </c>
      <c r="B18" s="1">
        <v>150</v>
      </c>
      <c r="E18" s="1">
        <v>60</v>
      </c>
      <c r="O18" s="1" t="s">
        <v>34</v>
      </c>
    </row>
    <row r="19" spans="1:16" x14ac:dyDescent="0.2">
      <c r="A19" s="1" t="s">
        <v>37</v>
      </c>
      <c r="I19" s="1">
        <v>200</v>
      </c>
      <c r="J19" s="1">
        <v>200</v>
      </c>
      <c r="O19" s="1" t="s">
        <v>36</v>
      </c>
      <c r="P19" s="1" t="s">
        <v>35</v>
      </c>
    </row>
    <row r="20" spans="1:16" x14ac:dyDescent="0.2">
      <c r="A20" s="1" t="s">
        <v>38</v>
      </c>
      <c r="I20" s="1">
        <v>50</v>
      </c>
      <c r="O20" s="1" t="s">
        <v>15</v>
      </c>
    </row>
    <row r="21" spans="1:16" x14ac:dyDescent="0.2">
      <c r="A21" s="1" t="s">
        <v>39</v>
      </c>
      <c r="I21" s="1">
        <v>50</v>
      </c>
      <c r="O21" s="1" t="s">
        <v>15</v>
      </c>
    </row>
    <row r="22" spans="1:16" x14ac:dyDescent="0.2">
      <c r="A22" s="1" t="s">
        <v>40</v>
      </c>
      <c r="I22" s="1">
        <v>100</v>
      </c>
      <c r="O22" s="1" t="s">
        <v>38</v>
      </c>
      <c r="P22" s="1" t="s">
        <v>39</v>
      </c>
    </row>
    <row r="23" spans="1:16" x14ac:dyDescent="0.2">
      <c r="A23" s="1" t="s">
        <v>41</v>
      </c>
      <c r="I23" s="1">
        <v>200</v>
      </c>
      <c r="O23" s="1" t="s">
        <v>40</v>
      </c>
    </row>
    <row r="24" spans="1:16" x14ac:dyDescent="0.2">
      <c r="A24" s="1" t="s">
        <v>42</v>
      </c>
      <c r="I24" s="1">
        <v>200</v>
      </c>
      <c r="O24" s="1" t="s">
        <v>40</v>
      </c>
    </row>
    <row r="25" spans="1:16" x14ac:dyDescent="0.2">
      <c r="A25" s="1" t="s">
        <v>43</v>
      </c>
      <c r="I25" s="1">
        <v>400</v>
      </c>
      <c r="J25" s="1">
        <v>400</v>
      </c>
      <c r="O25" s="1" t="s">
        <v>42</v>
      </c>
    </row>
    <row r="26" spans="1:16" x14ac:dyDescent="0.2">
      <c r="A26" s="1" t="s">
        <v>44</v>
      </c>
      <c r="I26" s="1">
        <v>600</v>
      </c>
      <c r="J26" s="1">
        <v>600</v>
      </c>
      <c r="O26" s="1" t="s">
        <v>43</v>
      </c>
    </row>
    <row r="27" spans="1:16" x14ac:dyDescent="0.2">
      <c r="A27" s="1" t="s">
        <v>45</v>
      </c>
      <c r="I27" s="1">
        <v>800</v>
      </c>
      <c r="J27" s="1">
        <v>800</v>
      </c>
      <c r="O27" s="1" t="s">
        <v>46</v>
      </c>
    </row>
    <row r="28" spans="1:16" x14ac:dyDescent="0.2">
      <c r="A28" s="1" t="s">
        <v>47</v>
      </c>
      <c r="I28" s="1">
        <v>800</v>
      </c>
      <c r="J28" s="1">
        <v>800</v>
      </c>
      <c r="K28" s="1">
        <v>800</v>
      </c>
      <c r="O28" s="1" t="s">
        <v>45</v>
      </c>
    </row>
    <row r="29" spans="1:16" x14ac:dyDescent="0.2">
      <c r="A29" s="1" t="s">
        <v>48</v>
      </c>
      <c r="I29" s="1">
        <v>1000</v>
      </c>
      <c r="J29" s="1">
        <v>1000</v>
      </c>
      <c r="K29" s="1">
        <v>1000</v>
      </c>
      <c r="O29" s="1" t="s">
        <v>47</v>
      </c>
    </row>
    <row r="30" spans="1:16" x14ac:dyDescent="0.2">
      <c r="A30" s="1" t="s">
        <v>25</v>
      </c>
      <c r="I30" s="1">
        <v>1200</v>
      </c>
      <c r="J30" s="1">
        <v>1200</v>
      </c>
      <c r="K30" s="1">
        <v>1200</v>
      </c>
      <c r="O30" s="1" t="s">
        <v>48</v>
      </c>
      <c r="P30" s="1" t="s">
        <v>49</v>
      </c>
    </row>
    <row r="31" spans="1:16" x14ac:dyDescent="0.2">
      <c r="A31" s="1" t="s">
        <v>50</v>
      </c>
      <c r="I31" s="1">
        <v>800</v>
      </c>
      <c r="J31" s="1">
        <v>800</v>
      </c>
      <c r="K31" s="1">
        <v>800</v>
      </c>
      <c r="O31" s="1" t="s">
        <v>45</v>
      </c>
    </row>
    <row r="32" spans="1:16" x14ac:dyDescent="0.2">
      <c r="A32" s="1" t="s">
        <v>51</v>
      </c>
      <c r="I32" s="1">
        <v>400</v>
      </c>
      <c r="O32" s="1" t="s">
        <v>42</v>
      </c>
    </row>
    <row r="33" spans="1:17" x14ac:dyDescent="0.2">
      <c r="A33" s="1" t="s">
        <v>52</v>
      </c>
      <c r="J33" s="1">
        <v>600</v>
      </c>
      <c r="K33" s="1">
        <v>150</v>
      </c>
      <c r="O33" s="1" t="s">
        <v>51</v>
      </c>
    </row>
    <row r="34" spans="1:17" x14ac:dyDescent="0.2">
      <c r="A34" s="1" t="s">
        <v>53</v>
      </c>
      <c r="J34" s="1">
        <v>800</v>
      </c>
      <c r="K34" s="1">
        <v>400</v>
      </c>
      <c r="O34" s="1" t="s">
        <v>52</v>
      </c>
      <c r="Q34" s="1" t="s">
        <v>54</v>
      </c>
    </row>
    <row r="35" spans="1:17" x14ac:dyDescent="0.2">
      <c r="A35" s="1" t="s">
        <v>55</v>
      </c>
      <c r="I35" s="1">
        <v>800</v>
      </c>
      <c r="J35" s="1">
        <v>800</v>
      </c>
      <c r="K35" s="1">
        <v>200</v>
      </c>
      <c r="O35" s="1" t="s">
        <v>52</v>
      </c>
    </row>
    <row r="36" spans="1:17" x14ac:dyDescent="0.2">
      <c r="A36" s="1" t="s">
        <v>54</v>
      </c>
      <c r="I36" s="1">
        <v>800</v>
      </c>
      <c r="J36" s="1">
        <v>800</v>
      </c>
      <c r="O36" s="1" t="s">
        <v>55</v>
      </c>
      <c r="P36" s="1" t="s">
        <v>33</v>
      </c>
    </row>
    <row r="37" spans="1:17" x14ac:dyDescent="0.2">
      <c r="A37" s="1" t="s">
        <v>56</v>
      </c>
      <c r="I37" s="1">
        <v>1200</v>
      </c>
      <c r="J37" s="1">
        <v>200</v>
      </c>
      <c r="L37" s="1">
        <v>200</v>
      </c>
      <c r="O37" s="1" t="s">
        <v>53</v>
      </c>
      <c r="P37" s="1" t="s">
        <v>50</v>
      </c>
    </row>
    <row r="38" spans="1:17" x14ac:dyDescent="0.2">
      <c r="A38" s="1" t="s">
        <v>57</v>
      </c>
      <c r="I38" s="1">
        <v>800</v>
      </c>
      <c r="J38" s="1">
        <v>800</v>
      </c>
      <c r="L38" s="1">
        <v>800</v>
      </c>
      <c r="O38" s="1" t="s">
        <v>56</v>
      </c>
      <c r="P38" s="1" t="s">
        <v>54</v>
      </c>
    </row>
    <row r="39" spans="1:17" x14ac:dyDescent="0.2">
      <c r="A39" s="1" t="s">
        <v>26</v>
      </c>
      <c r="I39" s="1">
        <v>1600</v>
      </c>
      <c r="J39" s="1">
        <v>1600</v>
      </c>
      <c r="K39" s="1">
        <v>1600</v>
      </c>
      <c r="O39" s="1" t="s">
        <v>57</v>
      </c>
    </row>
    <row r="40" spans="1:17" x14ac:dyDescent="0.2">
      <c r="A40" s="1" t="s">
        <v>58</v>
      </c>
      <c r="I40" s="1">
        <v>50</v>
      </c>
      <c r="O40" s="1" t="s">
        <v>15</v>
      </c>
    </row>
    <row r="41" spans="1:17" x14ac:dyDescent="0.2">
      <c r="A41" s="1" t="s">
        <v>59</v>
      </c>
      <c r="I41" s="1">
        <v>400</v>
      </c>
      <c r="J41" s="1">
        <v>100</v>
      </c>
      <c r="O41" s="1" t="s">
        <v>58</v>
      </c>
    </row>
    <row r="42" spans="1:17" ht="13.5" customHeight="1" x14ac:dyDescent="0.2">
      <c r="A42" s="1" t="s">
        <v>22</v>
      </c>
      <c r="I42" s="1">
        <v>1000</v>
      </c>
      <c r="J42" s="1">
        <v>250</v>
      </c>
      <c r="O42" s="1" t="s">
        <v>59</v>
      </c>
    </row>
    <row r="43" spans="1:17" x14ac:dyDescent="0.2">
      <c r="A43" s="1" t="s">
        <v>49</v>
      </c>
      <c r="I43" s="1">
        <v>1600</v>
      </c>
      <c r="J43" s="1">
        <v>800</v>
      </c>
      <c r="O43" s="1" t="s">
        <v>59</v>
      </c>
    </row>
    <row r="44" spans="1:17" x14ac:dyDescent="0.2">
      <c r="A44" s="1" t="s">
        <v>30</v>
      </c>
      <c r="E44" s="1">
        <v>10</v>
      </c>
      <c r="G44" s="1">
        <v>10</v>
      </c>
      <c r="O44" s="1" t="s">
        <v>15</v>
      </c>
    </row>
    <row r="45" spans="1:17" x14ac:dyDescent="0.2">
      <c r="A45" s="1" t="s">
        <v>19</v>
      </c>
      <c r="I45" s="1">
        <v>100</v>
      </c>
      <c r="O45" s="1" t="s">
        <v>30</v>
      </c>
    </row>
    <row r="46" spans="1:17" x14ac:dyDescent="0.2">
      <c r="A46" s="1" t="s">
        <v>46</v>
      </c>
      <c r="I46" s="1">
        <v>500</v>
      </c>
      <c r="J46" s="1">
        <v>500</v>
      </c>
      <c r="O46" s="1" t="s">
        <v>19</v>
      </c>
    </row>
    <row r="47" spans="1:17" x14ac:dyDescent="0.2">
      <c r="A47" s="1" t="s">
        <v>60</v>
      </c>
      <c r="N47" s="1">
        <v>4000</v>
      </c>
      <c r="O47" s="1" t="s">
        <v>28</v>
      </c>
    </row>
    <row r="48" spans="1:17" x14ac:dyDescent="0.2">
      <c r="A48" s="1" t="s">
        <v>61</v>
      </c>
      <c r="I48" s="1">
        <v>800</v>
      </c>
      <c r="J48" s="1">
        <v>800</v>
      </c>
      <c r="K48" s="1">
        <v>80</v>
      </c>
      <c r="O48" s="1" t="s">
        <v>31</v>
      </c>
    </row>
    <row r="49" spans="1:16" x14ac:dyDescent="0.2">
      <c r="A49" s="1" t="s">
        <v>230</v>
      </c>
      <c r="C49" s="1">
        <v>360</v>
      </c>
      <c r="G49" s="1">
        <v>120</v>
      </c>
    </row>
    <row r="50" spans="1:16" x14ac:dyDescent="0.2">
      <c r="A50" s="1" t="s">
        <v>231</v>
      </c>
      <c r="I50" s="1">
        <v>200</v>
      </c>
      <c r="J50" s="1">
        <v>200</v>
      </c>
    </row>
    <row r="51" spans="1:16" x14ac:dyDescent="0.2">
      <c r="A51" s="1" t="s">
        <v>64</v>
      </c>
      <c r="F51" s="1">
        <v>10</v>
      </c>
      <c r="G51" s="1">
        <v>10</v>
      </c>
      <c r="O51" s="1" t="s">
        <v>15</v>
      </c>
    </row>
    <row r="52" spans="1:16" x14ac:dyDescent="0.2">
      <c r="A52" s="1" t="s">
        <v>62</v>
      </c>
      <c r="B52" s="1">
        <f t="shared" ref="B52:E52" si="0">SUM(B2:B51)</f>
        <v>150</v>
      </c>
      <c r="C52" s="1">
        <f t="shared" si="0"/>
        <v>380</v>
      </c>
      <c r="D52" s="1">
        <f t="shared" si="0"/>
        <v>20</v>
      </c>
      <c r="E52" s="1">
        <f t="shared" si="0"/>
        <v>90</v>
      </c>
      <c r="F52" s="1">
        <f>SUM(F2:F51)</f>
        <v>20</v>
      </c>
      <c r="G52" s="1">
        <f t="shared" ref="G52:N52" si="1">SUM(G2:G51)</f>
        <v>160</v>
      </c>
      <c r="H52" s="1">
        <f t="shared" si="1"/>
        <v>0</v>
      </c>
      <c r="I52" s="1">
        <f t="shared" si="1"/>
        <v>26370</v>
      </c>
      <c r="J52" s="1">
        <f t="shared" si="1"/>
        <v>22450</v>
      </c>
      <c r="K52" s="1">
        <f t="shared" si="1"/>
        <v>10980</v>
      </c>
      <c r="L52" s="1">
        <f t="shared" si="1"/>
        <v>3750</v>
      </c>
      <c r="M52" s="1">
        <f t="shared" si="1"/>
        <v>5500</v>
      </c>
      <c r="N52" s="1">
        <f t="shared" si="1"/>
        <v>4000</v>
      </c>
    </row>
    <row r="53" spans="1:16" x14ac:dyDescent="0.2"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1" t="s">
        <v>11</v>
      </c>
      <c r="M53" s="1" t="s">
        <v>12</v>
      </c>
      <c r="N53" s="1" t="s">
        <v>13</v>
      </c>
    </row>
    <row r="54" spans="1:16" x14ac:dyDescent="0.2">
      <c r="A54" s="11" t="s">
        <v>63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7" spans="1:16" x14ac:dyDescent="0.2">
      <c r="A57" s="1" t="s">
        <v>65</v>
      </c>
      <c r="G57" s="1">
        <v>100</v>
      </c>
      <c r="O57" s="1" t="s">
        <v>15</v>
      </c>
    </row>
    <row r="58" spans="1:16" x14ac:dyDescent="0.2">
      <c r="A58" s="1" t="s">
        <v>66</v>
      </c>
      <c r="I58" s="1">
        <v>200</v>
      </c>
      <c r="O58" s="1" t="s">
        <v>38</v>
      </c>
    </row>
    <row r="59" spans="1:16" x14ac:dyDescent="0.2">
      <c r="A59" s="1" t="s">
        <v>67</v>
      </c>
      <c r="I59" s="1">
        <v>800</v>
      </c>
      <c r="J59" s="1">
        <v>600</v>
      </c>
      <c r="O59" s="1" t="s">
        <v>66</v>
      </c>
      <c r="P59" s="1" t="s">
        <v>46</v>
      </c>
    </row>
    <row r="60" spans="1:16" x14ac:dyDescent="0.2">
      <c r="A60" s="1" t="s">
        <v>68</v>
      </c>
      <c r="I60" s="1">
        <v>800</v>
      </c>
      <c r="J60" s="1">
        <v>600</v>
      </c>
      <c r="K60" s="1">
        <v>400</v>
      </c>
      <c r="O60" s="1" t="s">
        <v>67</v>
      </c>
      <c r="P60" s="1" t="s">
        <v>52</v>
      </c>
    </row>
    <row r="61" spans="1:16" s="2" customFormat="1" x14ac:dyDescent="0.2">
      <c r="A61" s="1" t="s">
        <v>69</v>
      </c>
      <c r="B61" s="1"/>
      <c r="C61" s="1"/>
      <c r="D61" s="1"/>
      <c r="E61" s="1"/>
      <c r="F61" s="1"/>
      <c r="G61" s="1"/>
      <c r="H61" s="1"/>
      <c r="I61" s="1">
        <v>30</v>
      </c>
      <c r="J61" s="1"/>
      <c r="K61" s="1"/>
      <c r="L61" s="1"/>
      <c r="M61" s="1"/>
      <c r="N61" s="1"/>
      <c r="O61" s="1" t="s">
        <v>20</v>
      </c>
      <c r="P61" s="1"/>
    </row>
    <row r="62" spans="1:16" x14ac:dyDescent="0.2">
      <c r="A62" s="1" t="s">
        <v>70</v>
      </c>
      <c r="I62" s="1">
        <v>200</v>
      </c>
      <c r="J62" s="1">
        <v>300</v>
      </c>
      <c r="O62" s="1" t="s">
        <v>69</v>
      </c>
      <c r="P62" s="1" t="s">
        <v>38</v>
      </c>
    </row>
    <row r="63" spans="1:16" x14ac:dyDescent="0.2">
      <c r="A63" s="2" t="s">
        <v>71</v>
      </c>
      <c r="B63" s="2"/>
      <c r="C63" s="2"/>
      <c r="D63" s="2"/>
      <c r="E63" s="2"/>
      <c r="F63" s="2"/>
      <c r="G63" s="2"/>
      <c r="H63" s="2"/>
      <c r="I63" s="2">
        <v>1000</v>
      </c>
      <c r="J63" s="2">
        <v>500</v>
      </c>
      <c r="K63" s="2">
        <v>250</v>
      </c>
      <c r="L63" s="2"/>
      <c r="M63" s="2"/>
      <c r="N63" s="2"/>
      <c r="O63" s="2" t="s">
        <v>70</v>
      </c>
      <c r="P63" s="2" t="s">
        <v>61</v>
      </c>
    </row>
    <row r="64" spans="1:16" x14ac:dyDescent="0.2">
      <c r="A64" s="1" t="s">
        <v>72</v>
      </c>
      <c r="I64" s="1">
        <v>100</v>
      </c>
      <c r="O64" s="1" t="s">
        <v>64</v>
      </c>
    </row>
    <row r="65" spans="1:16" x14ac:dyDescent="0.2">
      <c r="A65" s="1" t="s">
        <v>73</v>
      </c>
      <c r="I65" s="1">
        <v>400</v>
      </c>
      <c r="J65" s="1">
        <v>100</v>
      </c>
      <c r="O65" s="1" t="s">
        <v>72</v>
      </c>
    </row>
    <row r="66" spans="1:16" x14ac:dyDescent="0.2">
      <c r="A66" s="1" t="s">
        <v>74</v>
      </c>
      <c r="J66" s="1">
        <v>400</v>
      </c>
      <c r="O66" s="1" t="s">
        <v>41</v>
      </c>
    </row>
    <row r="67" spans="1:16" x14ac:dyDescent="0.2">
      <c r="A67" s="1" t="s">
        <v>75</v>
      </c>
      <c r="J67" s="1">
        <v>1000</v>
      </c>
      <c r="O67" s="1" t="s">
        <v>74</v>
      </c>
    </row>
    <row r="68" spans="1:16" x14ac:dyDescent="0.2">
      <c r="A68" s="1" t="s">
        <v>76</v>
      </c>
      <c r="J68" s="1">
        <v>400</v>
      </c>
    </row>
    <row r="69" spans="1:16" x14ac:dyDescent="0.2">
      <c r="A69" s="1" t="s">
        <v>77</v>
      </c>
      <c r="I69" s="1">
        <v>800</v>
      </c>
      <c r="J69" s="1">
        <v>400</v>
      </c>
      <c r="O69" s="1" t="s">
        <v>76</v>
      </c>
      <c r="P69" s="1" t="s">
        <v>75</v>
      </c>
    </row>
    <row r="70" spans="1:16" x14ac:dyDescent="0.2">
      <c r="A70" s="1" t="s">
        <v>78</v>
      </c>
      <c r="J70" s="1">
        <v>1600</v>
      </c>
      <c r="O70" s="1" t="s">
        <v>75</v>
      </c>
    </row>
    <row r="71" spans="1:16" x14ac:dyDescent="0.2">
      <c r="A71" s="1" t="s">
        <v>79</v>
      </c>
      <c r="I71" s="1">
        <v>1200</v>
      </c>
      <c r="J71" s="1">
        <v>1200</v>
      </c>
      <c r="K71" s="1">
        <v>120</v>
      </c>
      <c r="O71" s="1" t="s">
        <v>78</v>
      </c>
    </row>
    <row r="72" spans="1:16" x14ac:dyDescent="0.2">
      <c r="A72" s="1" t="s">
        <v>80</v>
      </c>
      <c r="I72" s="1">
        <v>600</v>
      </c>
      <c r="J72" s="1">
        <v>600</v>
      </c>
      <c r="O72" s="1" t="s">
        <v>17</v>
      </c>
      <c r="P72" s="1" t="s">
        <v>46</v>
      </c>
    </row>
    <row r="73" spans="1:16" x14ac:dyDescent="0.2">
      <c r="A73" s="1" t="s">
        <v>81</v>
      </c>
      <c r="I73" s="1">
        <v>1200</v>
      </c>
      <c r="J73" s="1">
        <v>1200</v>
      </c>
      <c r="K73" s="1">
        <v>120</v>
      </c>
      <c r="O73" s="1" t="s">
        <v>82</v>
      </c>
      <c r="P73" s="1" t="s">
        <v>80</v>
      </c>
    </row>
    <row r="74" spans="1:16" x14ac:dyDescent="0.2">
      <c r="A74" s="1" t="s">
        <v>83</v>
      </c>
      <c r="I74" s="1">
        <v>1200</v>
      </c>
      <c r="J74" s="1">
        <v>1200</v>
      </c>
      <c r="K74" s="1">
        <v>1200</v>
      </c>
      <c r="O74" s="1" t="s">
        <v>81</v>
      </c>
      <c r="P74" s="1" t="s">
        <v>79</v>
      </c>
    </row>
    <row r="75" spans="1:16" s="2" customFormat="1" x14ac:dyDescent="0.2">
      <c r="A75" s="2" t="s">
        <v>84</v>
      </c>
      <c r="I75" s="2">
        <v>300</v>
      </c>
      <c r="J75" s="2">
        <v>300</v>
      </c>
      <c r="K75" s="2">
        <v>300</v>
      </c>
      <c r="O75" s="2" t="s">
        <v>35</v>
      </c>
    </row>
    <row r="76" spans="1:16" s="2" customFormat="1" x14ac:dyDescent="0.2">
      <c r="A76" s="2" t="s">
        <v>85</v>
      </c>
      <c r="I76" s="2">
        <v>500</v>
      </c>
      <c r="J76" s="2">
        <v>500</v>
      </c>
      <c r="K76" s="2">
        <v>500</v>
      </c>
      <c r="L76" s="2">
        <v>500</v>
      </c>
      <c r="O76" s="2" t="s">
        <v>84</v>
      </c>
    </row>
    <row r="77" spans="1:16" s="3" customFormat="1" x14ac:dyDescent="0.2">
      <c r="A77" s="2" t="s">
        <v>86</v>
      </c>
      <c r="B77" s="2"/>
      <c r="C77" s="2"/>
      <c r="D77" s="2"/>
      <c r="E77" s="2"/>
      <c r="F77" s="2"/>
      <c r="G77" s="2"/>
      <c r="H77" s="2"/>
      <c r="I77" s="2">
        <v>1000</v>
      </c>
      <c r="J77" s="2">
        <v>1000</v>
      </c>
      <c r="K77" s="2">
        <v>1000</v>
      </c>
      <c r="L77" s="2"/>
      <c r="M77" s="2"/>
      <c r="N77" s="2"/>
      <c r="O77" s="2" t="s">
        <v>84</v>
      </c>
      <c r="P77" s="2"/>
    </row>
    <row r="78" spans="1:16" s="3" customFormat="1" x14ac:dyDescent="0.2">
      <c r="A78" s="2" t="s">
        <v>87</v>
      </c>
      <c r="B78" s="2"/>
      <c r="C78" s="2"/>
      <c r="D78" s="2"/>
      <c r="E78" s="2"/>
      <c r="F78" s="2"/>
      <c r="G78" s="2"/>
      <c r="H78" s="2"/>
      <c r="I78" s="2">
        <v>2000</v>
      </c>
      <c r="J78" s="2">
        <v>2000</v>
      </c>
      <c r="K78" s="2">
        <v>2000</v>
      </c>
      <c r="L78" s="2"/>
      <c r="M78" s="2"/>
      <c r="N78" s="2"/>
      <c r="O78" s="2" t="s">
        <v>86</v>
      </c>
      <c r="P78" s="2" t="s">
        <v>84</v>
      </c>
    </row>
    <row r="79" spans="1:16" s="2" customFormat="1" x14ac:dyDescent="0.2">
      <c r="A79" s="2" t="s">
        <v>88</v>
      </c>
      <c r="I79" s="2">
        <v>600</v>
      </c>
      <c r="J79" s="2">
        <v>600</v>
      </c>
      <c r="K79" s="2">
        <v>600</v>
      </c>
    </row>
    <row r="80" spans="1:16" x14ac:dyDescent="0.2">
      <c r="A80" s="2" t="s">
        <v>89</v>
      </c>
      <c r="B80" s="2"/>
      <c r="C80" s="2"/>
      <c r="D80" s="2"/>
      <c r="E80" s="2"/>
      <c r="F80" s="2"/>
      <c r="G80" s="2"/>
      <c r="H80" s="2"/>
      <c r="I80" s="2">
        <v>800</v>
      </c>
      <c r="J80" s="2">
        <v>800</v>
      </c>
      <c r="K80" s="2">
        <v>800</v>
      </c>
      <c r="L80" s="2"/>
      <c r="M80" s="2"/>
      <c r="N80" s="2"/>
      <c r="O80" s="2" t="s">
        <v>88</v>
      </c>
      <c r="P80" s="2"/>
    </row>
    <row r="81" spans="1:16" x14ac:dyDescent="0.2">
      <c r="A81" s="2" t="s">
        <v>90</v>
      </c>
      <c r="B81" s="2"/>
      <c r="C81" s="2"/>
      <c r="D81" s="2"/>
      <c r="E81" s="2"/>
      <c r="F81" s="2"/>
      <c r="G81" s="2"/>
      <c r="H81" s="2"/>
      <c r="I81" s="2">
        <v>1000</v>
      </c>
      <c r="J81" s="2">
        <v>1000</v>
      </c>
      <c r="K81" s="2">
        <v>1000</v>
      </c>
      <c r="L81" s="2"/>
      <c r="M81" s="2"/>
      <c r="N81" s="2"/>
      <c r="O81" s="2" t="s">
        <v>89</v>
      </c>
      <c r="P81" s="2"/>
    </row>
    <row r="82" spans="1:16" x14ac:dyDescent="0.2">
      <c r="B82" s="1">
        <f t="shared" ref="B82:N82" si="2">B52+SUM(B51:B81)</f>
        <v>300</v>
      </c>
      <c r="C82" s="1">
        <f t="shared" si="2"/>
        <v>760</v>
      </c>
      <c r="D82" s="1">
        <f t="shared" si="2"/>
        <v>40</v>
      </c>
      <c r="E82" s="1">
        <f t="shared" si="2"/>
        <v>180</v>
      </c>
      <c r="F82" s="1">
        <f t="shared" si="2"/>
        <v>50</v>
      </c>
      <c r="G82" s="1">
        <f t="shared" si="2"/>
        <v>430</v>
      </c>
      <c r="H82" s="1">
        <f t="shared" si="2"/>
        <v>0</v>
      </c>
      <c r="I82" s="1">
        <f t="shared" si="2"/>
        <v>67470</v>
      </c>
      <c r="J82" s="1">
        <f>J52+SUM(J51:J81)</f>
        <v>61200</v>
      </c>
      <c r="K82" s="1">
        <f t="shared" si="2"/>
        <v>30250</v>
      </c>
      <c r="L82" s="1">
        <f t="shared" si="2"/>
        <v>8000</v>
      </c>
      <c r="M82" s="1">
        <f t="shared" si="2"/>
        <v>11000</v>
      </c>
      <c r="N82" s="1">
        <f t="shared" si="2"/>
        <v>8000</v>
      </c>
    </row>
    <row r="83" spans="1:16" x14ac:dyDescent="0.2">
      <c r="A83" s="1" t="s">
        <v>62</v>
      </c>
      <c r="B83" s="1" t="s">
        <v>1</v>
      </c>
      <c r="C83" s="1" t="s">
        <v>2</v>
      </c>
      <c r="D83" s="1" t="s">
        <v>3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  <c r="K83" s="1" t="s">
        <v>10</v>
      </c>
      <c r="L83" s="1" t="s">
        <v>11</v>
      </c>
      <c r="M83" s="1" t="s">
        <v>12</v>
      </c>
      <c r="N83" s="1" t="s">
        <v>13</v>
      </c>
    </row>
    <row r="87" spans="1:16" x14ac:dyDescent="0.2">
      <c r="B87" s="1" t="s">
        <v>8</v>
      </c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</row>
    <row r="88" spans="1:16" x14ac:dyDescent="0.2">
      <c r="B88" s="1">
        <v>26370</v>
      </c>
      <c r="C88" s="1">
        <v>22450</v>
      </c>
      <c r="D88" s="1">
        <v>10980</v>
      </c>
      <c r="E88" s="1">
        <v>3750</v>
      </c>
      <c r="F88" s="1">
        <v>5500</v>
      </c>
      <c r="G88" s="1">
        <v>4000</v>
      </c>
    </row>
    <row r="89" spans="1:16" x14ac:dyDescent="0.2">
      <c r="B89" s="1">
        <v>26370</v>
      </c>
      <c r="C89" s="1">
        <f>C88/1.2</f>
        <v>18708.333333333336</v>
      </c>
      <c r="D89" s="1">
        <f>D88/1.2</f>
        <v>9150</v>
      </c>
      <c r="E89" s="1">
        <f t="shared" ref="E89:F89" si="3">E88*0.8</f>
        <v>3000</v>
      </c>
      <c r="F89" s="1">
        <f t="shared" si="3"/>
        <v>4400</v>
      </c>
      <c r="G89" s="1">
        <f>G88*0.8</f>
        <v>3200</v>
      </c>
    </row>
    <row r="90" spans="1:16" x14ac:dyDescent="0.2">
      <c r="B90" s="1">
        <v>30000</v>
      </c>
      <c r="C90" s="1">
        <v>21000</v>
      </c>
      <c r="D90" s="1">
        <v>12000</v>
      </c>
      <c r="E90" s="1">
        <v>6000</v>
      </c>
      <c r="F90" s="1">
        <v>7000</v>
      </c>
    </row>
    <row r="91" spans="1:16" x14ac:dyDescent="0.2">
      <c r="A91" s="1" t="s">
        <v>291</v>
      </c>
      <c r="B91" s="1">
        <v>360</v>
      </c>
      <c r="C91" s="1">
        <v>240</v>
      </c>
      <c r="D91" s="1">
        <v>180</v>
      </c>
      <c r="E91" s="1">
        <v>180</v>
      </c>
      <c r="F91" s="1">
        <v>360</v>
      </c>
    </row>
    <row r="92" spans="1:16" x14ac:dyDescent="0.2">
      <c r="A92" s="1" t="s">
        <v>292</v>
      </c>
      <c r="B92" s="1">
        <f>B90/360</f>
        <v>83.333333333333329</v>
      </c>
      <c r="C92" s="1">
        <f>C90/240</f>
        <v>87.5</v>
      </c>
      <c r="D92" s="1">
        <f>D90/180</f>
        <v>66.666666666666671</v>
      </c>
      <c r="E92" s="1">
        <f>E90/180</f>
        <v>33.333333333333336</v>
      </c>
      <c r="F92" s="1">
        <f>F90/360</f>
        <v>19.444444444444443</v>
      </c>
    </row>
    <row r="94" spans="1:16" x14ac:dyDescent="0.2">
      <c r="A94" s="1" t="s">
        <v>233</v>
      </c>
      <c r="B94" s="1" t="s">
        <v>234</v>
      </c>
    </row>
    <row r="95" spans="1:16" x14ac:dyDescent="0.2">
      <c r="A95" s="1" t="s">
        <v>235</v>
      </c>
      <c r="B95" s="1" t="s">
        <v>236</v>
      </c>
    </row>
    <row r="96" spans="1:16" x14ac:dyDescent="0.2">
      <c r="A96" s="1" t="s">
        <v>237</v>
      </c>
      <c r="B96" s="1" t="s">
        <v>232</v>
      </c>
    </row>
    <row r="97" spans="1:14" x14ac:dyDescent="0.2">
      <c r="A97" s="1" t="s">
        <v>238</v>
      </c>
      <c r="B97" s="1" t="s">
        <v>239</v>
      </c>
    </row>
    <row r="98" spans="1:14" x14ac:dyDescent="0.2">
      <c r="A98" s="1" t="s">
        <v>240</v>
      </c>
      <c r="B98" s="1" t="s">
        <v>241</v>
      </c>
    </row>
    <row r="99" spans="1:14" x14ac:dyDescent="0.2">
      <c r="A99" s="1" t="s">
        <v>242</v>
      </c>
      <c r="B99" s="1" t="s">
        <v>243</v>
      </c>
      <c r="I99" s="1" t="s">
        <v>293</v>
      </c>
      <c r="J99" s="1" t="s">
        <v>294</v>
      </c>
      <c r="K99" s="11" t="s">
        <v>295</v>
      </c>
      <c r="L99" s="11"/>
      <c r="M99" s="11"/>
      <c r="N99" s="11"/>
    </row>
    <row r="100" spans="1:14" x14ac:dyDescent="0.2">
      <c r="A100" s="1" t="s">
        <v>244</v>
      </c>
      <c r="B100" s="1" t="s">
        <v>245</v>
      </c>
      <c r="I100" s="1">
        <v>26155667</v>
      </c>
      <c r="J100" s="1">
        <v>3</v>
      </c>
      <c r="K100" s="11" t="s">
        <v>296</v>
      </c>
      <c r="L100" s="11"/>
      <c r="M100" s="11"/>
      <c r="N100" s="11"/>
    </row>
    <row r="101" spans="1:14" x14ac:dyDescent="0.2">
      <c r="A101" s="1" t="s">
        <v>246</v>
      </c>
      <c r="B101" s="1" t="s">
        <v>247</v>
      </c>
      <c r="I101" s="1">
        <v>65386660</v>
      </c>
      <c r="J101" s="1">
        <v>3</v>
      </c>
      <c r="K101" s="11" t="s">
        <v>297</v>
      </c>
      <c r="L101" s="11"/>
      <c r="M101" s="11"/>
      <c r="N101" s="11"/>
    </row>
    <row r="102" spans="1:14" x14ac:dyDescent="0.2">
      <c r="A102" s="1" t="s">
        <v>248</v>
      </c>
      <c r="B102" s="1" t="s">
        <v>249</v>
      </c>
      <c r="I102" s="1">
        <v>26034932</v>
      </c>
      <c r="J102" s="1">
        <v>3</v>
      </c>
      <c r="K102" s="11" t="s">
        <v>298</v>
      </c>
      <c r="L102" s="11"/>
      <c r="M102" s="11"/>
      <c r="N102" s="11"/>
    </row>
    <row r="103" spans="1:14" x14ac:dyDescent="0.2">
      <c r="A103" s="1" t="s">
        <v>250</v>
      </c>
      <c r="B103" s="1" t="s">
        <v>251</v>
      </c>
      <c r="I103" s="1">
        <v>48890622</v>
      </c>
      <c r="J103" s="1">
        <v>3</v>
      </c>
      <c r="K103" s="11" t="s">
        <v>299</v>
      </c>
      <c r="L103" s="11"/>
      <c r="M103" s="11"/>
      <c r="N103" s="11"/>
    </row>
    <row r="104" spans="1:14" x14ac:dyDescent="0.2">
      <c r="A104" s="1" t="s">
        <v>252</v>
      </c>
      <c r="B104" s="1" t="s">
        <v>236</v>
      </c>
      <c r="I104" s="1">
        <v>87187485</v>
      </c>
      <c r="J104" s="1">
        <v>3</v>
      </c>
      <c r="K104" s="10" t="s">
        <v>300</v>
      </c>
      <c r="L104" s="10"/>
      <c r="M104" s="10"/>
      <c r="N104" s="10"/>
    </row>
    <row r="105" spans="1:14" x14ac:dyDescent="0.2">
      <c r="A105" s="1" t="s">
        <v>253</v>
      </c>
      <c r="B105" s="1" t="s">
        <v>256</v>
      </c>
      <c r="K105" s="10"/>
      <c r="L105" s="10"/>
      <c r="M105" s="10"/>
      <c r="N105" s="10"/>
    </row>
    <row r="106" spans="1:14" x14ac:dyDescent="0.2">
      <c r="A106" s="1" t="s">
        <v>254</v>
      </c>
      <c r="B106" s="1" t="s">
        <v>255</v>
      </c>
    </row>
    <row r="107" spans="1:14" x14ac:dyDescent="0.2">
      <c r="A107" s="1" t="s">
        <v>257</v>
      </c>
      <c r="B107" s="1" t="s">
        <v>258</v>
      </c>
      <c r="C107" s="1">
        <f>18000/60</f>
        <v>300</v>
      </c>
    </row>
    <row r="108" spans="1:14" x14ac:dyDescent="0.2">
      <c r="A108" s="1" t="s">
        <v>259</v>
      </c>
      <c r="B108" s="1" t="s">
        <v>260</v>
      </c>
      <c r="C108" s="1">
        <f>55000/60</f>
        <v>916.66666666666663</v>
      </c>
    </row>
    <row r="110" spans="1:14" x14ac:dyDescent="0.2">
      <c r="A110" s="1" t="s">
        <v>262</v>
      </c>
      <c r="B110" s="1" t="s">
        <v>261</v>
      </c>
      <c r="C110" s="1" t="s">
        <v>265</v>
      </c>
      <c r="D110" s="1" t="s">
        <v>264</v>
      </c>
    </row>
    <row r="111" spans="1:14" x14ac:dyDescent="0.2">
      <c r="A111" s="1">
        <v>60</v>
      </c>
      <c r="B111" s="1">
        <v>70</v>
      </c>
      <c r="C111" s="1">
        <f>0.975*36*A113/1000</f>
        <v>42.12</v>
      </c>
      <c r="D111" s="1">
        <f>(B111*B111-C113*C113)*C111*60/2*0.7</f>
        <v>2918916</v>
      </c>
    </row>
    <row r="112" spans="1:14" x14ac:dyDescent="0.2">
      <c r="A112" s="1" t="s">
        <v>263</v>
      </c>
      <c r="C112" s="1" t="s">
        <v>267</v>
      </c>
    </row>
    <row r="113" spans="1:4" x14ac:dyDescent="0.2">
      <c r="A113" s="1">
        <f>20*A111</f>
        <v>1200</v>
      </c>
      <c r="C113" s="1">
        <v>40</v>
      </c>
    </row>
    <row r="114" spans="1:4" x14ac:dyDescent="0.2">
      <c r="A114" s="1" t="s">
        <v>266</v>
      </c>
    </row>
    <row r="115" spans="1:4" x14ac:dyDescent="0.2">
      <c r="A115" s="1">
        <f>2560*1200</f>
        <v>3072000</v>
      </c>
    </row>
    <row r="119" spans="1:4" x14ac:dyDescent="0.2">
      <c r="A119" s="1" t="s">
        <v>275</v>
      </c>
      <c r="B119" s="1" t="s">
        <v>276</v>
      </c>
      <c r="C119" s="1" t="s">
        <v>277</v>
      </c>
      <c r="D119" s="1" t="s">
        <v>278</v>
      </c>
    </row>
    <row r="120" spans="1:4" x14ac:dyDescent="0.2">
      <c r="A120" s="1" t="s">
        <v>268</v>
      </c>
      <c r="B120" s="1" t="s">
        <v>268</v>
      </c>
      <c r="C120" s="1" t="s">
        <v>268</v>
      </c>
      <c r="D120" s="1" t="s">
        <v>268</v>
      </c>
    </row>
    <row r="121" spans="1:4" x14ac:dyDescent="0.2">
      <c r="A121" s="1">
        <v>72</v>
      </c>
      <c r="B121" s="1">
        <v>72</v>
      </c>
      <c r="C121" s="1">
        <v>0</v>
      </c>
    </row>
    <row r="122" spans="1:4" x14ac:dyDescent="0.2">
      <c r="A122" s="1" t="s">
        <v>269</v>
      </c>
      <c r="B122" s="1" t="s">
        <v>269</v>
      </c>
      <c r="C122" s="1" t="s">
        <v>269</v>
      </c>
      <c r="D122" s="1" t="s">
        <v>269</v>
      </c>
    </row>
    <row r="123" spans="1:4" x14ac:dyDescent="0.2">
      <c r="A123" s="1">
        <v>50</v>
      </c>
      <c r="B123" s="1">
        <v>40</v>
      </c>
      <c r="C123" s="1">
        <v>40</v>
      </c>
      <c r="D123" s="1">
        <v>30</v>
      </c>
    </row>
    <row r="124" spans="1:4" x14ac:dyDescent="0.2">
      <c r="A124" s="1" t="s">
        <v>272</v>
      </c>
      <c r="B124" s="1" t="s">
        <v>272</v>
      </c>
      <c r="C124" s="1" t="s">
        <v>272</v>
      </c>
      <c r="D124" s="1" t="s">
        <v>272</v>
      </c>
    </row>
    <row r="125" spans="1:4" x14ac:dyDescent="0.2">
      <c r="A125" s="1">
        <f>A121*20*(A123*A123)/2*1.5</f>
        <v>2700000</v>
      </c>
      <c r="B125" s="1">
        <f t="shared" ref="B125:C125" si="4">B121*20*(B123*B123)/2*1.5</f>
        <v>1728000</v>
      </c>
      <c r="C125" s="1">
        <f t="shared" si="4"/>
        <v>0</v>
      </c>
      <c r="D125" s="1">
        <f t="shared" ref="D125" si="5">D121*20*(D123*D123)/2</f>
        <v>0</v>
      </c>
    </row>
    <row r="126" spans="1:4" x14ac:dyDescent="0.2">
      <c r="A126" s="1" t="s">
        <v>274</v>
      </c>
      <c r="B126" s="1" t="s">
        <v>274</v>
      </c>
      <c r="C126" s="1" t="s">
        <v>274</v>
      </c>
      <c r="D126" s="1" t="s">
        <v>274</v>
      </c>
    </row>
    <row r="127" spans="1:4" x14ac:dyDescent="0.2">
      <c r="A127" s="1">
        <f>0.7*(A123*A123-(A123-$B$129)*(A123-$B$129))*A121*20/2*1.5</f>
        <v>855036</v>
      </c>
      <c r="B127" s="1">
        <f t="shared" ref="B127:C127" si="6">0.7*(B123*B123-(B123-$B$129)*(B123-$B$129))*B121*20/2*1.5</f>
        <v>658475.99999999988</v>
      </c>
      <c r="C127" s="1">
        <f t="shared" si="6"/>
        <v>0</v>
      </c>
      <c r="D127" s="1">
        <f t="shared" ref="D127" si="7">0.7*(D123*D123-(D123-$B$129)*(D123-$B$129))*D121*20/2</f>
        <v>0</v>
      </c>
    </row>
    <row r="128" spans="1:4" x14ac:dyDescent="0.2">
      <c r="A128" s="1" t="s">
        <v>270</v>
      </c>
      <c r="B128" s="1" t="s">
        <v>273</v>
      </c>
      <c r="C128" s="1" t="s">
        <v>271</v>
      </c>
    </row>
    <row r="129" spans="1:4" x14ac:dyDescent="0.2">
      <c r="A129" s="1">
        <f>36*60*0.975*SUM(A125:D125)/1000</f>
        <v>9325368</v>
      </c>
      <c r="B129" s="1">
        <v>13</v>
      </c>
      <c r="C129" s="1">
        <f>36*60*0.975*SUM(A127:D127)/1000</f>
        <v>3187456.2719999999</v>
      </c>
      <c r="D129" s="1">
        <f>C129/1200</f>
        <v>2656.2135599999997</v>
      </c>
    </row>
  </sheetData>
  <mergeCells count="7">
    <mergeCell ref="K103:N103"/>
    <mergeCell ref="K104:N105"/>
    <mergeCell ref="A54:P55"/>
    <mergeCell ref="K100:N100"/>
    <mergeCell ref="K99:N99"/>
    <mergeCell ref="K101:N101"/>
    <mergeCell ref="K102:N10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3CDE-AB75-4157-850A-4F076621FB23}">
  <dimension ref="A1:D5"/>
  <sheetViews>
    <sheetView workbookViewId="0">
      <selection activeCell="B1" sqref="B1"/>
    </sheetView>
  </sheetViews>
  <sheetFormatPr defaultRowHeight="14.25" x14ac:dyDescent="0.2"/>
  <sheetData>
    <row r="1" spans="1:4" x14ac:dyDescent="0.2">
      <c r="A1" t="s">
        <v>314</v>
      </c>
      <c r="B1" t="s">
        <v>457</v>
      </c>
    </row>
    <row r="2" spans="1:4" x14ac:dyDescent="0.2">
      <c r="A2" t="s">
        <v>315</v>
      </c>
      <c r="B2" t="s">
        <v>454</v>
      </c>
    </row>
    <row r="3" spans="1:4" x14ac:dyDescent="0.2">
      <c r="A3" t="s">
        <v>316</v>
      </c>
      <c r="B3" t="s">
        <v>454</v>
      </c>
    </row>
    <row r="4" spans="1:4" x14ac:dyDescent="0.2">
      <c r="A4" t="s">
        <v>317</v>
      </c>
      <c r="B4" t="s">
        <v>455</v>
      </c>
      <c r="C4" t="s">
        <v>456</v>
      </c>
    </row>
    <row r="5" spans="1:4" x14ac:dyDescent="0.2">
      <c r="A5" t="s">
        <v>318</v>
      </c>
      <c r="B5" t="s">
        <v>319</v>
      </c>
      <c r="C5" s="13" t="s">
        <v>320</v>
      </c>
      <c r="D5" s="13"/>
    </row>
  </sheetData>
  <mergeCells count="1">
    <mergeCell ref="C5:D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9030-70BE-46BB-A7F6-4D4984383A58}">
  <dimension ref="A1:N19"/>
  <sheetViews>
    <sheetView workbookViewId="0">
      <selection activeCell="G33" sqref="G33"/>
    </sheetView>
  </sheetViews>
  <sheetFormatPr defaultRowHeight="14.25" x14ac:dyDescent="0.2"/>
  <sheetData>
    <row r="1" spans="1:14" x14ac:dyDescent="0.2">
      <c r="A1" s="11" t="s">
        <v>279</v>
      </c>
      <c r="B1" s="11" t="s">
        <v>321</v>
      </c>
      <c r="C1" s="11" t="s">
        <v>326</v>
      </c>
      <c r="D1" s="14" t="s">
        <v>322</v>
      </c>
      <c r="E1" s="14"/>
      <c r="F1" s="14"/>
      <c r="J1" s="11" t="s">
        <v>329</v>
      </c>
      <c r="K1" s="11" t="s">
        <v>321</v>
      </c>
      <c r="L1" s="11" t="s">
        <v>326</v>
      </c>
      <c r="M1" s="11" t="s">
        <v>328</v>
      </c>
      <c r="N1" s="11" t="s">
        <v>334</v>
      </c>
    </row>
    <row r="2" spans="1:14" x14ac:dyDescent="0.2">
      <c r="A2" s="11"/>
      <c r="B2" s="11"/>
      <c r="C2" s="11"/>
      <c r="D2" t="s">
        <v>323</v>
      </c>
      <c r="E2" t="s">
        <v>324</v>
      </c>
      <c r="F2" t="s">
        <v>325</v>
      </c>
      <c r="J2" s="11"/>
      <c r="K2" s="11"/>
      <c r="L2" s="11"/>
      <c r="M2" s="11"/>
      <c r="N2" s="11"/>
    </row>
    <row r="3" spans="1:14" x14ac:dyDescent="0.2">
      <c r="A3">
        <v>0</v>
      </c>
      <c r="B3">
        <v>3</v>
      </c>
      <c r="C3">
        <v>1</v>
      </c>
      <c r="D3">
        <v>0</v>
      </c>
      <c r="E3">
        <v>0</v>
      </c>
      <c r="F3">
        <v>0</v>
      </c>
      <c r="J3" t="s">
        <v>330</v>
      </c>
      <c r="K3">
        <v>4</v>
      </c>
      <c r="L3">
        <v>1</v>
      </c>
      <c r="M3">
        <v>6</v>
      </c>
      <c r="N3">
        <f>K3*M3*SQRT(L3)</f>
        <v>24</v>
      </c>
    </row>
    <row r="4" spans="1:14" x14ac:dyDescent="0.2">
      <c r="A4">
        <v>1</v>
      </c>
      <c r="B4">
        <v>4</v>
      </c>
      <c r="C4">
        <v>1</v>
      </c>
      <c r="D4">
        <v>100</v>
      </c>
      <c r="E4">
        <v>0</v>
      </c>
      <c r="F4">
        <v>0</v>
      </c>
      <c r="J4" t="s">
        <v>331</v>
      </c>
      <c r="K4">
        <v>4</v>
      </c>
      <c r="L4">
        <v>1</v>
      </c>
      <c r="M4">
        <v>8</v>
      </c>
      <c r="N4">
        <f t="shared" ref="N4:N9" si="0">K4*M4*SQRT(L4)</f>
        <v>32</v>
      </c>
    </row>
    <row r="5" spans="1:14" x14ac:dyDescent="0.2">
      <c r="A5">
        <v>2</v>
      </c>
      <c r="B5">
        <v>6</v>
      </c>
      <c r="C5">
        <v>1</v>
      </c>
      <c r="D5">
        <v>200</v>
      </c>
      <c r="E5">
        <v>200</v>
      </c>
      <c r="F5">
        <v>0</v>
      </c>
      <c r="J5" t="s">
        <v>332</v>
      </c>
      <c r="K5">
        <v>6</v>
      </c>
      <c r="L5">
        <v>1</v>
      </c>
      <c r="M5">
        <v>8</v>
      </c>
      <c r="N5">
        <f t="shared" si="0"/>
        <v>48</v>
      </c>
    </row>
    <row r="6" spans="1:14" x14ac:dyDescent="0.2">
      <c r="A6">
        <v>3</v>
      </c>
      <c r="B6">
        <v>6</v>
      </c>
      <c r="C6">
        <v>2</v>
      </c>
      <c r="D6">
        <v>400</v>
      </c>
      <c r="E6">
        <v>400</v>
      </c>
      <c r="F6">
        <v>0</v>
      </c>
      <c r="J6" t="s">
        <v>335</v>
      </c>
      <c r="K6">
        <v>6</v>
      </c>
      <c r="L6">
        <v>2</v>
      </c>
      <c r="M6">
        <v>8</v>
      </c>
      <c r="N6">
        <f t="shared" si="0"/>
        <v>67.882250993908571</v>
      </c>
    </row>
    <row r="7" spans="1:14" x14ac:dyDescent="0.2">
      <c r="A7">
        <v>4</v>
      </c>
      <c r="B7">
        <v>9</v>
      </c>
      <c r="C7">
        <v>2</v>
      </c>
      <c r="D7">
        <v>600</v>
      </c>
      <c r="E7">
        <v>600</v>
      </c>
      <c r="F7">
        <v>600</v>
      </c>
      <c r="J7" t="s">
        <v>333</v>
      </c>
      <c r="K7">
        <v>6</v>
      </c>
      <c r="L7">
        <v>2</v>
      </c>
      <c r="M7">
        <v>10</v>
      </c>
      <c r="N7">
        <f t="shared" si="0"/>
        <v>84.852813742385706</v>
      </c>
    </row>
    <row r="8" spans="1:14" x14ac:dyDescent="0.2">
      <c r="J8" t="s">
        <v>336</v>
      </c>
      <c r="K8">
        <v>9</v>
      </c>
      <c r="L8">
        <v>2</v>
      </c>
      <c r="M8">
        <v>10</v>
      </c>
      <c r="N8">
        <f t="shared" si="0"/>
        <v>127.27922061357856</v>
      </c>
    </row>
    <row r="9" spans="1:14" x14ac:dyDescent="0.2">
      <c r="J9" t="s">
        <v>337</v>
      </c>
      <c r="K9">
        <v>9</v>
      </c>
      <c r="L9">
        <v>2</v>
      </c>
      <c r="M9">
        <v>12</v>
      </c>
      <c r="N9">
        <f t="shared" si="0"/>
        <v>152.73506473629428</v>
      </c>
    </row>
    <row r="14" spans="1:14" x14ac:dyDescent="0.2">
      <c r="A14" s="11" t="s">
        <v>327</v>
      </c>
      <c r="B14" s="11" t="s">
        <v>328</v>
      </c>
      <c r="C14" s="14" t="s">
        <v>322</v>
      </c>
      <c r="D14" s="14"/>
      <c r="E14" s="14"/>
    </row>
    <row r="15" spans="1:14" x14ac:dyDescent="0.2">
      <c r="A15" s="11"/>
      <c r="B15" s="11"/>
      <c r="C15" t="s">
        <v>323</v>
      </c>
      <c r="D15" t="s">
        <v>324</v>
      </c>
      <c r="E15" t="s">
        <v>325</v>
      </c>
    </row>
    <row r="16" spans="1:14" x14ac:dyDescent="0.2">
      <c r="A16">
        <v>0</v>
      </c>
      <c r="B16">
        <v>6</v>
      </c>
      <c r="C16">
        <v>0</v>
      </c>
      <c r="D16">
        <v>0</v>
      </c>
      <c r="E16">
        <v>0</v>
      </c>
    </row>
    <row r="17" spans="1:5" x14ac:dyDescent="0.2">
      <c r="A17">
        <v>1</v>
      </c>
      <c r="B17">
        <v>8</v>
      </c>
      <c r="C17">
        <v>200</v>
      </c>
      <c r="D17">
        <v>0</v>
      </c>
      <c r="E17">
        <v>0</v>
      </c>
    </row>
    <row r="18" spans="1:5" x14ac:dyDescent="0.2">
      <c r="A18">
        <v>2</v>
      </c>
      <c r="B18">
        <v>10</v>
      </c>
      <c r="C18">
        <v>400</v>
      </c>
      <c r="D18">
        <v>400</v>
      </c>
      <c r="E18">
        <v>0</v>
      </c>
    </row>
    <row r="19" spans="1:5" x14ac:dyDescent="0.2">
      <c r="A19">
        <v>3</v>
      </c>
      <c r="B19">
        <v>12</v>
      </c>
      <c r="C19">
        <v>800</v>
      </c>
      <c r="D19">
        <v>800</v>
      </c>
      <c r="E19">
        <v>800</v>
      </c>
    </row>
  </sheetData>
  <mergeCells count="12">
    <mergeCell ref="A1:A2"/>
    <mergeCell ref="B1:B2"/>
    <mergeCell ref="D1:F1"/>
    <mergeCell ref="C1:C2"/>
    <mergeCell ref="A14:A15"/>
    <mergeCell ref="B14:B15"/>
    <mergeCell ref="C14:E14"/>
    <mergeCell ref="K1:K2"/>
    <mergeCell ref="J1:J2"/>
    <mergeCell ref="L1:L2"/>
    <mergeCell ref="M1:M2"/>
    <mergeCell ref="N1:N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4D6F-EF0E-4AB0-B72F-FBC8D01837E8}">
  <dimension ref="A1:W66"/>
  <sheetViews>
    <sheetView topLeftCell="A34" workbookViewId="0">
      <selection activeCell="E10" sqref="E10"/>
    </sheetView>
  </sheetViews>
  <sheetFormatPr defaultRowHeight="14.25" x14ac:dyDescent="0.2"/>
  <cols>
    <col min="1" max="1" width="13.875" customWidth="1"/>
    <col min="3" max="3" width="11.875" customWidth="1"/>
  </cols>
  <sheetData>
    <row r="1" spans="1:23" s="1" customFormat="1" x14ac:dyDescent="0.2">
      <c r="B1" s="1" t="s">
        <v>378</v>
      </c>
      <c r="C1" s="1" t="s">
        <v>387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</row>
    <row r="2" spans="1:23" x14ac:dyDescent="0.2">
      <c r="D2">
        <f>SUM(D3:D99)</f>
        <v>330</v>
      </c>
      <c r="E2">
        <f t="shared" ref="E2:P2" si="0">SUM(E3:E99)</f>
        <v>380</v>
      </c>
      <c r="F2">
        <f t="shared" si="0"/>
        <v>20</v>
      </c>
      <c r="G2">
        <f t="shared" si="0"/>
        <v>120</v>
      </c>
      <c r="H2">
        <f t="shared" si="0"/>
        <v>40</v>
      </c>
      <c r="I2">
        <f t="shared" si="0"/>
        <v>400</v>
      </c>
      <c r="J2">
        <f t="shared" si="0"/>
        <v>60</v>
      </c>
      <c r="K2">
        <f t="shared" si="0"/>
        <v>12030</v>
      </c>
      <c r="L2">
        <f t="shared" si="0"/>
        <v>6650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S2">
        <v>1</v>
      </c>
      <c r="T2">
        <v>1</v>
      </c>
      <c r="U2">
        <v>2.5</v>
      </c>
      <c r="V2">
        <v>2</v>
      </c>
      <c r="W2">
        <v>2</v>
      </c>
    </row>
    <row r="5" spans="1:23" s="1" customFormat="1" x14ac:dyDescent="0.2">
      <c r="A5" s="1" t="s">
        <v>15</v>
      </c>
      <c r="B5" s="1">
        <v>20</v>
      </c>
      <c r="C5" s="1">
        <v>25</v>
      </c>
      <c r="G5" s="1">
        <v>10</v>
      </c>
    </row>
    <row r="6" spans="1:23" s="1" customFormat="1" x14ac:dyDescent="0.2">
      <c r="A6" s="1" t="s">
        <v>30</v>
      </c>
      <c r="B6" s="1">
        <v>30</v>
      </c>
      <c r="C6" s="1">
        <v>45</v>
      </c>
      <c r="G6" s="1">
        <v>10</v>
      </c>
      <c r="I6" s="1">
        <v>10</v>
      </c>
      <c r="Q6" s="1" t="s">
        <v>15</v>
      </c>
    </row>
    <row r="7" spans="1:23" s="1" customFormat="1" x14ac:dyDescent="0.2">
      <c r="A7" s="1" t="s">
        <v>20</v>
      </c>
      <c r="B7" s="1">
        <v>30</v>
      </c>
      <c r="C7" s="1">
        <f>(E7*$S$2)+F7*$T$2+G7*$U$2+H7*$V$2+(I7*$W$2)</f>
        <v>40</v>
      </c>
      <c r="H7" s="1">
        <v>10</v>
      </c>
      <c r="I7" s="1">
        <v>10</v>
      </c>
      <c r="Q7" s="1" t="s">
        <v>15</v>
      </c>
    </row>
    <row r="8" spans="1:23" s="1" customFormat="1" x14ac:dyDescent="0.2">
      <c r="A8" s="1" t="s">
        <v>64</v>
      </c>
      <c r="B8" s="1">
        <v>30</v>
      </c>
      <c r="C8" s="1">
        <f t="shared" ref="C8:C9" si="1">(E8*$S$2)+F8*$T$2+G8*$U$2+H8*$V$2+(I8*$W$2)</f>
        <v>40</v>
      </c>
      <c r="H8" s="1">
        <v>10</v>
      </c>
      <c r="I8" s="1">
        <v>10</v>
      </c>
      <c r="Q8" s="1" t="s">
        <v>15</v>
      </c>
    </row>
    <row r="9" spans="1:23" s="1" customFormat="1" x14ac:dyDescent="0.2">
      <c r="A9" s="1" t="s">
        <v>16</v>
      </c>
      <c r="B9" s="1">
        <v>30</v>
      </c>
      <c r="C9" s="1">
        <f t="shared" si="1"/>
        <v>45</v>
      </c>
      <c r="G9" s="1">
        <v>10</v>
      </c>
      <c r="I9" s="1">
        <v>10</v>
      </c>
      <c r="Q9" s="1" t="s">
        <v>15</v>
      </c>
    </row>
    <row r="10" spans="1:23" s="2" customFormat="1" x14ac:dyDescent="0.2">
      <c r="A10" s="1" t="s">
        <v>69</v>
      </c>
      <c r="B10" s="1">
        <v>90</v>
      </c>
      <c r="C10" s="1">
        <f>7.5*K10</f>
        <v>225</v>
      </c>
      <c r="D10" s="1"/>
      <c r="E10" s="1"/>
      <c r="F10" s="1"/>
      <c r="G10" s="1"/>
      <c r="H10" s="1"/>
      <c r="I10" s="1"/>
      <c r="J10" s="1"/>
      <c r="K10" s="1">
        <v>30</v>
      </c>
      <c r="L10" s="1"/>
      <c r="M10" s="1"/>
      <c r="N10" s="1"/>
      <c r="O10" s="1"/>
      <c r="P10" s="1"/>
      <c r="Q10" s="1" t="s">
        <v>20</v>
      </c>
      <c r="R10" s="1"/>
    </row>
    <row r="11" spans="1:23" s="1" customFormat="1" x14ac:dyDescent="0.2">
      <c r="A11" s="1" t="s">
        <v>34</v>
      </c>
      <c r="E11" s="1">
        <v>20</v>
      </c>
      <c r="F11" s="1">
        <v>20</v>
      </c>
    </row>
    <row r="12" spans="1:23" s="1" customFormat="1" x14ac:dyDescent="0.2">
      <c r="A12" s="1" t="s">
        <v>65</v>
      </c>
      <c r="B12" s="1">
        <v>200</v>
      </c>
      <c r="I12" s="1">
        <v>100</v>
      </c>
      <c r="Q12" s="1" t="s">
        <v>15</v>
      </c>
      <c r="R12" s="1" t="s">
        <v>34</v>
      </c>
    </row>
    <row r="18" spans="1:18" ht="13.5" customHeight="1" x14ac:dyDescent="0.2"/>
    <row r="19" spans="1:18" s="1" customFormat="1" x14ac:dyDescent="0.2">
      <c r="A19" s="1" t="s">
        <v>15</v>
      </c>
      <c r="G19" s="1">
        <v>10</v>
      </c>
    </row>
    <row r="20" spans="1:18" s="1" customFormat="1" x14ac:dyDescent="0.2">
      <c r="A20" s="1" t="s">
        <v>30</v>
      </c>
      <c r="G20" s="1">
        <v>10</v>
      </c>
      <c r="I20" s="1">
        <v>10</v>
      </c>
      <c r="Q20" s="1" t="s">
        <v>15</v>
      </c>
    </row>
    <row r="21" spans="1:18" s="1" customFormat="1" x14ac:dyDescent="0.2">
      <c r="A21" s="1" t="s">
        <v>20</v>
      </c>
      <c r="H21" s="1">
        <v>10</v>
      </c>
      <c r="I21" s="1">
        <v>10</v>
      </c>
      <c r="Q21" s="1" t="s">
        <v>15</v>
      </c>
    </row>
    <row r="22" spans="1:18" s="1" customFormat="1" x14ac:dyDescent="0.2">
      <c r="A22" s="1" t="s">
        <v>64</v>
      </c>
      <c r="H22" s="1">
        <v>10</v>
      </c>
      <c r="I22" s="1">
        <v>10</v>
      </c>
      <c r="Q22" s="1" t="s">
        <v>15</v>
      </c>
    </row>
    <row r="23" spans="1:18" s="1" customFormat="1" x14ac:dyDescent="0.2">
      <c r="A23" s="1" t="s">
        <v>16</v>
      </c>
      <c r="G23" s="1">
        <v>10</v>
      </c>
      <c r="I23" s="1">
        <v>10</v>
      </c>
      <c r="Q23" s="1" t="s">
        <v>15</v>
      </c>
    </row>
    <row r="24" spans="1:18" s="2" customFormat="1" x14ac:dyDescent="0.2">
      <c r="A24" s="1" t="s">
        <v>69</v>
      </c>
      <c r="D24" s="1"/>
      <c r="E24" s="1"/>
      <c r="F24" s="1"/>
      <c r="G24" s="1"/>
      <c r="H24" s="1"/>
      <c r="I24" s="1"/>
      <c r="J24" s="1"/>
      <c r="K24" s="1">
        <v>30</v>
      </c>
      <c r="L24" s="1"/>
      <c r="M24" s="1"/>
      <c r="N24" s="1"/>
      <c r="O24" s="1"/>
      <c r="P24" s="1"/>
      <c r="Q24" s="1" t="s">
        <v>20</v>
      </c>
      <c r="R24" s="1"/>
    </row>
    <row r="26" spans="1:18" s="1" customFormat="1" x14ac:dyDescent="0.2">
      <c r="A26" s="1" t="s">
        <v>65</v>
      </c>
      <c r="I26" s="1">
        <v>100</v>
      </c>
      <c r="Q26" s="1" t="s">
        <v>15</v>
      </c>
    </row>
    <row r="27" spans="1:18" s="1" customFormat="1" x14ac:dyDescent="0.2">
      <c r="A27" s="1" t="s">
        <v>39</v>
      </c>
      <c r="K27" s="1">
        <v>50</v>
      </c>
      <c r="Q27" s="1" t="s">
        <v>15</v>
      </c>
    </row>
    <row r="28" spans="1:18" x14ac:dyDescent="0.2">
      <c r="A28" s="1" t="s">
        <v>279</v>
      </c>
      <c r="K28">
        <v>100</v>
      </c>
    </row>
    <row r="29" spans="1:18" x14ac:dyDescent="0.2">
      <c r="A29" s="1" t="s">
        <v>280</v>
      </c>
      <c r="K29" s="1">
        <v>200</v>
      </c>
    </row>
    <row r="30" spans="1:18" s="1" customFormat="1" x14ac:dyDescent="0.2">
      <c r="A30" s="1" t="s">
        <v>58</v>
      </c>
      <c r="K30" s="1">
        <v>50</v>
      </c>
      <c r="Q30" s="1" t="s">
        <v>15</v>
      </c>
    </row>
    <row r="31" spans="1:18" x14ac:dyDescent="0.2">
      <c r="A31" s="1" t="s">
        <v>281</v>
      </c>
      <c r="K31" s="1">
        <v>100</v>
      </c>
    </row>
    <row r="32" spans="1:18" s="1" customFormat="1" x14ac:dyDescent="0.2">
      <c r="A32" s="1" t="s">
        <v>36</v>
      </c>
      <c r="D32" s="1">
        <v>150</v>
      </c>
      <c r="G32" s="1">
        <v>60</v>
      </c>
      <c r="Q32" s="1" t="s">
        <v>34</v>
      </c>
    </row>
    <row r="33" spans="1:18" s="1" customFormat="1" x14ac:dyDescent="0.2">
      <c r="A33" s="1" t="s">
        <v>29</v>
      </c>
      <c r="K33" s="1">
        <v>120</v>
      </c>
      <c r="Q33" s="1" t="s">
        <v>30</v>
      </c>
    </row>
    <row r="34" spans="1:18" s="1" customFormat="1" x14ac:dyDescent="0.2">
      <c r="A34" s="1" t="s">
        <v>19</v>
      </c>
      <c r="K34" s="1">
        <v>100</v>
      </c>
      <c r="Q34" s="1" t="s">
        <v>30</v>
      </c>
    </row>
    <row r="35" spans="1:18" s="6" customFormat="1" x14ac:dyDescent="0.2">
      <c r="A35" s="5" t="s">
        <v>282</v>
      </c>
      <c r="K35" s="3">
        <v>300</v>
      </c>
    </row>
    <row r="36" spans="1:18" s="1" customFormat="1" x14ac:dyDescent="0.2">
      <c r="A36" s="1" t="s">
        <v>38</v>
      </c>
      <c r="K36" s="1">
        <v>50</v>
      </c>
      <c r="Q36" s="1" t="s">
        <v>15</v>
      </c>
    </row>
    <row r="37" spans="1:18" s="1" customFormat="1" x14ac:dyDescent="0.2">
      <c r="A37" s="1" t="s">
        <v>40</v>
      </c>
      <c r="K37" s="1">
        <v>100</v>
      </c>
      <c r="Q37" s="1" t="s">
        <v>38</v>
      </c>
      <c r="R37" s="1" t="s">
        <v>39</v>
      </c>
    </row>
    <row r="38" spans="1:18" x14ac:dyDescent="0.2">
      <c r="A38" s="1" t="s">
        <v>283</v>
      </c>
      <c r="D38">
        <v>180</v>
      </c>
    </row>
    <row r="39" spans="1:18" s="1" customFormat="1" x14ac:dyDescent="0.2">
      <c r="A39" s="1" t="s">
        <v>41</v>
      </c>
      <c r="K39" s="1">
        <v>200</v>
      </c>
      <c r="Q39" s="1" t="s">
        <v>40</v>
      </c>
    </row>
    <row r="40" spans="1:18" x14ac:dyDescent="0.2">
      <c r="A40" s="1" t="s">
        <v>284</v>
      </c>
      <c r="K40" s="1">
        <v>400</v>
      </c>
    </row>
    <row r="41" spans="1:18" x14ac:dyDescent="0.2">
      <c r="A41" s="1" t="s">
        <v>285</v>
      </c>
      <c r="E41">
        <v>360</v>
      </c>
      <c r="I41">
        <v>120</v>
      </c>
    </row>
    <row r="42" spans="1:18" x14ac:dyDescent="0.2">
      <c r="A42" s="1" t="s">
        <v>286</v>
      </c>
      <c r="K42" s="1">
        <v>200</v>
      </c>
      <c r="L42">
        <v>200</v>
      </c>
    </row>
    <row r="43" spans="1:18" s="1" customFormat="1" x14ac:dyDescent="0.2">
      <c r="A43" s="1" t="s">
        <v>42</v>
      </c>
      <c r="K43" s="1">
        <v>200</v>
      </c>
      <c r="Q43" s="1" t="s">
        <v>40</v>
      </c>
    </row>
    <row r="44" spans="1:18" s="1" customFormat="1" x14ac:dyDescent="0.2">
      <c r="A44" s="1" t="s">
        <v>32</v>
      </c>
      <c r="K44" s="1">
        <v>200</v>
      </c>
      <c r="Q44" s="1" t="s">
        <v>20</v>
      </c>
    </row>
    <row r="45" spans="1:18" s="1" customFormat="1" x14ac:dyDescent="0.2">
      <c r="A45" s="1" t="s">
        <v>35</v>
      </c>
      <c r="K45" s="1">
        <v>100</v>
      </c>
      <c r="L45" s="1">
        <v>100</v>
      </c>
      <c r="Q45" s="1" t="s">
        <v>34</v>
      </c>
    </row>
    <row r="46" spans="1:18" x14ac:dyDescent="0.2">
      <c r="A46" s="1" t="s">
        <v>286</v>
      </c>
      <c r="K46" s="1">
        <v>400</v>
      </c>
      <c r="L46">
        <v>400</v>
      </c>
    </row>
    <row r="47" spans="1:18" x14ac:dyDescent="0.2">
      <c r="A47" s="1" t="s">
        <v>287</v>
      </c>
      <c r="J47">
        <v>60</v>
      </c>
    </row>
    <row r="48" spans="1:18" s="1" customFormat="1" x14ac:dyDescent="0.2">
      <c r="A48" s="1" t="s">
        <v>66</v>
      </c>
      <c r="K48" s="1">
        <v>200</v>
      </c>
      <c r="Q48" s="1" t="s">
        <v>38</v>
      </c>
    </row>
    <row r="49" spans="1:18" s="1" customFormat="1" x14ac:dyDescent="0.2">
      <c r="A49" s="1" t="s">
        <v>59</v>
      </c>
      <c r="K49" s="1">
        <v>400</v>
      </c>
      <c r="L49" s="1">
        <v>100</v>
      </c>
      <c r="Q49" s="1" t="s">
        <v>58</v>
      </c>
    </row>
    <row r="50" spans="1:18" x14ac:dyDescent="0.2">
      <c r="A50" s="1" t="s">
        <v>288</v>
      </c>
      <c r="K50" s="1">
        <v>400</v>
      </c>
      <c r="L50" s="1">
        <v>400</v>
      </c>
    </row>
    <row r="51" spans="1:18" s="1" customFormat="1" x14ac:dyDescent="0.2">
      <c r="A51" s="1" t="s">
        <v>37</v>
      </c>
      <c r="K51" s="1">
        <v>200</v>
      </c>
      <c r="L51" s="1">
        <v>200</v>
      </c>
      <c r="Q51" s="1" t="s">
        <v>36</v>
      </c>
      <c r="R51" s="1" t="s">
        <v>35</v>
      </c>
    </row>
    <row r="52" spans="1:18" x14ac:dyDescent="0.2">
      <c r="A52" s="1" t="s">
        <v>289</v>
      </c>
      <c r="K52" s="1">
        <v>200</v>
      </c>
      <c r="L52" s="1">
        <v>200</v>
      </c>
    </row>
    <row r="53" spans="1:18" x14ac:dyDescent="0.2">
      <c r="A53" s="1" t="s">
        <v>290</v>
      </c>
      <c r="K53" s="1">
        <v>400</v>
      </c>
      <c r="L53" s="1">
        <v>100</v>
      </c>
    </row>
    <row r="54" spans="1:18" s="1" customFormat="1" ht="13.5" customHeight="1" x14ac:dyDescent="0.2">
      <c r="A54" s="1" t="s">
        <v>31</v>
      </c>
      <c r="K54" s="1">
        <v>200</v>
      </c>
      <c r="L54" s="1">
        <v>200</v>
      </c>
      <c r="Q54" s="1" t="s">
        <v>29</v>
      </c>
    </row>
    <row r="55" spans="1:18" s="1" customFormat="1" x14ac:dyDescent="0.2">
      <c r="A55" s="1" t="s">
        <v>51</v>
      </c>
      <c r="K55" s="1">
        <v>400</v>
      </c>
      <c r="Q55" s="1" t="s">
        <v>42</v>
      </c>
    </row>
    <row r="56" spans="1:18" s="1" customFormat="1" x14ac:dyDescent="0.2">
      <c r="A56" s="1" t="s">
        <v>74</v>
      </c>
      <c r="L56" s="1">
        <v>400</v>
      </c>
      <c r="Q56" s="1" t="s">
        <v>41</v>
      </c>
    </row>
    <row r="57" spans="1:18" s="1" customFormat="1" x14ac:dyDescent="0.2">
      <c r="A57" s="1" t="s">
        <v>33</v>
      </c>
      <c r="K57" s="1">
        <v>800</v>
      </c>
      <c r="Q57" s="1" t="s">
        <v>32</v>
      </c>
    </row>
    <row r="58" spans="1:18" s="1" customFormat="1" x14ac:dyDescent="0.2">
      <c r="A58" s="1" t="s">
        <v>17</v>
      </c>
      <c r="K58" s="1">
        <v>200</v>
      </c>
      <c r="Q58" s="1" t="s">
        <v>16</v>
      </c>
    </row>
    <row r="59" spans="1:18" s="1" customFormat="1" x14ac:dyDescent="0.2">
      <c r="A59" s="1" t="s">
        <v>76</v>
      </c>
      <c r="L59" s="1">
        <v>400</v>
      </c>
    </row>
    <row r="60" spans="1:18" s="1" customFormat="1" x14ac:dyDescent="0.2">
      <c r="A60" s="1" t="s">
        <v>46</v>
      </c>
      <c r="K60" s="1">
        <v>500</v>
      </c>
      <c r="L60" s="1">
        <v>500</v>
      </c>
      <c r="Q60" s="1" t="s">
        <v>19</v>
      </c>
    </row>
    <row r="61" spans="1:18" s="1" customFormat="1" x14ac:dyDescent="0.2">
      <c r="A61" s="1" t="s">
        <v>67</v>
      </c>
      <c r="K61" s="1">
        <v>800</v>
      </c>
      <c r="L61" s="1">
        <v>600</v>
      </c>
      <c r="Q61" s="1" t="s">
        <v>66</v>
      </c>
      <c r="R61" s="1" t="s">
        <v>46</v>
      </c>
    </row>
    <row r="62" spans="1:18" s="1" customFormat="1" x14ac:dyDescent="0.2">
      <c r="A62" s="1" t="s">
        <v>22</v>
      </c>
      <c r="K62" s="1">
        <v>1000</v>
      </c>
      <c r="L62" s="1">
        <v>250</v>
      </c>
      <c r="Q62" s="1" t="s">
        <v>59</v>
      </c>
    </row>
    <row r="63" spans="1:18" s="1" customFormat="1" x14ac:dyDescent="0.2">
      <c r="A63" s="1" t="s">
        <v>43</v>
      </c>
      <c r="K63" s="1">
        <v>400</v>
      </c>
      <c r="L63" s="1">
        <v>400</v>
      </c>
      <c r="Q63" s="1" t="s">
        <v>42</v>
      </c>
    </row>
    <row r="64" spans="1:18" s="1" customFormat="1" x14ac:dyDescent="0.2">
      <c r="A64" s="1" t="s">
        <v>49</v>
      </c>
      <c r="K64" s="1">
        <v>1600</v>
      </c>
      <c r="L64" s="1">
        <v>800</v>
      </c>
      <c r="Q64" s="1" t="s">
        <v>59</v>
      </c>
    </row>
    <row r="65" spans="1:17" s="1" customFormat="1" x14ac:dyDescent="0.2">
      <c r="A65" s="1" t="s">
        <v>44</v>
      </c>
      <c r="K65" s="1">
        <v>600</v>
      </c>
      <c r="L65" s="1">
        <v>600</v>
      </c>
      <c r="Q65" s="1" t="s">
        <v>43</v>
      </c>
    </row>
    <row r="66" spans="1:17" s="1" customFormat="1" x14ac:dyDescent="0.2">
      <c r="A66" s="1" t="s">
        <v>45</v>
      </c>
      <c r="K66" s="1">
        <v>800</v>
      </c>
      <c r="L66" s="1">
        <v>800</v>
      </c>
      <c r="Q66" s="1" t="s">
        <v>46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E996-4E90-4758-9281-6A1FF89B35DC}">
  <dimension ref="A1:N86"/>
  <sheetViews>
    <sheetView tabSelected="1" workbookViewId="0">
      <selection activeCell="L13" sqref="L13"/>
    </sheetView>
  </sheetViews>
  <sheetFormatPr defaultRowHeight="14.25" x14ac:dyDescent="0.2"/>
  <cols>
    <col min="10" max="10" width="12.375" customWidth="1"/>
    <col min="11" max="11" width="21.875" customWidth="1"/>
  </cols>
  <sheetData>
    <row r="1" spans="1:11" x14ac:dyDescent="0.2">
      <c r="A1" s="14" t="s">
        <v>379</v>
      </c>
      <c r="B1" s="14"/>
      <c r="J1" t="s">
        <v>458</v>
      </c>
    </row>
    <row r="2" spans="1:11" x14ac:dyDescent="0.2">
      <c r="A2" s="14" t="s">
        <v>380</v>
      </c>
      <c r="B2" s="14"/>
      <c r="J2">
        <v>1</v>
      </c>
      <c r="K2" t="s">
        <v>388</v>
      </c>
    </row>
    <row r="3" spans="1:11" x14ac:dyDescent="0.2">
      <c r="A3" s="14" t="s">
        <v>385</v>
      </c>
      <c r="B3" s="14"/>
      <c r="J3">
        <v>1</v>
      </c>
      <c r="K3" t="s">
        <v>389</v>
      </c>
    </row>
    <row r="4" spans="1:11" x14ac:dyDescent="0.2">
      <c r="A4" s="14" t="s">
        <v>386</v>
      </c>
      <c r="B4" s="14"/>
      <c r="J4">
        <v>2</v>
      </c>
      <c r="K4" t="s">
        <v>390</v>
      </c>
    </row>
    <row r="5" spans="1:11" x14ac:dyDescent="0.2">
      <c r="A5" s="14" t="s">
        <v>381</v>
      </c>
      <c r="B5" s="14"/>
      <c r="J5">
        <v>2</v>
      </c>
      <c r="K5" t="s">
        <v>391</v>
      </c>
    </row>
    <row r="6" spans="1:11" x14ac:dyDescent="0.2">
      <c r="A6" s="14" t="s">
        <v>382</v>
      </c>
      <c r="B6" s="14"/>
      <c r="J6">
        <v>1</v>
      </c>
      <c r="K6" t="s">
        <v>392</v>
      </c>
    </row>
    <row r="7" spans="1:11" x14ac:dyDescent="0.2">
      <c r="A7" s="14" t="s">
        <v>383</v>
      </c>
      <c r="B7" s="14"/>
      <c r="J7">
        <v>2</v>
      </c>
      <c r="K7" t="s">
        <v>393</v>
      </c>
    </row>
    <row r="8" spans="1:11" x14ac:dyDescent="0.2">
      <c r="A8" s="14" t="s">
        <v>384</v>
      </c>
      <c r="B8" s="14"/>
      <c r="J8">
        <v>2</v>
      </c>
      <c r="K8" t="s">
        <v>394</v>
      </c>
    </row>
    <row r="9" spans="1:11" x14ac:dyDescent="0.2">
      <c r="J9">
        <v>2.5</v>
      </c>
      <c r="K9" t="s">
        <v>403</v>
      </c>
    </row>
    <row r="10" spans="1:11" x14ac:dyDescent="0.2">
      <c r="J10">
        <v>6</v>
      </c>
      <c r="K10" t="s">
        <v>404</v>
      </c>
    </row>
    <row r="11" spans="1:11" x14ac:dyDescent="0.2">
      <c r="J11">
        <v>1</v>
      </c>
      <c r="K11" t="s">
        <v>397</v>
      </c>
    </row>
    <row r="12" spans="1:11" x14ac:dyDescent="0.2">
      <c r="J12">
        <v>2</v>
      </c>
      <c r="K12" t="s">
        <v>398</v>
      </c>
    </row>
    <row r="13" spans="1:11" x14ac:dyDescent="0.2">
      <c r="J13">
        <v>1.5</v>
      </c>
      <c r="K13" t="s">
        <v>400</v>
      </c>
    </row>
    <row r="14" spans="1:11" x14ac:dyDescent="0.2">
      <c r="J14">
        <v>2</v>
      </c>
      <c r="K14" t="s">
        <v>410</v>
      </c>
    </row>
    <row r="15" spans="1:11" x14ac:dyDescent="0.2">
      <c r="J15">
        <v>2</v>
      </c>
      <c r="K15" t="s">
        <v>409</v>
      </c>
    </row>
    <row r="16" spans="1:11" x14ac:dyDescent="0.2">
      <c r="J16">
        <v>4</v>
      </c>
      <c r="K16" t="s">
        <v>407</v>
      </c>
    </row>
    <row r="17" spans="10:14" x14ac:dyDescent="0.2">
      <c r="J17">
        <v>20</v>
      </c>
      <c r="K17" t="s">
        <v>408</v>
      </c>
    </row>
    <row r="19" spans="10:14" x14ac:dyDescent="0.2">
      <c r="M19">
        <v>0.75</v>
      </c>
      <c r="N19" t="s">
        <v>395</v>
      </c>
    </row>
    <row r="20" spans="10:14" x14ac:dyDescent="0.2">
      <c r="M20">
        <v>0.75</v>
      </c>
      <c r="N20" t="s">
        <v>396</v>
      </c>
    </row>
    <row r="21" spans="10:14" x14ac:dyDescent="0.2">
      <c r="M21">
        <v>2</v>
      </c>
      <c r="N21" t="s">
        <v>399</v>
      </c>
    </row>
    <row r="22" spans="10:14" x14ac:dyDescent="0.2">
      <c r="M22">
        <v>100558660.2178771</v>
      </c>
      <c r="N22" t="s">
        <v>401</v>
      </c>
    </row>
    <row r="23" spans="10:14" x14ac:dyDescent="0.2">
      <c r="M23">
        <v>0.5</v>
      </c>
      <c r="N23" t="s">
        <v>402</v>
      </c>
    </row>
    <row r="24" spans="10:14" x14ac:dyDescent="0.2">
      <c r="J24">
        <v>6.5</v>
      </c>
      <c r="K24" t="s">
        <v>406</v>
      </c>
      <c r="M24">
        <v>11</v>
      </c>
      <c r="N24" t="s">
        <v>405</v>
      </c>
    </row>
    <row r="29" spans="10:14" x14ac:dyDescent="0.2">
      <c r="J29">
        <v>7</v>
      </c>
      <c r="K29" t="s">
        <v>411</v>
      </c>
    </row>
    <row r="30" spans="10:14" x14ac:dyDescent="0.2">
      <c r="J30">
        <v>21</v>
      </c>
      <c r="K30" t="s">
        <v>412</v>
      </c>
    </row>
    <row r="31" spans="10:14" x14ac:dyDescent="0.2">
      <c r="J31">
        <v>8.5</v>
      </c>
      <c r="K31" t="s">
        <v>413</v>
      </c>
    </row>
    <row r="32" spans="10:14" x14ac:dyDescent="0.2">
      <c r="J32">
        <v>24</v>
      </c>
      <c r="K32" t="s">
        <v>414</v>
      </c>
    </row>
    <row r="33" spans="10:11" x14ac:dyDescent="0.2">
      <c r="J33">
        <v>36</v>
      </c>
      <c r="K33" t="s">
        <v>415</v>
      </c>
    </row>
    <row r="34" spans="10:11" x14ac:dyDescent="0.2">
      <c r="J34">
        <v>6</v>
      </c>
      <c r="K34" t="s">
        <v>416</v>
      </c>
    </row>
    <row r="35" spans="10:11" x14ac:dyDescent="0.2">
      <c r="J35">
        <v>42</v>
      </c>
      <c r="K35" t="s">
        <v>417</v>
      </c>
    </row>
    <row r="36" spans="10:11" x14ac:dyDescent="0.2">
      <c r="J36">
        <v>67</v>
      </c>
      <c r="K36" t="s">
        <v>418</v>
      </c>
    </row>
    <row r="37" spans="10:11" x14ac:dyDescent="0.2">
      <c r="J37">
        <v>6</v>
      </c>
      <c r="K37" t="s">
        <v>419</v>
      </c>
    </row>
    <row r="38" spans="10:11" x14ac:dyDescent="0.2">
      <c r="J38">
        <v>56</v>
      </c>
      <c r="K38" t="s">
        <v>420</v>
      </c>
    </row>
    <row r="39" spans="10:11" x14ac:dyDescent="0.2">
      <c r="J39">
        <v>22</v>
      </c>
      <c r="K39" t="s">
        <v>421</v>
      </c>
    </row>
    <row r="40" spans="10:11" x14ac:dyDescent="0.2">
      <c r="J40">
        <v>13</v>
      </c>
      <c r="K40" t="s">
        <v>422</v>
      </c>
    </row>
    <row r="41" spans="10:11" x14ac:dyDescent="0.2">
      <c r="J41">
        <v>5</v>
      </c>
      <c r="K41" t="s">
        <v>423</v>
      </c>
    </row>
    <row r="42" spans="10:11" x14ac:dyDescent="0.2">
      <c r="J42">
        <v>5</v>
      </c>
      <c r="K42" t="s">
        <v>424</v>
      </c>
    </row>
    <row r="43" spans="10:11" x14ac:dyDescent="0.2">
      <c r="J43">
        <v>11</v>
      </c>
      <c r="K43" t="s">
        <v>425</v>
      </c>
    </row>
    <row r="44" spans="10:11" x14ac:dyDescent="0.2">
      <c r="J44">
        <v>9</v>
      </c>
      <c r="K44" t="s">
        <v>426</v>
      </c>
    </row>
    <row r="45" spans="10:11" x14ac:dyDescent="0.2">
      <c r="J45">
        <v>29</v>
      </c>
      <c r="K45" t="s">
        <v>427</v>
      </c>
    </row>
    <row r="46" spans="10:11" x14ac:dyDescent="0.2">
      <c r="J46">
        <v>4.5</v>
      </c>
      <c r="K46" t="s">
        <v>428</v>
      </c>
    </row>
    <row r="47" spans="10:11" x14ac:dyDescent="0.2">
      <c r="J47">
        <v>4</v>
      </c>
      <c r="K47" t="s">
        <v>429</v>
      </c>
    </row>
    <row r="48" spans="10:11" x14ac:dyDescent="0.2">
      <c r="J48">
        <v>4</v>
      </c>
      <c r="K48" t="s">
        <v>430</v>
      </c>
    </row>
    <row r="49" spans="10:11" x14ac:dyDescent="0.2">
      <c r="J49">
        <v>26</v>
      </c>
      <c r="K49" t="s">
        <v>431</v>
      </c>
    </row>
    <row r="62" spans="10:11" x14ac:dyDescent="0.2">
      <c r="J62">
        <v>57.5</v>
      </c>
      <c r="K62" t="s">
        <v>432</v>
      </c>
    </row>
    <row r="63" spans="10:11" x14ac:dyDescent="0.2">
      <c r="J63">
        <v>44</v>
      </c>
      <c r="K63" t="s">
        <v>433</v>
      </c>
    </row>
    <row r="64" spans="10:11" x14ac:dyDescent="0.2">
      <c r="J64">
        <v>182</v>
      </c>
      <c r="K64" t="s">
        <v>434</v>
      </c>
    </row>
    <row r="65" spans="10:11" x14ac:dyDescent="0.2">
      <c r="J65">
        <v>27</v>
      </c>
      <c r="K65" t="s">
        <v>435</v>
      </c>
    </row>
    <row r="66" spans="10:11" x14ac:dyDescent="0.2">
      <c r="J66">
        <v>167</v>
      </c>
      <c r="K66" t="s">
        <v>436</v>
      </c>
    </row>
    <row r="67" spans="10:11" x14ac:dyDescent="0.2">
      <c r="J67">
        <v>47</v>
      </c>
      <c r="K67" t="s">
        <v>437</v>
      </c>
    </row>
    <row r="68" spans="10:11" x14ac:dyDescent="0.2">
      <c r="J68">
        <v>16.875</v>
      </c>
      <c r="K68" t="s">
        <v>438</v>
      </c>
    </row>
    <row r="69" spans="10:11" x14ac:dyDescent="0.2">
      <c r="J69">
        <v>865</v>
      </c>
      <c r="K69" t="s">
        <v>439</v>
      </c>
    </row>
    <row r="70" spans="10:11" x14ac:dyDescent="0.2">
      <c r="J70">
        <v>0.5</v>
      </c>
      <c r="K70" t="s">
        <v>440</v>
      </c>
    </row>
    <row r="71" spans="10:11" x14ac:dyDescent="0.2">
      <c r="J71">
        <v>6</v>
      </c>
      <c r="K71" t="s">
        <v>441</v>
      </c>
    </row>
    <row r="72" spans="10:11" x14ac:dyDescent="0.2">
      <c r="J72">
        <v>18.5</v>
      </c>
      <c r="K72" t="s">
        <v>442</v>
      </c>
    </row>
    <row r="73" spans="10:11" x14ac:dyDescent="0.2">
      <c r="J73">
        <v>4</v>
      </c>
      <c r="K73" t="s">
        <v>443</v>
      </c>
    </row>
    <row r="74" spans="10:11" x14ac:dyDescent="0.2">
      <c r="J74">
        <v>40.25</v>
      </c>
      <c r="K74" t="s">
        <v>444</v>
      </c>
    </row>
    <row r="75" spans="10:11" x14ac:dyDescent="0.2">
      <c r="J75">
        <v>107</v>
      </c>
      <c r="K75" t="s">
        <v>445</v>
      </c>
    </row>
    <row r="76" spans="10:11" x14ac:dyDescent="0.2">
      <c r="J76">
        <v>19</v>
      </c>
      <c r="K76" t="s">
        <v>446</v>
      </c>
    </row>
    <row r="77" spans="10:11" x14ac:dyDescent="0.2">
      <c r="J77">
        <v>181</v>
      </c>
      <c r="K77" t="s">
        <v>447</v>
      </c>
    </row>
    <row r="81" spans="10:11" x14ac:dyDescent="0.2">
      <c r="J81">
        <v>7.5</v>
      </c>
      <c r="K81" t="s">
        <v>448</v>
      </c>
    </row>
    <row r="82" spans="10:11" x14ac:dyDescent="0.2">
      <c r="J82">
        <v>10</v>
      </c>
      <c r="K82" t="s">
        <v>449</v>
      </c>
    </row>
    <row r="83" spans="10:11" x14ac:dyDescent="0.2">
      <c r="J83">
        <v>48</v>
      </c>
      <c r="K83" t="s">
        <v>450</v>
      </c>
    </row>
    <row r="84" spans="10:11" x14ac:dyDescent="0.2">
      <c r="J84">
        <v>81</v>
      </c>
      <c r="K84" t="s">
        <v>451</v>
      </c>
    </row>
    <row r="85" spans="10:11" x14ac:dyDescent="0.2">
      <c r="J85">
        <v>125</v>
      </c>
      <c r="K85" t="s">
        <v>452</v>
      </c>
    </row>
    <row r="86" spans="10:11" x14ac:dyDescent="0.2">
      <c r="J86">
        <v>297.5</v>
      </c>
      <c r="K86" t="s">
        <v>453</v>
      </c>
    </row>
  </sheetData>
  <mergeCells count="8">
    <mergeCell ref="A7:B7"/>
    <mergeCell ref="A8:B8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9A3C-C9E1-47AB-88F3-A1B895362841}">
  <dimension ref="A1:U106"/>
  <sheetViews>
    <sheetView workbookViewId="0">
      <selection activeCell="E9" sqref="E9"/>
    </sheetView>
  </sheetViews>
  <sheetFormatPr defaultRowHeight="14.25" x14ac:dyDescent="0.2"/>
  <cols>
    <col min="1" max="1" width="19.875" customWidth="1"/>
    <col min="2" max="2" width="11.75" customWidth="1"/>
  </cols>
  <sheetData>
    <row r="1" spans="1:21" ht="23.25" x14ac:dyDescent="0.35">
      <c r="A1" s="16" t="s">
        <v>304</v>
      </c>
      <c r="B1" s="16"/>
      <c r="C1" s="17"/>
      <c r="D1" t="s">
        <v>377</v>
      </c>
      <c r="E1" s="15" t="s">
        <v>308</v>
      </c>
      <c r="F1" s="16"/>
      <c r="G1" s="16"/>
      <c r="H1" s="17"/>
      <c r="I1" s="15" t="s">
        <v>305</v>
      </c>
      <c r="J1" s="16"/>
      <c r="K1" s="16"/>
      <c r="L1" s="16"/>
      <c r="M1" s="16"/>
      <c r="N1" s="16"/>
      <c r="O1" s="16"/>
      <c r="P1" s="17"/>
      <c r="Q1" s="15" t="s">
        <v>371</v>
      </c>
      <c r="R1" s="16"/>
      <c r="S1" s="16"/>
      <c r="T1" s="16"/>
      <c r="U1" s="16"/>
    </row>
    <row r="2" spans="1:21" x14ac:dyDescent="0.2">
      <c r="A2" t="s">
        <v>301</v>
      </c>
      <c r="B2" s="7">
        <v>4.1666666666666669E-4</v>
      </c>
      <c r="C2" s="8"/>
      <c r="D2" s="8">
        <v>20</v>
      </c>
      <c r="E2" t="s">
        <v>310</v>
      </c>
      <c r="F2">
        <v>5</v>
      </c>
      <c r="G2" t="s">
        <v>309</v>
      </c>
      <c r="H2" t="s">
        <v>338</v>
      </c>
      <c r="I2" s="9" t="s">
        <v>306</v>
      </c>
      <c r="J2">
        <v>10</v>
      </c>
      <c r="K2" t="s">
        <v>307</v>
      </c>
      <c r="L2">
        <v>10</v>
      </c>
      <c r="P2" s="8"/>
      <c r="Q2" t="s">
        <v>372</v>
      </c>
      <c r="R2" t="s">
        <v>373</v>
      </c>
      <c r="S2" t="s">
        <v>374</v>
      </c>
      <c r="T2" t="s">
        <v>375</v>
      </c>
      <c r="U2" t="s">
        <v>376</v>
      </c>
    </row>
    <row r="3" spans="1:21" x14ac:dyDescent="0.2">
      <c r="A3" t="s">
        <v>302</v>
      </c>
      <c r="B3" s="7">
        <v>7.6388888888888893E-4</v>
      </c>
      <c r="C3" s="8"/>
      <c r="D3">
        <v>30</v>
      </c>
      <c r="E3" s="9" t="s">
        <v>311</v>
      </c>
      <c r="F3" t="s">
        <v>312</v>
      </c>
      <c r="G3" t="s">
        <v>341</v>
      </c>
      <c r="H3">
        <v>2</v>
      </c>
      <c r="I3" s="9" t="s">
        <v>313</v>
      </c>
      <c r="J3">
        <v>3</v>
      </c>
      <c r="K3" t="s">
        <v>339</v>
      </c>
      <c r="L3">
        <v>1</v>
      </c>
      <c r="M3" t="s">
        <v>340</v>
      </c>
      <c r="N3">
        <v>10</v>
      </c>
      <c r="P3" s="8"/>
    </row>
    <row r="4" spans="1:21" x14ac:dyDescent="0.2">
      <c r="A4" t="s">
        <v>303</v>
      </c>
      <c r="B4" s="7">
        <v>1.7245370370370372E-3</v>
      </c>
      <c r="C4" s="8"/>
      <c r="D4">
        <v>30</v>
      </c>
      <c r="E4" s="9" t="s">
        <v>342</v>
      </c>
      <c r="F4" t="s">
        <v>343</v>
      </c>
      <c r="G4" t="s">
        <v>344</v>
      </c>
      <c r="H4">
        <v>2</v>
      </c>
      <c r="I4" s="9" t="s">
        <v>345</v>
      </c>
      <c r="J4" t="s">
        <v>347</v>
      </c>
      <c r="K4" t="s">
        <v>346</v>
      </c>
      <c r="L4" t="s">
        <v>347</v>
      </c>
      <c r="P4" s="8"/>
    </row>
    <row r="5" spans="1:21" x14ac:dyDescent="0.2">
      <c r="A5" s="1" t="s">
        <v>16</v>
      </c>
      <c r="B5" s="7">
        <v>2.0833333333333333E-3</v>
      </c>
      <c r="C5" s="8"/>
      <c r="D5">
        <v>30</v>
      </c>
      <c r="E5" s="9"/>
      <c r="I5" s="9" t="s">
        <v>345</v>
      </c>
      <c r="J5" t="s">
        <v>348</v>
      </c>
      <c r="K5" t="s">
        <v>346</v>
      </c>
      <c r="L5" t="s">
        <v>348</v>
      </c>
      <c r="M5" t="s">
        <v>350</v>
      </c>
      <c r="N5">
        <v>1</v>
      </c>
      <c r="O5" t="s">
        <v>349</v>
      </c>
      <c r="P5" s="8" t="s">
        <v>351</v>
      </c>
    </row>
    <row r="6" spans="1:21" x14ac:dyDescent="0.2">
      <c r="A6" t="s">
        <v>352</v>
      </c>
      <c r="B6" s="7">
        <v>2.488425925925926E-3</v>
      </c>
      <c r="C6" s="8"/>
      <c r="D6">
        <v>30</v>
      </c>
      <c r="E6" s="9" t="s">
        <v>342</v>
      </c>
      <c r="G6" t="s">
        <v>359</v>
      </c>
      <c r="I6" s="9" t="s">
        <v>350</v>
      </c>
      <c r="J6">
        <v>1</v>
      </c>
      <c r="K6" t="s">
        <v>353</v>
      </c>
      <c r="L6">
        <v>2</v>
      </c>
      <c r="M6" t="s">
        <v>360</v>
      </c>
      <c r="N6">
        <v>1</v>
      </c>
      <c r="O6" t="s">
        <v>349</v>
      </c>
      <c r="P6" s="8" t="s">
        <v>348</v>
      </c>
    </row>
    <row r="7" spans="1:21" x14ac:dyDescent="0.2">
      <c r="A7" t="s">
        <v>354</v>
      </c>
      <c r="B7" s="7">
        <v>3.5995370370370369E-3</v>
      </c>
      <c r="C7" s="8"/>
      <c r="D7">
        <v>90</v>
      </c>
      <c r="E7" s="9" t="s">
        <v>355</v>
      </c>
      <c r="I7" s="9" t="s">
        <v>349</v>
      </c>
      <c r="J7" t="s">
        <v>348</v>
      </c>
      <c r="K7" t="s">
        <v>356</v>
      </c>
      <c r="L7" t="s">
        <v>357</v>
      </c>
      <c r="M7" t="s">
        <v>358</v>
      </c>
      <c r="N7" t="s">
        <v>357</v>
      </c>
      <c r="P7" s="8"/>
      <c r="Q7">
        <v>20</v>
      </c>
    </row>
    <row r="8" spans="1:21" x14ac:dyDescent="0.2">
      <c r="A8" t="s">
        <v>361</v>
      </c>
      <c r="B8" s="7">
        <v>4.340277777777778E-3</v>
      </c>
      <c r="C8" s="8" t="s">
        <v>362</v>
      </c>
      <c r="D8">
        <v>60</v>
      </c>
      <c r="E8" s="9"/>
      <c r="I8" s="9"/>
      <c r="P8" s="8"/>
      <c r="Q8">
        <v>40</v>
      </c>
    </row>
    <row r="9" spans="1:21" x14ac:dyDescent="0.2">
      <c r="A9" t="s">
        <v>363</v>
      </c>
      <c r="B9" s="7">
        <v>6.6666666666666671E-3</v>
      </c>
      <c r="C9" s="8"/>
      <c r="D9">
        <v>200</v>
      </c>
      <c r="E9" s="9"/>
      <c r="I9" s="9"/>
      <c r="P9" s="8"/>
      <c r="Q9">
        <v>40</v>
      </c>
    </row>
    <row r="10" spans="1:21" x14ac:dyDescent="0.2">
      <c r="C10" s="8"/>
      <c r="E10" s="9"/>
      <c r="I10" s="9"/>
      <c r="P10" s="8"/>
    </row>
    <row r="11" spans="1:21" x14ac:dyDescent="0.2">
      <c r="C11" s="8"/>
      <c r="E11" s="9"/>
      <c r="I11" s="9"/>
      <c r="P11" s="8"/>
    </row>
    <row r="12" spans="1:21" x14ac:dyDescent="0.2">
      <c r="C12" s="8"/>
      <c r="E12" s="9"/>
      <c r="I12" s="9"/>
      <c r="P12" s="8"/>
    </row>
    <row r="13" spans="1:21" x14ac:dyDescent="0.2">
      <c r="A13" s="1" t="s">
        <v>39</v>
      </c>
      <c r="B13" s="1"/>
      <c r="C13" s="8"/>
      <c r="E13" s="9"/>
      <c r="I13" s="9"/>
      <c r="P13" s="8"/>
      <c r="Q13">
        <v>40</v>
      </c>
    </row>
    <row r="14" spans="1:21" x14ac:dyDescent="0.2">
      <c r="A14" t="s">
        <v>364</v>
      </c>
      <c r="C14" s="8"/>
      <c r="E14" s="9"/>
      <c r="I14" s="9"/>
      <c r="P14" s="8"/>
      <c r="Q14">
        <v>220</v>
      </c>
    </row>
    <row r="15" spans="1:21" x14ac:dyDescent="0.2">
      <c r="A15" t="s">
        <v>365</v>
      </c>
      <c r="C15" s="8"/>
      <c r="E15" s="9"/>
      <c r="I15" s="9"/>
      <c r="P15" s="8"/>
    </row>
    <row r="16" spans="1:21" x14ac:dyDescent="0.2">
      <c r="A16" t="s">
        <v>366</v>
      </c>
      <c r="C16" s="8"/>
      <c r="E16" s="9"/>
      <c r="I16" s="9"/>
      <c r="P16" s="8"/>
    </row>
    <row r="17" spans="1:18" x14ac:dyDescent="0.2">
      <c r="A17" t="s">
        <v>367</v>
      </c>
      <c r="C17" s="8"/>
      <c r="E17" s="9"/>
      <c r="I17" s="9"/>
      <c r="P17" s="8"/>
      <c r="Q17">
        <v>340</v>
      </c>
    </row>
    <row r="18" spans="1:18" x14ac:dyDescent="0.2">
      <c r="A18" t="s">
        <v>368</v>
      </c>
      <c r="C18" s="8"/>
      <c r="E18" s="9"/>
      <c r="I18" s="9"/>
      <c r="P18" s="8"/>
    </row>
    <row r="19" spans="1:18" x14ac:dyDescent="0.2">
      <c r="C19" s="8"/>
      <c r="E19" s="9"/>
      <c r="I19" s="9"/>
      <c r="P19" s="8"/>
    </row>
    <row r="20" spans="1:18" x14ac:dyDescent="0.2">
      <c r="A20" s="5" t="s">
        <v>29</v>
      </c>
      <c r="C20" s="8"/>
      <c r="E20" s="9"/>
      <c r="I20" s="9"/>
      <c r="P20" s="8"/>
    </row>
    <row r="21" spans="1:18" x14ac:dyDescent="0.2">
      <c r="A21" s="3" t="s">
        <v>19</v>
      </c>
      <c r="C21" s="8"/>
      <c r="E21" s="9"/>
      <c r="I21" s="9"/>
      <c r="P21" s="8"/>
    </row>
    <row r="22" spans="1:18" x14ac:dyDescent="0.2">
      <c r="A22" s="1" t="s">
        <v>38</v>
      </c>
      <c r="C22" s="8"/>
      <c r="E22" s="9"/>
      <c r="I22" s="9"/>
      <c r="P22" s="8"/>
    </row>
    <row r="23" spans="1:18" x14ac:dyDescent="0.2">
      <c r="A23" s="1" t="s">
        <v>40</v>
      </c>
      <c r="C23" s="8"/>
      <c r="E23" s="9"/>
      <c r="I23" s="9"/>
      <c r="P23" s="8"/>
    </row>
    <row r="24" spans="1:18" x14ac:dyDescent="0.2">
      <c r="A24" s="1" t="s">
        <v>369</v>
      </c>
      <c r="C24" s="8"/>
      <c r="E24" s="9"/>
      <c r="I24" s="9"/>
      <c r="P24" s="8"/>
    </row>
    <row r="25" spans="1:18" x14ac:dyDescent="0.2">
      <c r="A25" s="1" t="s">
        <v>41</v>
      </c>
      <c r="C25" s="8"/>
      <c r="E25" s="9"/>
      <c r="I25" s="9"/>
      <c r="P25" s="8"/>
      <c r="Q25">
        <v>340</v>
      </c>
      <c r="R25">
        <v>50</v>
      </c>
    </row>
    <row r="26" spans="1:18" x14ac:dyDescent="0.2">
      <c r="A26" s="1" t="s">
        <v>284</v>
      </c>
      <c r="C26" s="8"/>
      <c r="E26" s="9"/>
      <c r="I26" s="9"/>
      <c r="P26" s="8"/>
    </row>
    <row r="27" spans="1:18" x14ac:dyDescent="0.2">
      <c r="A27" s="1" t="s">
        <v>230</v>
      </c>
      <c r="C27" s="8"/>
      <c r="E27" s="9"/>
      <c r="I27" s="9"/>
      <c r="P27" s="8"/>
      <c r="Q27">
        <v>340</v>
      </c>
      <c r="R27">
        <v>100</v>
      </c>
    </row>
    <row r="28" spans="1:18" x14ac:dyDescent="0.2">
      <c r="A28" s="1" t="s">
        <v>286</v>
      </c>
      <c r="C28" s="8"/>
      <c r="E28" s="9"/>
      <c r="P28" s="8"/>
    </row>
    <row r="29" spans="1:18" x14ac:dyDescent="0.2">
      <c r="A29" s="5" t="s">
        <v>42</v>
      </c>
      <c r="C29" s="8"/>
      <c r="E29" s="9"/>
      <c r="P29" s="8"/>
    </row>
    <row r="30" spans="1:18" x14ac:dyDescent="0.2">
      <c r="A30" s="1" t="s">
        <v>32</v>
      </c>
      <c r="C30" s="8"/>
      <c r="E30" s="9"/>
      <c r="P30" s="8"/>
    </row>
    <row r="31" spans="1:18" x14ac:dyDescent="0.2">
      <c r="A31" s="1" t="s">
        <v>35</v>
      </c>
      <c r="C31" s="8"/>
      <c r="E31" s="9"/>
      <c r="P31" s="8"/>
      <c r="Q31">
        <v>340</v>
      </c>
      <c r="R31">
        <v>150</v>
      </c>
    </row>
    <row r="32" spans="1:18" x14ac:dyDescent="0.2">
      <c r="A32" s="1" t="s">
        <v>370</v>
      </c>
      <c r="C32" s="8"/>
      <c r="E32" s="9"/>
      <c r="P32" s="8"/>
    </row>
    <row r="33" spans="1:18" x14ac:dyDescent="0.2">
      <c r="A33" s="1" t="s">
        <v>287</v>
      </c>
      <c r="C33" s="8"/>
      <c r="E33" s="9"/>
      <c r="P33" s="8"/>
    </row>
    <row r="34" spans="1:18" x14ac:dyDescent="0.2">
      <c r="A34" s="5" t="s">
        <v>66</v>
      </c>
      <c r="C34" s="8"/>
      <c r="E34" s="9"/>
      <c r="P34" s="8"/>
      <c r="Q34">
        <v>360</v>
      </c>
      <c r="R34">
        <v>225</v>
      </c>
    </row>
    <row r="35" spans="1:18" x14ac:dyDescent="0.2">
      <c r="A35" s="1" t="s">
        <v>59</v>
      </c>
      <c r="C35" s="8"/>
      <c r="E35" s="9"/>
      <c r="P35" s="8"/>
    </row>
    <row r="36" spans="1:18" x14ac:dyDescent="0.2">
      <c r="A36" s="1" t="s">
        <v>288</v>
      </c>
      <c r="C36" s="8"/>
      <c r="E36" s="9"/>
      <c r="P36" s="8"/>
    </row>
    <row r="37" spans="1:18" x14ac:dyDescent="0.2">
      <c r="A37" s="1" t="s">
        <v>37</v>
      </c>
      <c r="C37" s="8"/>
      <c r="E37" s="9"/>
      <c r="P37" s="8"/>
    </row>
    <row r="38" spans="1:18" x14ac:dyDescent="0.2">
      <c r="A38" s="1" t="s">
        <v>231</v>
      </c>
      <c r="C38" s="8"/>
      <c r="E38" s="9"/>
      <c r="P38" s="8"/>
    </row>
    <row r="39" spans="1:18" x14ac:dyDescent="0.2">
      <c r="A39" s="1" t="s">
        <v>290</v>
      </c>
      <c r="C39" s="8"/>
      <c r="E39" s="9"/>
      <c r="P39" s="8"/>
      <c r="Q39">
        <v>360</v>
      </c>
      <c r="R39">
        <v>225</v>
      </c>
    </row>
    <row r="40" spans="1:18" x14ac:dyDescent="0.2">
      <c r="A40" s="1" t="s">
        <v>31</v>
      </c>
      <c r="C40" s="8"/>
      <c r="E40" s="9"/>
      <c r="P40" s="8"/>
    </row>
    <row r="41" spans="1:18" x14ac:dyDescent="0.2">
      <c r="A41" s="1" t="s">
        <v>51</v>
      </c>
      <c r="C41" s="8"/>
      <c r="E41" s="9"/>
      <c r="P41" s="8"/>
    </row>
    <row r="42" spans="1:18" x14ac:dyDescent="0.2">
      <c r="A42" s="1" t="s">
        <v>74</v>
      </c>
      <c r="C42" s="8"/>
      <c r="E42" s="9"/>
      <c r="P42" s="8"/>
    </row>
    <row r="43" spans="1:18" x14ac:dyDescent="0.2">
      <c r="A43" s="1" t="s">
        <v>33</v>
      </c>
      <c r="C43" s="8"/>
      <c r="E43" s="9"/>
      <c r="P43" s="8"/>
    </row>
    <row r="44" spans="1:18" x14ac:dyDescent="0.2">
      <c r="A44" s="1" t="s">
        <v>17</v>
      </c>
      <c r="C44" s="8"/>
      <c r="E44" s="9"/>
      <c r="P44" s="8"/>
    </row>
    <row r="45" spans="1:18" x14ac:dyDescent="0.2">
      <c r="A45" s="1" t="s">
        <v>76</v>
      </c>
      <c r="C45" s="8"/>
      <c r="E45" s="9"/>
      <c r="P45" s="8"/>
    </row>
    <row r="46" spans="1:18" x14ac:dyDescent="0.2">
      <c r="A46" s="1" t="s">
        <v>46</v>
      </c>
      <c r="C46" s="8"/>
      <c r="E46" s="9"/>
      <c r="P46" s="8"/>
    </row>
    <row r="47" spans="1:18" x14ac:dyDescent="0.2">
      <c r="A47" s="1" t="s">
        <v>67</v>
      </c>
      <c r="C47" s="8"/>
      <c r="E47" s="9"/>
      <c r="P47" s="8"/>
    </row>
    <row r="48" spans="1:18" x14ac:dyDescent="0.2">
      <c r="A48" s="1" t="s">
        <v>22</v>
      </c>
      <c r="C48" s="8"/>
      <c r="E48" s="9"/>
      <c r="P48" s="8"/>
    </row>
    <row r="49" spans="1:16" x14ac:dyDescent="0.2">
      <c r="A49" s="1" t="s">
        <v>43</v>
      </c>
      <c r="C49" s="8"/>
      <c r="E49" s="9"/>
      <c r="P49" s="8"/>
    </row>
    <row r="50" spans="1:16" x14ac:dyDescent="0.2">
      <c r="A50" s="1" t="s">
        <v>49</v>
      </c>
      <c r="C50" s="8"/>
      <c r="E50" s="9"/>
      <c r="P50" s="8"/>
    </row>
    <row r="51" spans="1:16" x14ac:dyDescent="0.2">
      <c r="A51" s="1" t="s">
        <v>44</v>
      </c>
      <c r="C51" s="8"/>
      <c r="E51" s="9"/>
      <c r="P51" s="8"/>
    </row>
    <row r="52" spans="1:16" x14ac:dyDescent="0.2">
      <c r="A52" s="1" t="s">
        <v>45</v>
      </c>
      <c r="C52" s="8"/>
      <c r="E52" s="9"/>
      <c r="P52" s="8"/>
    </row>
    <row r="53" spans="1:16" x14ac:dyDescent="0.2">
      <c r="C53" s="8"/>
      <c r="E53" s="9"/>
      <c r="P53" s="8"/>
    </row>
    <row r="54" spans="1:16" x14ac:dyDescent="0.2">
      <c r="C54" s="8"/>
      <c r="E54" s="9"/>
      <c r="P54" s="8"/>
    </row>
    <row r="55" spans="1:16" x14ac:dyDescent="0.2">
      <c r="C55" s="8"/>
      <c r="E55" s="9"/>
      <c r="P55" s="8"/>
    </row>
    <row r="56" spans="1:16" x14ac:dyDescent="0.2">
      <c r="C56" s="8"/>
      <c r="E56" s="9"/>
      <c r="P56" s="8"/>
    </row>
    <row r="57" spans="1:16" x14ac:dyDescent="0.2">
      <c r="C57" s="8"/>
      <c r="E57" s="9"/>
      <c r="P57" s="8"/>
    </row>
    <row r="58" spans="1:16" x14ac:dyDescent="0.2">
      <c r="C58" s="8"/>
      <c r="E58" s="9"/>
      <c r="P58" s="8"/>
    </row>
    <row r="59" spans="1:16" x14ac:dyDescent="0.2">
      <c r="C59" s="8"/>
      <c r="E59" s="9"/>
      <c r="P59" s="8"/>
    </row>
    <row r="60" spans="1:16" x14ac:dyDescent="0.2">
      <c r="C60" s="8"/>
      <c r="E60" s="9"/>
      <c r="P60" s="8"/>
    </row>
    <row r="61" spans="1:16" x14ac:dyDescent="0.2">
      <c r="C61" s="8"/>
      <c r="E61" s="9"/>
      <c r="P61" s="8"/>
    </row>
    <row r="62" spans="1:16" x14ac:dyDescent="0.2">
      <c r="C62" s="8"/>
      <c r="E62" s="9"/>
      <c r="P62" s="8"/>
    </row>
    <row r="63" spans="1:16" x14ac:dyDescent="0.2">
      <c r="C63" s="8"/>
      <c r="E63" s="9"/>
      <c r="P63" s="8"/>
    </row>
    <row r="64" spans="1:16" x14ac:dyDescent="0.2">
      <c r="C64" s="8"/>
      <c r="E64" s="9"/>
      <c r="P64" s="8"/>
    </row>
    <row r="65" spans="3:16" x14ac:dyDescent="0.2">
      <c r="C65" s="8"/>
      <c r="E65" s="9"/>
      <c r="P65" s="8"/>
    </row>
    <row r="66" spans="3:16" x14ac:dyDescent="0.2">
      <c r="C66" s="8"/>
      <c r="E66" s="9"/>
      <c r="P66" s="8"/>
    </row>
    <row r="67" spans="3:16" x14ac:dyDescent="0.2">
      <c r="C67" s="8"/>
      <c r="E67" s="9"/>
      <c r="P67" s="8"/>
    </row>
    <row r="68" spans="3:16" x14ac:dyDescent="0.2">
      <c r="C68" s="8"/>
      <c r="E68" s="9"/>
      <c r="P68" s="8"/>
    </row>
    <row r="69" spans="3:16" x14ac:dyDescent="0.2">
      <c r="C69" s="8"/>
      <c r="E69" s="9"/>
      <c r="P69" s="8"/>
    </row>
    <row r="70" spans="3:16" x14ac:dyDescent="0.2">
      <c r="C70" s="8"/>
      <c r="E70" s="9"/>
      <c r="P70" s="8"/>
    </row>
    <row r="71" spans="3:16" x14ac:dyDescent="0.2">
      <c r="C71" s="8"/>
      <c r="E71" s="9"/>
      <c r="P71" s="8"/>
    </row>
    <row r="72" spans="3:16" x14ac:dyDescent="0.2">
      <c r="C72" s="8"/>
      <c r="E72" s="9"/>
      <c r="P72" s="8"/>
    </row>
    <row r="73" spans="3:16" x14ac:dyDescent="0.2">
      <c r="C73" s="8"/>
      <c r="E73" s="9"/>
      <c r="P73" s="8"/>
    </row>
    <row r="74" spans="3:16" x14ac:dyDescent="0.2">
      <c r="C74" s="8"/>
      <c r="E74" s="9"/>
      <c r="P74" s="8"/>
    </row>
    <row r="75" spans="3:16" x14ac:dyDescent="0.2">
      <c r="C75" s="8"/>
      <c r="E75" s="9"/>
      <c r="P75" s="8"/>
    </row>
    <row r="76" spans="3:16" x14ac:dyDescent="0.2">
      <c r="C76" s="8"/>
      <c r="E76" s="9"/>
      <c r="P76" s="8"/>
    </row>
    <row r="77" spans="3:16" x14ac:dyDescent="0.2">
      <c r="C77" s="8"/>
      <c r="E77" s="9"/>
      <c r="P77" s="8"/>
    </row>
    <row r="78" spans="3:16" x14ac:dyDescent="0.2">
      <c r="C78" s="8"/>
      <c r="E78" s="9"/>
      <c r="P78" s="8"/>
    </row>
    <row r="79" spans="3:16" x14ac:dyDescent="0.2">
      <c r="C79" s="8"/>
      <c r="E79" s="9"/>
      <c r="P79" s="8"/>
    </row>
    <row r="80" spans="3:16" x14ac:dyDescent="0.2">
      <c r="C80" s="8"/>
      <c r="E80" s="9"/>
      <c r="P80" s="8"/>
    </row>
    <row r="81" spans="3:16" x14ac:dyDescent="0.2">
      <c r="C81" s="8"/>
      <c r="E81" s="9"/>
      <c r="P81" s="8"/>
    </row>
    <row r="82" spans="3:16" x14ac:dyDescent="0.2">
      <c r="C82" s="8"/>
      <c r="E82" s="9"/>
      <c r="P82" s="8"/>
    </row>
    <row r="83" spans="3:16" x14ac:dyDescent="0.2">
      <c r="C83" s="8"/>
      <c r="E83" s="9"/>
      <c r="P83" s="8"/>
    </row>
    <row r="84" spans="3:16" x14ac:dyDescent="0.2">
      <c r="C84" s="8"/>
      <c r="E84" s="9"/>
      <c r="P84" s="8"/>
    </row>
    <row r="85" spans="3:16" x14ac:dyDescent="0.2">
      <c r="C85" s="8"/>
      <c r="E85" s="9"/>
      <c r="P85" s="8"/>
    </row>
    <row r="86" spans="3:16" x14ac:dyDescent="0.2">
      <c r="C86" s="8"/>
      <c r="E86" s="9"/>
      <c r="P86" s="8"/>
    </row>
    <row r="87" spans="3:16" x14ac:dyDescent="0.2">
      <c r="C87" s="8"/>
      <c r="E87" s="9"/>
      <c r="P87" s="8"/>
    </row>
    <row r="88" spans="3:16" x14ac:dyDescent="0.2">
      <c r="C88" s="8"/>
      <c r="E88" s="9"/>
      <c r="P88" s="8"/>
    </row>
    <row r="89" spans="3:16" x14ac:dyDescent="0.2">
      <c r="C89" s="8"/>
      <c r="E89" s="9"/>
      <c r="P89" s="8"/>
    </row>
    <row r="90" spans="3:16" x14ac:dyDescent="0.2">
      <c r="C90" s="8"/>
      <c r="E90" s="9"/>
      <c r="P90" s="8"/>
    </row>
    <row r="91" spans="3:16" x14ac:dyDescent="0.2">
      <c r="C91" s="8"/>
      <c r="E91" s="9"/>
      <c r="P91" s="8"/>
    </row>
    <row r="92" spans="3:16" x14ac:dyDescent="0.2">
      <c r="C92" s="8"/>
      <c r="E92" s="9"/>
      <c r="P92" s="8"/>
    </row>
    <row r="93" spans="3:16" x14ac:dyDescent="0.2">
      <c r="C93" s="8"/>
      <c r="E93" s="9"/>
      <c r="P93" s="8"/>
    </row>
    <row r="94" spans="3:16" x14ac:dyDescent="0.2">
      <c r="C94" s="8"/>
      <c r="E94" s="9"/>
      <c r="P94" s="8"/>
    </row>
    <row r="95" spans="3:16" x14ac:dyDescent="0.2">
      <c r="C95" s="8"/>
      <c r="E95" s="9"/>
      <c r="P95" s="8"/>
    </row>
    <row r="96" spans="3:16" x14ac:dyDescent="0.2">
      <c r="C96" s="8"/>
      <c r="E96" s="9"/>
      <c r="P96" s="8"/>
    </row>
    <row r="97" spans="3:16" x14ac:dyDescent="0.2">
      <c r="C97" s="8"/>
      <c r="E97" s="9"/>
      <c r="P97" s="8"/>
    </row>
    <row r="98" spans="3:16" x14ac:dyDescent="0.2">
      <c r="C98" s="8"/>
      <c r="E98" s="9"/>
      <c r="P98" s="8"/>
    </row>
    <row r="99" spans="3:16" x14ac:dyDescent="0.2">
      <c r="C99" s="8"/>
      <c r="E99" s="9"/>
      <c r="P99" s="8"/>
    </row>
    <row r="100" spans="3:16" x14ac:dyDescent="0.2">
      <c r="C100" s="8"/>
      <c r="E100" s="9"/>
      <c r="P100" s="8"/>
    </row>
    <row r="101" spans="3:16" x14ac:dyDescent="0.2">
      <c r="C101" s="8"/>
      <c r="E101" s="9"/>
      <c r="P101" s="8"/>
    </row>
    <row r="102" spans="3:16" x14ac:dyDescent="0.2">
      <c r="C102" s="8"/>
      <c r="E102" s="9"/>
      <c r="P102" s="8"/>
    </row>
    <row r="103" spans="3:16" x14ac:dyDescent="0.2">
      <c r="C103" s="8"/>
      <c r="E103" s="9"/>
      <c r="P103" s="8"/>
    </row>
    <row r="104" spans="3:16" x14ac:dyDescent="0.2">
      <c r="C104" s="8"/>
      <c r="E104" s="9"/>
      <c r="P104" s="8"/>
    </row>
    <row r="105" spans="3:16" x14ac:dyDescent="0.2">
      <c r="C105" s="8"/>
      <c r="E105" s="9"/>
      <c r="P105" s="8"/>
    </row>
    <row r="106" spans="3:16" x14ac:dyDescent="0.2">
      <c r="C106" s="8"/>
      <c r="E106" s="9"/>
      <c r="P106" s="8"/>
    </row>
  </sheetData>
  <mergeCells count="4">
    <mergeCell ref="E1:H1"/>
    <mergeCell ref="I1:P1"/>
    <mergeCell ref="Q1:U1"/>
    <mergeCell ref="A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星球建造规格</vt:lpstr>
      <vt:lpstr>建筑尺寸统计、分拣器建造条件</vt:lpstr>
      <vt:lpstr>分馏对撞卡顿比较</vt:lpstr>
      <vt:lpstr>通关科技需求</vt:lpstr>
      <vt:lpstr>机甲耗电</vt:lpstr>
      <vt:lpstr>建设机</vt:lpstr>
      <vt:lpstr>科技计算</vt:lpstr>
      <vt:lpstr>Sheet1</vt:lpstr>
      <vt:lpstr>流程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65352</dc:creator>
  <cp:lastModifiedBy>admin</cp:lastModifiedBy>
  <dcterms:created xsi:type="dcterms:W3CDTF">2015-06-05T18:17:20Z</dcterms:created>
  <dcterms:modified xsi:type="dcterms:W3CDTF">2024-04-26T08:42:00Z</dcterms:modified>
</cp:coreProperties>
</file>