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<sst xmlns="http://schemas.openxmlformats.org/spreadsheetml/2006/main" count="40" uniqueCount="23">
  <si>
    <t xml:space="preserve">Int every 1.25 sec:</t>
  </si>
  <si>
    <t xml:space="preserve">Int every 1 sec:</t>
  </si>
  <si>
    <t xml:space="preserve">Int every 0.75 sec</t>
  </si>
  <si>
    <t xml:space="preserve">Int every 0.5 sec:</t>
  </si>
  <si>
    <t xml:space="preserve">Dist: 143/(145-15)</t>
  </si>
  <si>
    <t xml:space="preserve">Dist: 143/(142-15)</t>
  </si>
  <si>
    <t xml:space="preserve">Dist: 143/(135-15)</t>
  </si>
  <si>
    <t xml:space="preserve">Dist: 143 / (127-15)</t>
  </si>
  <si>
    <t xml:space="preserve">P control r turn = 0.12</t>
  </si>
  <si>
    <t xml:space="preserve">PWM: 70</t>
  </si>
  <si>
    <t xml:space="preserve">Run time:</t>
  </si>
  <si>
    <t xml:space="preserve">Distance: 150cm max</t>
  </si>
  <si>
    <t xml:space="preserve">Avg Speed:</t>
  </si>
  <si>
    <t xml:space="preserve">Dist: 143/(148-15)</t>
  </si>
  <si>
    <t xml:space="preserve">Dist: 143/(144-15)</t>
  </si>
  <si>
    <t xml:space="preserve">Dist: 143/(139-15)</t>
  </si>
  <si>
    <t xml:space="preserve">Dist: 143 / (129-15)</t>
  </si>
  <si>
    <t xml:space="preserve">PWM: 50</t>
  </si>
  <si>
    <t xml:space="preserve">Pcontrol r turn = 0.1</t>
  </si>
  <si>
    <t xml:space="preserve">Dist: 142/(152-15)</t>
  </si>
  <si>
    <t xml:space="preserve">Dist: 142/(149-15)</t>
  </si>
  <si>
    <t xml:space="preserve">Dist: 143 / (134-15)</t>
  </si>
  <si>
    <t xml:space="preserve">PWM: 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</si>
</sst>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J10" activeCellId="0" sqref="J10"/>
    </sheetView>
  </sheetViews>
  <sheetFormatPr defaultRowHeight="15"/>
  <cols>
    <col collapsed="false" hidden="false" max="1" min="1" style="0" width="20.7908163265306"/>
    <col collapsed="false" hidden="false" max="2" min="2" style="0" width="16.3316326530612"/>
    <col collapsed="false" hidden="false" max="4" min="3" style="0" width="17.0102040816327"/>
    <col collapsed="false" hidden="false" max="5" min="5" style="0" width="16.6020408163265"/>
    <col collapsed="false" hidden="false" max="6" min="6" style="0" width="17.0102040816327"/>
    <col collapsed="false" hidden="false" max="9" min="7" style="0" width="17.5510204081633"/>
    <col collapsed="false" hidden="false" max="10" min="10" style="0" width="22.2755102040816"/>
    <col collapsed="false" hidden="false" max="11" min="11" style="0" width="9.20408163265306"/>
    <col collapsed="false" hidden="false" max="12" min="12" style="0" width="21.0612244897959"/>
    <col collapsed="false" hidden="false" max="1025" min="13" style="0" width="8.23469387755102"/>
  </cols>
  <sheetData>
    <row r="1" customFormat="false" ht="15" hidden="false" customHeight="false" outlineLevel="0" collapsed="false">
      <c r="C1" s="0" t="s">
        <v>0</v>
      </c>
      <c r="E1" s="0" t="s">
        <v>1</v>
      </c>
      <c r="G1" s="0" t="s">
        <v>2</v>
      </c>
      <c r="I1" s="0" t="s">
        <v>3</v>
      </c>
    </row>
    <row r="2" customFormat="false" ht="15" hidden="false" customHeight="false" outlineLevel="0" collapsed="false">
      <c r="C2" s="1" t="s">
        <v>4</v>
      </c>
      <c r="E2" s="1" t="s">
        <v>5</v>
      </c>
      <c r="G2" s="1" t="s">
        <v>6</v>
      </c>
      <c r="I2" s="0" t="s">
        <v>7</v>
      </c>
      <c r="L2" s="0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1" t="n">
        <f aca="false">5*(143/(145-15))</f>
        <v>5.5</v>
      </c>
      <c r="E3" s="1" t="n">
        <f aca="false">5*(143/(142-15))</f>
        <v>5.62992125984252</v>
      </c>
      <c r="G3" s="1" t="n">
        <f aca="false">5*(143/(135-15))</f>
        <v>5.95833333333333</v>
      </c>
      <c r="I3" s="0" t="n">
        <f aca="false">5*(143/(127-15))</f>
        <v>6.38392857142857</v>
      </c>
    </row>
    <row r="4" customFormat="false" ht="15" hidden="false" customHeight="false" outlineLevel="0" collapsed="false">
      <c r="A4" s="0" t="s">
        <v>11</v>
      </c>
      <c r="B4" s="0" t="n">
        <v>5</v>
      </c>
      <c r="C4" s="0" t="n">
        <v>5.5</v>
      </c>
      <c r="E4" s="0" t="n">
        <v>5.6</v>
      </c>
      <c r="G4" s="0" t="n">
        <v>6</v>
      </c>
      <c r="I4" s="0" t="n">
        <v>6.4</v>
      </c>
    </row>
    <row r="5" customFormat="false" ht="15" hidden="false" customHeight="false" outlineLevel="0" collapsed="false">
      <c r="A5" s="0" t="n">
        <f aca="false">156.9-15</f>
        <v>141.9</v>
      </c>
      <c r="B5" s="0" t="n">
        <f aca="false">A5/B4</f>
        <v>28.38</v>
      </c>
      <c r="C5" s="0" t="n">
        <f aca="false">159.1-15</f>
        <v>144.1</v>
      </c>
      <c r="D5" s="0" t="n">
        <f aca="false">C5/C4</f>
        <v>26.2</v>
      </c>
      <c r="E5" s="0" t="n">
        <f aca="false">156.8-15</f>
        <v>141.8</v>
      </c>
      <c r="F5" s="0" t="n">
        <f aca="false">E5/E4</f>
        <v>25.3214285714286</v>
      </c>
      <c r="G5" s="0" t="n">
        <f aca="false">162.2-15</f>
        <v>147.2</v>
      </c>
      <c r="H5" s="0" t="n">
        <f aca="false">G5/G4</f>
        <v>24.5333333333333</v>
      </c>
      <c r="I5" s="0" t="n">
        <f aca="false">158.5-15</f>
        <v>143.5</v>
      </c>
      <c r="J5" s="0" t="n">
        <f aca="false">I5/I4</f>
        <v>22.421875</v>
      </c>
    </row>
    <row r="6" customFormat="false" ht="15" hidden="false" customHeight="false" outlineLevel="0" collapsed="false">
      <c r="A6" s="0" t="n">
        <f aca="false">161.2-15</f>
        <v>146.2</v>
      </c>
      <c r="B6" s="0" t="n">
        <f aca="false">A6/B4</f>
        <v>29.24</v>
      </c>
      <c r="C6" s="0" t="n">
        <f aca="false">160.1-15</f>
        <v>145.1</v>
      </c>
      <c r="D6" s="0" t="n">
        <f aca="false">C6/C4</f>
        <v>26.3818181818182</v>
      </c>
      <c r="E6" s="0" t="n">
        <f aca="false">159.8-15</f>
        <v>144.8</v>
      </c>
      <c r="F6" s="0" t="n">
        <f aca="false">E6/E4</f>
        <v>25.8571428571429</v>
      </c>
      <c r="G6" s="0" t="n">
        <f aca="false">162.3-15</f>
        <v>147.3</v>
      </c>
      <c r="H6" s="0" t="n">
        <f aca="false">G6/G4</f>
        <v>24.55</v>
      </c>
      <c r="I6" s="0" t="n">
        <f aca="false">160.1-15</f>
        <v>145.1</v>
      </c>
      <c r="J6" s="0" t="n">
        <f aca="false">I6/I4</f>
        <v>22.671875</v>
      </c>
    </row>
    <row r="7" customFormat="false" ht="15" hidden="false" customHeight="false" outlineLevel="0" collapsed="false">
      <c r="A7" s="0" t="n">
        <f aca="false">159.6-15</f>
        <v>144.6</v>
      </c>
      <c r="B7" s="0" t="n">
        <f aca="false">A7/B4</f>
        <v>28.92</v>
      </c>
      <c r="C7" s="0" t="n">
        <f aca="false">159.3-15</f>
        <v>144.3</v>
      </c>
      <c r="D7" s="0" t="n">
        <f aca="false">C7/C4</f>
        <v>26.2363636363636</v>
      </c>
      <c r="E7" s="0" t="n">
        <f aca="false">160.4-15</f>
        <v>145.4</v>
      </c>
      <c r="F7" s="0" t="n">
        <f aca="false">E7/E4</f>
        <v>25.9642857142857</v>
      </c>
      <c r="G7" s="0" t="n">
        <f aca="false">163.1-15</f>
        <v>148.1</v>
      </c>
      <c r="H7" s="0" t="n">
        <f aca="false">G7/G4</f>
        <v>24.6833333333333</v>
      </c>
      <c r="I7" s="0" t="n">
        <f aca="false">162.3-15</f>
        <v>147.3</v>
      </c>
      <c r="J7" s="0" t="n">
        <f aca="false">I7/I4</f>
        <v>23.015625</v>
      </c>
    </row>
    <row r="8" customFormat="false" ht="15" hidden="false" customHeight="false" outlineLevel="0" collapsed="false">
      <c r="A8" s="0" t="n">
        <f aca="false">158.2-15</f>
        <v>143.2</v>
      </c>
      <c r="B8" s="0" t="n">
        <f aca="false">A8/B4</f>
        <v>28.64</v>
      </c>
      <c r="C8" s="0" t="n">
        <f aca="false">160.6-15</f>
        <v>145.6</v>
      </c>
      <c r="D8" s="0" t="n">
        <f aca="false">C8/C4</f>
        <v>26.4727272727273</v>
      </c>
      <c r="E8" s="0" t="n">
        <f aca="false">160.3-15</f>
        <v>145.3</v>
      </c>
      <c r="F8" s="0" t="n">
        <f aca="false">E8/E4</f>
        <v>25.9464285714286</v>
      </c>
      <c r="G8" s="0" t="n">
        <f aca="false">161.6-15</f>
        <v>146.6</v>
      </c>
      <c r="H8" s="0" t="n">
        <f aca="false">G8/G4</f>
        <v>24.4333333333333</v>
      </c>
      <c r="I8" s="0" t="n">
        <f aca="false">161.8-15</f>
        <v>146.8</v>
      </c>
      <c r="J8" s="0" t="n">
        <f aca="false">I8/I4</f>
        <v>22.9375</v>
      </c>
    </row>
    <row r="9" customFormat="false" ht="15" hidden="false" customHeight="false" outlineLevel="0" collapsed="false">
      <c r="A9" s="0" t="n">
        <f aca="false">158.1-15</f>
        <v>143.1</v>
      </c>
      <c r="B9" s="0" t="n">
        <f aca="false">A9/B4</f>
        <v>28.62</v>
      </c>
      <c r="C9" s="0" t="n">
        <f aca="false">160.9-15</f>
        <v>145.9</v>
      </c>
      <c r="D9" s="0" t="n">
        <f aca="false">C9/C4</f>
        <v>26.5272727272727</v>
      </c>
      <c r="E9" s="0" t="n">
        <f aca="false">158.6-15</f>
        <v>143.6</v>
      </c>
      <c r="F9" s="0" t="n">
        <f aca="false">E9/E4</f>
        <v>25.6428571428571</v>
      </c>
      <c r="G9" s="0" t="n">
        <f aca="false">162.2-15</f>
        <v>147.2</v>
      </c>
      <c r="H9" s="0" t="n">
        <f aca="false">G9/G4</f>
        <v>24.5333333333333</v>
      </c>
      <c r="I9" s="0" t="n">
        <f aca="false">160.2-15</f>
        <v>145.2</v>
      </c>
      <c r="J9" s="0" t="n">
        <f aca="false">I9/I4</f>
        <v>22.6875</v>
      </c>
    </row>
    <row r="10" customFormat="false" ht="15" hidden="false" customHeight="false" outlineLevel="0" collapsed="false">
      <c r="B10" s="0" t="n">
        <f aca="false">AVERAGE(B5:B9)</f>
        <v>28.76</v>
      </c>
      <c r="C10" s="0" t="s">
        <v>12</v>
      </c>
      <c r="D10" s="0" t="n">
        <f aca="false">AVERAGE(D5:D9)</f>
        <v>26.3636363636364</v>
      </c>
      <c r="E10" s="0" t="s">
        <v>12</v>
      </c>
      <c r="F10" s="0" t="n">
        <f aca="false">AVERAGE(F5:F9)</f>
        <v>25.7464285714286</v>
      </c>
      <c r="G10" s="0" t="s">
        <v>12</v>
      </c>
      <c r="H10" s="0" t="n">
        <f aca="false">AVERAGE(H5:H9)</f>
        <v>24.5466666666667</v>
      </c>
      <c r="I10" s="0" t="s">
        <v>12</v>
      </c>
      <c r="J10" s="0" t="n">
        <f aca="false">AVERAGE(J5:J9)</f>
        <v>22.746875</v>
      </c>
    </row>
    <row r="13" customFormat="false" ht="15" hidden="false" customHeight="false" outlineLevel="0" collapsed="false">
      <c r="C13" s="0" t="s">
        <v>0</v>
      </c>
      <c r="E13" s="0" t="s">
        <v>1</v>
      </c>
      <c r="G13" s="0" t="s">
        <v>2</v>
      </c>
      <c r="I13" s="0" t="s">
        <v>3</v>
      </c>
    </row>
    <row r="14" customFormat="false" ht="15" hidden="false" customHeight="false" outlineLevel="0" collapsed="false">
      <c r="C14" s="1" t="s">
        <v>13</v>
      </c>
      <c r="E14" s="1" t="s">
        <v>14</v>
      </c>
      <c r="G14" s="1" t="s">
        <v>15</v>
      </c>
      <c r="I14" s="0" t="s">
        <v>16</v>
      </c>
    </row>
    <row r="15" customFormat="false" ht="15" hidden="false" customHeight="false" outlineLevel="0" collapsed="false">
      <c r="A15" s="0" t="s">
        <v>17</v>
      </c>
      <c r="B15" s="0" t="s">
        <v>10</v>
      </c>
      <c r="C15" s="1" t="n">
        <f aca="false">6*(143/(148-15))</f>
        <v>6.45112781954887</v>
      </c>
      <c r="E15" s="1" t="n">
        <f aca="false">6*(143/(144-15))</f>
        <v>6.65116279069767</v>
      </c>
      <c r="G15" s="1" t="n">
        <f aca="false">6*(143/(139-15))</f>
        <v>6.91935483870968</v>
      </c>
      <c r="I15" s="0" t="n">
        <f aca="false">6*(143/(129-15))</f>
        <v>7.52631578947368</v>
      </c>
      <c r="L15" s="0" t="s">
        <v>18</v>
      </c>
    </row>
    <row r="16" customFormat="false" ht="15" hidden="false" customHeight="false" outlineLevel="0" collapsed="false">
      <c r="A16" s="0" t="s">
        <v>11</v>
      </c>
      <c r="B16" s="0" t="n">
        <v>6</v>
      </c>
      <c r="C16" s="0" t="n">
        <v>6.5</v>
      </c>
      <c r="E16" s="0" t="n">
        <v>6.7</v>
      </c>
      <c r="G16" s="0" t="n">
        <v>6.9</v>
      </c>
      <c r="I16" s="0" t="n">
        <v>7.5</v>
      </c>
    </row>
    <row r="17" customFormat="false" ht="15" hidden="false" customHeight="false" outlineLevel="0" collapsed="false">
      <c r="A17" s="0" t="n">
        <v>145.4</v>
      </c>
      <c r="B17" s="0" t="n">
        <f aca="false">A17/B16</f>
        <v>24.2333333333333</v>
      </c>
      <c r="C17" s="0" t="n">
        <f aca="false">158.3-15</f>
        <v>143.3</v>
      </c>
      <c r="D17" s="0" t="n">
        <f aca="false">C17/C16</f>
        <v>22.0461538461538</v>
      </c>
      <c r="E17" s="0" t="n">
        <f aca="false">159.2-15</f>
        <v>144.2</v>
      </c>
      <c r="F17" s="0" t="n">
        <f aca="false">E17/E16</f>
        <v>21.5223880597015</v>
      </c>
      <c r="G17" s="0" t="n">
        <f aca="false">158.1-15</f>
        <v>143.1</v>
      </c>
      <c r="H17" s="0" t="n">
        <f aca="false">G17/G16</f>
        <v>20.7391304347826</v>
      </c>
      <c r="I17" s="0" t="n">
        <f aca="false">156.7-15</f>
        <v>141.7</v>
      </c>
      <c r="J17" s="0" t="n">
        <f aca="false">I17/I16</f>
        <v>18.8933333333333</v>
      </c>
    </row>
    <row r="18" customFormat="false" ht="15" hidden="false" customHeight="false" outlineLevel="0" collapsed="false">
      <c r="A18" s="0" t="n">
        <f aca="false">158.8 -15</f>
        <v>143.8</v>
      </c>
      <c r="B18" s="0" t="n">
        <f aca="false">A18/B16</f>
        <v>23.9666666666667</v>
      </c>
      <c r="C18" s="0" t="n">
        <f aca="false">157.5-15</f>
        <v>142.5</v>
      </c>
      <c r="D18" s="0" t="n">
        <f aca="false">C18/C16</f>
        <v>21.9230769230769</v>
      </c>
      <c r="E18" s="0" t="n">
        <f aca="false">158.4-15</f>
        <v>143.4</v>
      </c>
      <c r="F18" s="0" t="n">
        <f aca="false">E18/E16</f>
        <v>21.4029850746269</v>
      </c>
      <c r="G18" s="0" t="n">
        <f aca="false">158.6-15</f>
        <v>143.6</v>
      </c>
      <c r="H18" s="0" t="n">
        <f aca="false">G18/G16</f>
        <v>20.8115942028985</v>
      </c>
      <c r="I18" s="0" t="n">
        <f aca="false">156.6-15</f>
        <v>141.6</v>
      </c>
      <c r="J18" s="0" t="n">
        <f aca="false">I18/I16</f>
        <v>18.88</v>
      </c>
    </row>
    <row r="19" customFormat="false" ht="15" hidden="false" customHeight="false" outlineLevel="0" collapsed="false">
      <c r="A19" s="0" t="n">
        <f aca="false">158.7 -15</f>
        <v>143.7</v>
      </c>
      <c r="B19" s="0" t="n">
        <f aca="false">A19/B16</f>
        <v>23.95</v>
      </c>
      <c r="C19" s="0" t="n">
        <f aca="false">163.3-15</f>
        <v>148.3</v>
      </c>
      <c r="D19" s="0" t="n">
        <f aca="false">C19/C16</f>
        <v>22.8153846153846</v>
      </c>
      <c r="E19" s="0" t="n">
        <f aca="false">157.3-15</f>
        <v>142.3</v>
      </c>
      <c r="F19" s="0" t="n">
        <f aca="false">E19/E16</f>
        <v>21.2388059701493</v>
      </c>
      <c r="G19" s="0" t="n">
        <f aca="false">159.2-15</f>
        <v>144.2</v>
      </c>
      <c r="H19" s="0" t="n">
        <f aca="false">G19/G16</f>
        <v>20.8985507246377</v>
      </c>
      <c r="I19" s="0" t="n">
        <f aca="false">154.7-15</f>
        <v>139.7</v>
      </c>
      <c r="J19" s="0" t="n">
        <f aca="false">I19/I16</f>
        <v>18.6266666666667</v>
      </c>
    </row>
    <row r="20" customFormat="false" ht="15" hidden="false" customHeight="false" outlineLevel="0" collapsed="false">
      <c r="A20" s="0" t="n">
        <f aca="false">158.8 -15</f>
        <v>143.8</v>
      </c>
      <c r="B20" s="0" t="n">
        <f aca="false">A20/B16</f>
        <v>23.9666666666667</v>
      </c>
      <c r="C20" s="0" t="n">
        <f aca="false">158.8-15</f>
        <v>143.8</v>
      </c>
      <c r="D20" s="0" t="n">
        <f aca="false">C20/C16</f>
        <v>22.1230769230769</v>
      </c>
      <c r="E20" s="0" t="n">
        <f aca="false">157.8-15</f>
        <v>142.8</v>
      </c>
      <c r="F20" s="0" t="n">
        <f aca="false">E20/E16</f>
        <v>21.3134328358209</v>
      </c>
      <c r="G20" s="0" t="n">
        <f aca="false">158.3-15</f>
        <v>143.3</v>
      </c>
      <c r="H20" s="0" t="n">
        <f aca="false">G20/G16</f>
        <v>20.768115942029</v>
      </c>
      <c r="I20" s="0" t="n">
        <f aca="false">153.9-15</f>
        <v>138.9</v>
      </c>
      <c r="J20" s="0" t="n">
        <f aca="false">I20/I16</f>
        <v>18.52</v>
      </c>
    </row>
    <row r="21" customFormat="false" ht="15" hidden="false" customHeight="false" outlineLevel="0" collapsed="false">
      <c r="A21" s="0" t="n">
        <f aca="false">158.7 -15</f>
        <v>143.7</v>
      </c>
      <c r="B21" s="0" t="n">
        <f aca="false">A21/B16</f>
        <v>23.95</v>
      </c>
      <c r="C21" s="0" t="n">
        <f aca="false">157.8-15</f>
        <v>142.8</v>
      </c>
      <c r="D21" s="0" t="n">
        <f aca="false">C21/C16</f>
        <v>21.9692307692308</v>
      </c>
      <c r="E21" s="0" t="n">
        <f aca="false">157.1-15</f>
        <v>142.1</v>
      </c>
      <c r="F21" s="0" t="n">
        <f aca="false">E21/E16</f>
        <v>21.2089552238806</v>
      </c>
      <c r="G21" s="0" t="n">
        <f aca="false">158.3-15</f>
        <v>143.3</v>
      </c>
      <c r="H21" s="0" t="n">
        <f aca="false">G21/G16</f>
        <v>20.768115942029</v>
      </c>
      <c r="I21" s="0" t="n">
        <f aca="false">157.1-15</f>
        <v>142.1</v>
      </c>
      <c r="J21" s="0" t="n">
        <f aca="false">I21/I16</f>
        <v>18.9466666666667</v>
      </c>
    </row>
    <row r="22" customFormat="false" ht="15" hidden="false" customHeight="false" outlineLevel="0" collapsed="false">
      <c r="B22" s="0" t="n">
        <f aca="false">AVERAGE(B17:B21)</f>
        <v>24.0133333333333</v>
      </c>
      <c r="D22" s="0" t="n">
        <f aca="false">AVERAGE(D17:D21)</f>
        <v>22.1753846153846</v>
      </c>
      <c r="F22" s="0" t="n">
        <f aca="false">AVERAGE(F17:F21)</f>
        <v>21.3373134328358</v>
      </c>
      <c r="H22" s="0" t="n">
        <f aca="false">AVERAGE(H17:H21)</f>
        <v>20.7971014492754</v>
      </c>
      <c r="J22" s="0" t="n">
        <f aca="false">AVERAGE(J17:J21)</f>
        <v>18.7733333333333</v>
      </c>
    </row>
    <row r="25" customFormat="false" ht="15" hidden="false" customHeight="false" outlineLevel="0" collapsed="false">
      <c r="C25" s="0" t="s">
        <v>0</v>
      </c>
      <c r="E25" s="0" t="s">
        <v>1</v>
      </c>
      <c r="G25" s="0" t="s">
        <v>2</v>
      </c>
      <c r="I25" s="0" t="s">
        <v>3</v>
      </c>
    </row>
    <row r="26" customFormat="false" ht="15" hidden="false" customHeight="false" outlineLevel="0" collapsed="false">
      <c r="C26" s="1" t="s">
        <v>19</v>
      </c>
      <c r="E26" s="1" t="s">
        <v>20</v>
      </c>
      <c r="G26" s="1" t="s">
        <v>14</v>
      </c>
      <c r="I26" s="0" t="s">
        <v>21</v>
      </c>
    </row>
    <row r="27" customFormat="false" ht="15" hidden="false" customHeight="false" outlineLevel="0" collapsed="false">
      <c r="A27" s="0" t="s">
        <v>22</v>
      </c>
      <c r="B27" s="0" t="s">
        <v>10</v>
      </c>
      <c r="C27" s="1" t="n">
        <f aca="false">7.5*(142/(152-15))</f>
        <v>7.77372262773723</v>
      </c>
      <c r="E27" s="1" t="n">
        <f aca="false">7.5*(142/(149-15))</f>
        <v>7.94776119402985</v>
      </c>
      <c r="G27" s="1" t="n">
        <f aca="false">7.5*(142/(144-15))</f>
        <v>8.25581395348837</v>
      </c>
      <c r="I27" s="0" t="n">
        <f aca="false">7.5*(143/(134-15))</f>
        <v>9.01260504201681</v>
      </c>
      <c r="L27" s="0" t="s">
        <v>18</v>
      </c>
    </row>
    <row r="28" customFormat="false" ht="15" hidden="false" customHeight="false" outlineLevel="0" collapsed="false">
      <c r="A28" s="0" t="s">
        <v>11</v>
      </c>
      <c r="B28" s="0" t="n">
        <v>7.5</v>
      </c>
      <c r="C28" s="0" t="n">
        <v>7.8</v>
      </c>
      <c r="E28" s="0" t="n">
        <v>7.9</v>
      </c>
      <c r="G28" s="0" t="n">
        <v>8.3</v>
      </c>
      <c r="I28" s="0" t="n">
        <v>9</v>
      </c>
    </row>
    <row r="29" customFormat="false" ht="15" hidden="false" customHeight="false" outlineLevel="0" collapsed="false">
      <c r="A29" s="0" t="n">
        <f aca="false">155.9-15</f>
        <v>140.9</v>
      </c>
      <c r="B29" s="0" t="n">
        <f aca="false">A29/B28</f>
        <v>18.7866666666667</v>
      </c>
      <c r="C29" s="0" t="n">
        <f aca="false">153.9-15</f>
        <v>138.9</v>
      </c>
      <c r="D29" s="0" t="n">
        <f aca="false">C29/C28</f>
        <v>17.8076923076923</v>
      </c>
      <c r="E29" s="0" t="n">
        <f aca="false">157.3-15</f>
        <v>142.3</v>
      </c>
      <c r="F29" s="0" t="n">
        <f aca="false">E29/E28</f>
        <v>18.0126582278481</v>
      </c>
      <c r="G29" s="0" t="n">
        <f aca="false">156.3-15</f>
        <v>141.3</v>
      </c>
      <c r="H29" s="0" t="n">
        <f aca="false">G29/G28</f>
        <v>17.0240963855422</v>
      </c>
      <c r="I29" s="0" t="n">
        <f aca="false">159.3-15</f>
        <v>144.3</v>
      </c>
      <c r="J29" s="0" t="n">
        <f aca="false">I29/I28</f>
        <v>16.0333333333333</v>
      </c>
    </row>
    <row r="30" customFormat="false" ht="15" hidden="false" customHeight="false" outlineLevel="0" collapsed="false">
      <c r="A30" s="0" t="n">
        <f aca="false">154.9-15</f>
        <v>139.9</v>
      </c>
      <c r="B30" s="0" t="n">
        <f aca="false">A30/B28</f>
        <v>18.6533333333333</v>
      </c>
      <c r="C30" s="0" t="n">
        <f aca="false">157.9-15</f>
        <v>142.9</v>
      </c>
      <c r="D30" s="0" t="n">
        <f aca="false">C30/C28</f>
        <v>18.3205128205128</v>
      </c>
      <c r="E30" s="0" t="n">
        <f aca="false">159.6-15</f>
        <v>144.6</v>
      </c>
      <c r="F30" s="0" t="n">
        <f aca="false">E30/E28</f>
        <v>18.3037974683544</v>
      </c>
      <c r="G30" s="0" t="n">
        <f aca="false">156.6-15</f>
        <v>141.6</v>
      </c>
      <c r="H30" s="0" t="n">
        <f aca="false">G30/G28</f>
        <v>17.0602409638554</v>
      </c>
      <c r="I30" s="0" t="n">
        <f aca="false">159.7-15</f>
        <v>144.7</v>
      </c>
      <c r="J30" s="0" t="n">
        <f aca="false">I30/I28</f>
        <v>16.0777777777778</v>
      </c>
    </row>
    <row r="31" customFormat="false" ht="15" hidden="false" customHeight="false" outlineLevel="0" collapsed="false">
      <c r="A31" s="0" t="n">
        <f aca="false">159-15</f>
        <v>144</v>
      </c>
      <c r="B31" s="0" t="n">
        <f aca="false">A31/B28</f>
        <v>19.2</v>
      </c>
      <c r="C31" s="0" t="n">
        <f aca="false">156.9-15</f>
        <v>141.9</v>
      </c>
      <c r="D31" s="0" t="n">
        <f aca="false">C31/C28</f>
        <v>18.1923076923077</v>
      </c>
      <c r="E31" s="0" t="n">
        <f aca="false">156.7-15</f>
        <v>141.7</v>
      </c>
      <c r="F31" s="0" t="n">
        <f aca="false">E31/E28</f>
        <v>17.9367088607595</v>
      </c>
      <c r="G31" s="0" t="n">
        <f aca="false">157.6-15</f>
        <v>142.6</v>
      </c>
      <c r="H31" s="0" t="n">
        <f aca="false">G31/G28</f>
        <v>17.1807228915663</v>
      </c>
      <c r="I31" s="0" t="n">
        <f aca="false">157.3-15</f>
        <v>142.3</v>
      </c>
      <c r="J31" s="0" t="n">
        <f aca="false">I31/I28</f>
        <v>15.8111111111111</v>
      </c>
    </row>
    <row r="32" customFormat="false" ht="15" hidden="false" customHeight="false" outlineLevel="0" collapsed="false">
      <c r="A32" s="0" t="n">
        <f aca="false">157.8-15</f>
        <v>142.8</v>
      </c>
      <c r="B32" s="0" t="n">
        <f aca="false">A32/B28</f>
        <v>19.04</v>
      </c>
      <c r="C32" s="0" t="n">
        <f aca="false">157.3-15</f>
        <v>142.3</v>
      </c>
      <c r="D32" s="0" t="n">
        <f aca="false">C32/C28</f>
        <v>18.2435897435897</v>
      </c>
      <c r="E32" s="0" t="n">
        <f aca="false">157.2-15</f>
        <v>142.2</v>
      </c>
      <c r="F32" s="0" t="n">
        <f aca="false">E32/E28</f>
        <v>18</v>
      </c>
      <c r="G32" s="0" t="n">
        <f aca="false">158.7-15</f>
        <v>143.7</v>
      </c>
      <c r="H32" s="0" t="n">
        <f aca="false">G32/G28</f>
        <v>17.3132530120482</v>
      </c>
      <c r="I32" s="0" t="n">
        <f aca="false">157.4-15</f>
        <v>142.4</v>
      </c>
      <c r="J32" s="0" t="n">
        <f aca="false">I32/I28</f>
        <v>15.8222222222222</v>
      </c>
    </row>
    <row r="33" customFormat="false" ht="15" hidden="false" customHeight="false" outlineLevel="0" collapsed="false">
      <c r="A33" s="0" t="n">
        <f aca="false">156.2-15</f>
        <v>141.2</v>
      </c>
      <c r="B33" s="0" t="n">
        <f aca="false">A33/B28</f>
        <v>18.8266666666667</v>
      </c>
      <c r="C33" s="0" t="n">
        <f aca="false">158.6-15</f>
        <v>143.6</v>
      </c>
      <c r="D33" s="0" t="n">
        <f aca="false">C33/C28</f>
        <v>18.4102564102564</v>
      </c>
      <c r="E33" s="0" t="n">
        <f aca="false">157-15</f>
        <v>142</v>
      </c>
      <c r="F33" s="0" t="n">
        <f aca="false">E33/E28</f>
        <v>17.9746835443038</v>
      </c>
      <c r="G33" s="0" t="n">
        <f aca="false">156.6-15</f>
        <v>141.6</v>
      </c>
      <c r="H33" s="0" t="n">
        <f aca="false">G33/G28</f>
        <v>17.0602409638554</v>
      </c>
      <c r="I33" s="0" t="n">
        <f aca="false">158.6-15</f>
        <v>143.6</v>
      </c>
      <c r="J33" s="0" t="n">
        <f aca="false">I33/I28</f>
        <v>15.9555555555556</v>
      </c>
    </row>
    <row r="34" customFormat="false" ht="15" hidden="false" customHeight="false" outlineLevel="0" collapsed="false">
      <c r="B34" s="0" t="n">
        <f aca="false">AVERAGE(B29:B33)</f>
        <v>18.9013333333333</v>
      </c>
      <c r="D34" s="0" t="n">
        <f aca="false">AVERAGE(D29:D33)</f>
        <v>18.1948717948718</v>
      </c>
      <c r="F34" s="0" t="n">
        <f aca="false">AVERAGE(F29:F33)</f>
        <v>18.0455696202532</v>
      </c>
      <c r="H34" s="0" t="n">
        <f aca="false">AVERAGE(H29:H33)</f>
        <v>17.1277108433735</v>
      </c>
      <c r="J34" s="0" t="n">
        <f aca="false">AVERAGE(J29:J33)</f>
        <v>15.94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Koen Schaper</dc:creator>
  <dc:description/>
  <dc:language>nl-NL</dc:language>
  <cp:lastModifiedBy/>
  <dcterms:modified xsi:type="dcterms:W3CDTF">2017-11-10T14:54:45Z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