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OpenTISim\notebooks\"/>
    </mc:Choice>
  </mc:AlternateContent>
  <xr:revisionPtr revIDLastSave="0" documentId="13_ncr:1_{224B4010-A383-42F0-ABDC-BBE542FEDF55}" xr6:coauthVersionLast="44" xr6:coauthVersionMax="44" xr10:uidLastSave="{00000000-0000-0000-0000-000000000000}"/>
  <bookViews>
    <workbookView xWindow="-108" yWindow="-108" windowWidth="23256" windowHeight="12576" tabRatio="594" xr2:uid="{F728172F-EDE9-405A-966C-3140431FEFC4}"/>
  </bookViews>
  <sheets>
    <sheet name="Bridg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3" i="2" l="1"/>
  <c r="D4" i="2"/>
  <c r="D5" i="2"/>
  <c r="D6" i="2"/>
  <c r="D7" i="2"/>
  <c r="D2" i="2"/>
  <c r="V9" i="1"/>
  <c r="U9" i="1"/>
  <c r="V8" i="1"/>
  <c r="U8" i="1"/>
  <c r="V7" i="1"/>
  <c r="U7" i="1"/>
  <c r="V6" i="1"/>
  <c r="U6" i="1"/>
  <c r="V5" i="1"/>
  <c r="U5" i="1"/>
  <c r="V4" i="1"/>
  <c r="U4" i="1"/>
  <c r="C3" i="2"/>
  <c r="C4" i="2"/>
  <c r="C5" i="2"/>
  <c r="C6" i="2"/>
  <c r="C7" i="2"/>
  <c r="K20" i="1"/>
  <c r="L20" i="1"/>
  <c r="M20" i="1"/>
  <c r="K10" i="1"/>
  <c r="M10" i="1" s="1"/>
  <c r="F21" i="1"/>
  <c r="G21" i="1"/>
  <c r="E21" i="1"/>
  <c r="K19" i="1"/>
  <c r="M19" i="1" s="1"/>
  <c r="K18" i="1"/>
  <c r="L18" i="1" s="1"/>
  <c r="K17" i="1"/>
  <c r="M17" i="1" s="1"/>
  <c r="M16" i="1"/>
  <c r="K16" i="1"/>
  <c r="L16" i="1" s="1"/>
  <c r="K14" i="1"/>
  <c r="L14" i="1" s="1"/>
  <c r="K13" i="1"/>
  <c r="L13" i="1" s="1"/>
  <c r="K9" i="1"/>
  <c r="L9" i="1" s="1"/>
  <c r="K15" i="1"/>
  <c r="K11" i="1"/>
  <c r="K12" i="1"/>
  <c r="M9" i="1"/>
  <c r="K4" i="1"/>
  <c r="L4" i="1" s="1"/>
  <c r="K8" i="1"/>
  <c r="M8" i="1" s="1"/>
  <c r="K5" i="1"/>
  <c r="L5" i="1" s="1"/>
  <c r="K7" i="1"/>
  <c r="M7" i="1" s="1"/>
  <c r="M11" i="1"/>
  <c r="K6" i="1"/>
  <c r="M6" i="1" s="1"/>
  <c r="L10" i="1" l="1"/>
  <c r="M14" i="1"/>
  <c r="M18" i="1"/>
  <c r="M13" i="1"/>
  <c r="L19" i="1"/>
  <c r="M4" i="1"/>
  <c r="L6" i="1"/>
  <c r="L7" i="1"/>
  <c r="L8" i="1"/>
  <c r="M5" i="1"/>
  <c r="M15" i="1" l="1"/>
  <c r="L15" i="1"/>
  <c r="L11" i="1" l="1"/>
  <c r="L17" i="1"/>
  <c r="M12" i="1" l="1"/>
  <c r="M21" i="1" s="1"/>
  <c r="L12" i="1"/>
  <c r="L21" i="1"/>
</calcChain>
</file>

<file path=xl/sharedStrings.xml><?xml version="1.0" encoding="utf-8"?>
<sst xmlns="http://schemas.openxmlformats.org/spreadsheetml/2006/main" count="153" uniqueCount="97">
  <si>
    <t>Ba Nang Expressway, Bangkok</t>
  </si>
  <si>
    <t>Bangabandhu Bridge</t>
  </si>
  <si>
    <t>Chennai Port–Maduravoyal Expressway</t>
  </si>
  <si>
    <t>Total costs</t>
  </si>
  <si>
    <t>Year</t>
  </si>
  <si>
    <t>BDT</t>
  </si>
  <si>
    <t>USD</t>
  </si>
  <si>
    <t>EUR</t>
  </si>
  <si>
    <t>Date</t>
  </si>
  <si>
    <t>Length [m]</t>
  </si>
  <si>
    <t>Width [m]</t>
  </si>
  <si>
    <t>Modality</t>
  </si>
  <si>
    <t>Costs per m</t>
  </si>
  <si>
    <t>Jiaozhou Bay Bridge</t>
  </si>
  <si>
    <t>Hangzhou Bay Bridge</t>
  </si>
  <si>
    <t>King Fahd Causeway</t>
  </si>
  <si>
    <t>Bridge</t>
  </si>
  <si>
    <t>Country</t>
  </si>
  <si>
    <t>Bangladesh</t>
  </si>
  <si>
    <t>China</t>
  </si>
  <si>
    <t>Source</t>
  </si>
  <si>
    <t xml:space="preserve"> </t>
  </si>
  <si>
    <t>http://people.bath.ac.uk/jjo20/conference2/2008/SONG%20PAPER%2021.pdf</t>
  </si>
  <si>
    <t>https://www.straitstimes.com/world/longest-bridges-over-water-in-the-world</t>
  </si>
  <si>
    <t>CNY</t>
  </si>
  <si>
    <t>Padma Bridge</t>
  </si>
  <si>
    <t>Donghai Bridge Shanghai</t>
  </si>
  <si>
    <t>Bahrain - Saudi Arabia</t>
  </si>
  <si>
    <t>Type</t>
  </si>
  <si>
    <t>Viaduct</t>
  </si>
  <si>
    <t>Digha–Sonpur Bridge</t>
  </si>
  <si>
    <t>India</t>
  </si>
  <si>
    <t>Bogibeel Bridge</t>
  </si>
  <si>
    <t>Runyang Yangtze River Bridge</t>
  </si>
  <si>
    <t>https://en.wikipedia.org/wiki/Kacchi_Dargah%E2%80%93Bidupur_Bridge</t>
  </si>
  <si>
    <t>Kacchi Dargah–Bidupur Bridge</t>
  </si>
  <si>
    <t>INR</t>
  </si>
  <si>
    <t>https://en.wikipedia.org/wiki/Chennai_Port%E2%80%93Maduravoyal_Expressway
https://newstodaynet.com/index.php/2018/10/21/port-maduravoyal-expressway-to-get-underway-cost-revised-to-rs-2-4k-cr/</t>
  </si>
  <si>
    <t>Road</t>
  </si>
  <si>
    <t>Road/Rail</t>
  </si>
  <si>
    <t>https://www.quora.com/How-much-did-it-cost-to-build-Bogibeel-bridge-in-Assam</t>
  </si>
  <si>
    <t>https://wiki2.org/en/Digha%E2%80%93Sonpur_Bridge</t>
  </si>
  <si>
    <t>https://en.wikipedia.org/wiki/Bangabandhu_Bridge</t>
  </si>
  <si>
    <t>Denmark</t>
  </si>
  <si>
    <t>DKK</t>
  </si>
  <si>
    <t>https://www.storebaelt.dk/english/bridge</t>
  </si>
  <si>
    <t>Thailand</t>
  </si>
  <si>
    <t>https://en.wikipedia.org/wiki/Bang_Na_Expressway</t>
  </si>
  <si>
    <t>Jintang Bridge</t>
  </si>
  <si>
    <t>Bridge/Viaduct</t>
  </si>
  <si>
    <t>Sultan Abdul Halim Muadzam Shah Bridge</t>
  </si>
  <si>
    <t>Malaysia</t>
  </si>
  <si>
    <t>East Bridge</t>
  </si>
  <si>
    <t>Confederation Bridge</t>
  </si>
  <si>
    <t>Canada</t>
  </si>
  <si>
    <t>Vasco da Gama Bridge</t>
  </si>
  <si>
    <t>Portugal</t>
  </si>
  <si>
    <t>https://www.roadtraffic-technology.com/projects/vasco-da-gama/</t>
  </si>
  <si>
    <t>https://en.wikipedia.org/wiki/Confederation_Bridge</t>
  </si>
  <si>
    <t>2</t>
  </si>
  <si>
    <t>1</t>
  </si>
  <si>
    <t>https://en.wikipedia.org/wiki/Runyang_Yangtze_River_Bridge</t>
  </si>
  <si>
    <t>https://en.wikipedia.org/wiki/Jintang_Bridge</t>
  </si>
  <si>
    <t>http://straits-design.com.my/sultan-abdul-halim-muadzam-shah-bridge/</t>
  </si>
  <si>
    <t>https://en.wikipedia.org/wiki/Padma_Bridge</t>
  </si>
  <si>
    <t>Name</t>
  </si>
  <si>
    <t>Averages</t>
  </si>
  <si>
    <t>Curency</t>
  </si>
  <si>
    <t>Rate to EUR</t>
  </si>
  <si>
    <t>[1]</t>
  </si>
  <si>
    <t>[5]</t>
  </si>
  <si>
    <t>[6]</t>
  </si>
  <si>
    <t>[7]</t>
  </si>
  <si>
    <t>[3]</t>
  </si>
  <si>
    <t>[9]</t>
  </si>
  <si>
    <t>[2]</t>
  </si>
  <si>
    <t>[4]</t>
  </si>
  <si>
    <t>[8]</t>
  </si>
  <si>
    <t>[10]</t>
  </si>
  <si>
    <t>[11]</t>
  </si>
  <si>
    <t>[12]</t>
  </si>
  <si>
    <t>[13]</t>
  </si>
  <si>
    <t>[14]</t>
  </si>
  <si>
    <t>[15]</t>
  </si>
  <si>
    <t>[16]</t>
  </si>
  <si>
    <t>Bridge cost rate estimation</t>
  </si>
  <si>
    <t>Lanes*</t>
  </si>
  <si>
    <t>Tracks*</t>
  </si>
  <si>
    <r>
      <t>Costs per m</t>
    </r>
    <r>
      <rPr>
        <vertAlign val="superscript"/>
        <sz val="11"/>
        <rFont val="Malgun Gothic"/>
        <family val="2"/>
      </rPr>
      <t>2</t>
    </r>
  </si>
  <si>
    <t>Cost per m</t>
  </si>
  <si>
    <t>Length</t>
  </si>
  <si>
    <t>Bridge construction rates</t>
  </si>
  <si>
    <t>20 km</t>
  </si>
  <si>
    <t>40 km</t>
  </si>
  <si>
    <t>60 km</t>
  </si>
  <si>
    <t>Rate [/m]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</si>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</sst>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 &quot;€&quot;\ * #,##0.00_ ;_ &quot;€&quot;\ * \-#,##0.00_ ;_ &quot;€&quot;\ * &quot;-&quot;??_ ;_ @_ "/>
    <numFmt numFmtId="165" formatCode="_ &quot;€&quot;\ * #,##0_ ;_ &quot;€&quot;\ * \-#,##0_ ;_ &quot;€&quot;\ * &quot;-&quot;??_ ;_ @_ "/>
    <numFmt numFmtId="166" formatCode="_ * #,##0.00_ ;_ * \-#,##0.00_ ;_ * &quot;-&quot;??_ ;_ @_ "/>
    <numFmt numFmtId="167" formatCode="_ * #,##0_ ;_ * \-#,##0_ ;_ * &quot;-&quot;??_ ;_ @_ "/>
    <numFmt numFmtId="168" formatCode="_-[$$-409]* #,##0.00_ ;_-[$$-409]* \-#,##0.00\ ;_-[$$-409]* &quot;-&quot;??_ ;_-@_ "/>
    <numFmt numFmtId="169" formatCode="_-[$$-409]* #,##0_ ;_-[$$-409]* \-#,##0\ ;_-[$$-409]* &quot;-&quot;??_ ;_-@_ "/>
    <numFmt numFmtId="170" formatCode="_ * #,##0.0_ ;_ * \-#,##0.0_ ;_ * &quot;-&quot;??_ ;_ @_ "/>
    <numFmt numFmtId="171" formatCode="0.0"/>
    <numFmt numFmtId="172" formatCode="_ [$¥-804]* #,##0.00_ ;_ [$¥-804]* \-#,##0.00_ ;_ [$¥-804]* &quot;-&quot;??_ ;_ @_ "/>
    <numFmt numFmtId="173" formatCode="_ [$₹-445]\ * #,##0.00_ ;_ [$₹-445]\ * \-#,##0.00_ ;_ [$₹-445]\ * &quot;-&quot;??_ ;_ @_ "/>
    <numFmt numFmtId="174" formatCode="_-* #,##0.00\ [$kr.-406]_-;\-* #,##0.00\ [$kr.-406]_-;_-* &quot;-&quot;??\ [$kr.-406]_-;_-@_-"/>
    <numFmt numFmtId="175" formatCode="_-* #,##0.00[$৳-845]_-;\-* #,##0.00[$৳-845]_-;_-* &quot;-&quot;??[$৳-845]_-;_-@_-"/>
    <numFmt numFmtId="176" formatCode="_-* #,##0_-;\-* #,##0_-;_-* &quot;-&quot;??_-;_-@_-"/>
  </numFmts>
  <fonts count="15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color theme="0"/>
      <name val="Malgun Gothic"/>
      <family val="2"/>
    </font>
    <font>
      <sz val="11"/>
      <name val="Malgun Gothic"/>
      <family val="2"/>
    </font>
    <font>
      <sz val="10"/>
      <color rgb="FF000000"/>
      <name val="Malgun Gothic"/>
      <family val="2"/>
    </font>
    <font>
      <b/>
      <sz val="11"/>
      <name val="Malgun Gothic"/>
      <family val="2"/>
    </font>
    <font>
      <b/>
      <sz val="11"/>
      <color theme="5"/>
      <name val="Malgun Gothic"/>
      <family val="2"/>
    </font>
    <font>
      <b/>
      <sz val="11"/>
      <color theme="0"/>
      <name val="Malgun Gothic"/>
      <family val="2"/>
    </font>
    <font>
      <b/>
      <sz val="11"/>
      <color rgb="FFFFC000"/>
      <name val="Malgun Gothic"/>
      <family val="2"/>
    </font>
    <font>
      <vertAlign val="superscript"/>
      <sz val="11"/>
      <name val="Malgun Gothic"/>
      <family val="2"/>
    </font>
    <font>
      <sz val="11"/>
      <color rgb="FF00000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8" fillId="0" borderId="0" xfId="0" applyFont="1" applyFill="1" applyBorder="1"/>
    <xf numFmtId="169" fontId="7" fillId="0" borderId="0" xfId="6" applyNumberFormat="1" applyFont="1" applyFill="1" applyBorder="1"/>
    <xf numFmtId="0" fontId="7" fillId="6" borderId="0" xfId="0" applyFont="1" applyFill="1" applyBorder="1"/>
    <xf numFmtId="167" fontId="7" fillId="6" borderId="0" xfId="2" applyNumberFormat="1" applyFont="1" applyFill="1" applyBorder="1"/>
    <xf numFmtId="169" fontId="7" fillId="6" borderId="0" xfId="1" applyNumberFormat="1" applyFont="1" applyFill="1" applyBorder="1"/>
    <xf numFmtId="0" fontId="8" fillId="6" borderId="0" xfId="0" applyFont="1" applyFill="1" applyBorder="1"/>
    <xf numFmtId="0" fontId="7" fillId="6" borderId="0" xfId="0" applyFont="1" applyFill="1" applyBorder="1" applyAlignment="1">
      <alignment horizontal="center"/>
    </xf>
    <xf numFmtId="169" fontId="7" fillId="6" borderId="0" xfId="6" applyNumberFormat="1" applyFont="1" applyFill="1" applyBorder="1"/>
    <xf numFmtId="169" fontId="8" fillId="6" borderId="0" xfId="5" applyNumberFormat="1" applyFont="1" applyFill="1" applyBorder="1"/>
    <xf numFmtId="0" fontId="8" fillId="6" borderId="1" xfId="0" applyFont="1" applyFill="1" applyBorder="1"/>
    <xf numFmtId="0" fontId="7" fillId="5" borderId="1" xfId="0" applyFont="1" applyFill="1" applyBorder="1"/>
    <xf numFmtId="0" fontId="7" fillId="5" borderId="1" xfId="1" applyNumberFormat="1" applyFont="1" applyFill="1" applyBorder="1"/>
    <xf numFmtId="0" fontId="7" fillId="0" borderId="0" xfId="0" applyFont="1" applyFill="1" applyBorder="1"/>
    <xf numFmtId="167" fontId="7" fillId="0" borderId="0" xfId="2" applyNumberFormat="1" applyFont="1" applyFill="1" applyBorder="1"/>
    <xf numFmtId="0" fontId="7" fillId="0" borderId="0" xfId="0" applyFont="1" applyFill="1" applyBorder="1" applyAlignment="1">
      <alignment horizontal="center"/>
    </xf>
    <xf numFmtId="169" fontId="7" fillId="0" borderId="0" xfId="1" applyNumberFormat="1" applyFont="1" applyFill="1" applyBorder="1"/>
    <xf numFmtId="169" fontId="10" fillId="0" borderId="0" xfId="7" applyNumberFormat="1" applyFont="1" applyFill="1" applyBorder="1"/>
    <xf numFmtId="169" fontId="10" fillId="0" borderId="0" xfId="1" applyNumberFormat="1" applyFont="1" applyFill="1" applyBorder="1"/>
    <xf numFmtId="169" fontId="7" fillId="0" borderId="0" xfId="7" applyNumberFormat="1" applyFont="1" applyFill="1" applyBorder="1"/>
    <xf numFmtId="169" fontId="8" fillId="0" borderId="0" xfId="5" applyNumberFormat="1" applyFont="1" applyFill="1" applyBorder="1"/>
    <xf numFmtId="169" fontId="10" fillId="0" borderId="0" xfId="4" applyNumberFormat="1" applyFont="1" applyFill="1" applyBorder="1"/>
    <xf numFmtId="0" fontId="7" fillId="0" borderId="2" xfId="0" applyFont="1" applyFill="1" applyBorder="1"/>
    <xf numFmtId="167" fontId="7" fillId="0" borderId="2" xfId="2" applyNumberFormat="1" applyFont="1" applyFill="1" applyBorder="1"/>
    <xf numFmtId="170" fontId="7" fillId="0" borderId="2" xfId="2" applyNumberFormat="1" applyFont="1" applyFill="1" applyBorder="1"/>
    <xf numFmtId="0" fontId="7" fillId="0" borderId="2" xfId="0" applyFont="1" applyFill="1" applyBorder="1" applyAlignment="1">
      <alignment horizontal="center"/>
    </xf>
    <xf numFmtId="169" fontId="7" fillId="0" borderId="2" xfId="1" applyNumberFormat="1" applyFont="1" applyFill="1" applyBorder="1"/>
    <xf numFmtId="0" fontId="8" fillId="0" borderId="2" xfId="0" applyFont="1" applyFill="1" applyBorder="1"/>
    <xf numFmtId="169" fontId="7" fillId="0" borderId="0" xfId="1" applyNumberFormat="1" applyFont="1" applyFill="1" applyBorder="1" applyAlignment="1">
      <alignment horizontal="center" vertical="center"/>
    </xf>
    <xf numFmtId="169" fontId="7" fillId="6" borderId="0" xfId="1" applyNumberFormat="1" applyFont="1" applyFill="1" applyBorder="1" applyAlignment="1">
      <alignment horizontal="center" vertical="center"/>
    </xf>
    <xf numFmtId="169" fontId="7" fillId="0" borderId="2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67" fontId="7" fillId="5" borderId="1" xfId="2" applyNumberFormat="1" applyFont="1" applyFill="1" applyBorder="1" applyAlignment="1">
      <alignment horizontal="center"/>
    </xf>
    <xf numFmtId="1" fontId="7" fillId="0" borderId="0" xfId="2" applyNumberFormat="1" applyFont="1" applyFill="1" applyBorder="1" applyAlignment="1">
      <alignment horizontal="center"/>
    </xf>
    <xf numFmtId="1" fontId="7" fillId="6" borderId="0" xfId="2" applyNumberFormat="1" applyFont="1" applyFill="1" applyBorder="1" applyAlignment="1">
      <alignment horizontal="center"/>
    </xf>
    <xf numFmtId="1" fontId="7" fillId="0" borderId="2" xfId="2" applyNumberFormat="1" applyFont="1" applyFill="1" applyBorder="1" applyAlignment="1">
      <alignment horizontal="center"/>
    </xf>
    <xf numFmtId="0" fontId="7" fillId="5" borderId="1" xfId="1" applyNumberFormat="1" applyFont="1" applyFill="1" applyBorder="1" applyAlignment="1">
      <alignment horizontal="center"/>
    </xf>
    <xf numFmtId="0" fontId="11" fillId="3" borderId="0" xfId="0" applyFont="1" applyFill="1"/>
    <xf numFmtId="168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left"/>
    </xf>
    <xf numFmtId="169" fontId="12" fillId="0" borderId="2" xfId="1" applyNumberFormat="1" applyFont="1" applyFill="1" applyBorder="1"/>
    <xf numFmtId="169" fontId="12" fillId="0" borderId="0" xfId="1" applyNumberFormat="1" applyFont="1" applyFill="1" applyBorder="1"/>
    <xf numFmtId="0" fontId="9" fillId="6" borderId="1" xfId="0" applyFont="1" applyFill="1" applyBorder="1" applyAlignment="1">
      <alignment horizontal="right"/>
    </xf>
    <xf numFmtId="0" fontId="7" fillId="6" borderId="1" xfId="0" applyFont="1" applyFill="1" applyBorder="1"/>
    <xf numFmtId="167" fontId="9" fillId="6" borderId="1" xfId="2" applyNumberFormat="1" applyFont="1" applyFill="1" applyBorder="1"/>
    <xf numFmtId="170" fontId="9" fillId="6" borderId="1" xfId="2" applyNumberFormat="1" applyFont="1" applyFill="1" applyBorder="1"/>
    <xf numFmtId="171" fontId="9" fillId="6" borderId="1" xfId="2" applyNumberFormat="1" applyFont="1" applyFill="1" applyBorder="1" applyAlignment="1">
      <alignment horizontal="center"/>
    </xf>
    <xf numFmtId="1" fontId="9" fillId="6" borderId="1" xfId="2" applyNumberFormat="1" applyFont="1" applyFill="1" applyBorder="1" applyAlignment="1">
      <alignment horizontal="right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/>
    <xf numFmtId="168" fontId="9" fillId="6" borderId="1" xfId="1" applyNumberFormat="1" applyFont="1" applyFill="1" applyBorder="1"/>
    <xf numFmtId="0" fontId="0" fillId="4" borderId="0" xfId="0" applyFill="1"/>
    <xf numFmtId="170" fontId="7" fillId="0" borderId="0" xfId="2" applyNumberFormat="1" applyFont="1" applyFill="1" applyBorder="1" applyAlignment="1">
      <alignment horizontal="center"/>
    </xf>
    <xf numFmtId="170" fontId="7" fillId="6" borderId="0" xfId="2" applyNumberFormat="1" applyFont="1" applyFill="1" applyBorder="1" applyAlignment="1">
      <alignment horizontal="center"/>
    </xf>
    <xf numFmtId="170" fontId="7" fillId="0" borderId="2" xfId="2" applyNumberFormat="1" applyFont="1" applyFill="1" applyBorder="1" applyAlignment="1">
      <alignment horizontal="center"/>
    </xf>
    <xf numFmtId="167" fontId="7" fillId="5" borderId="1" xfId="2" applyNumberFormat="1" applyFont="1" applyFill="1" applyBorder="1" applyAlignment="1">
      <alignment horizontal="left"/>
    </xf>
    <xf numFmtId="165" fontId="11" fillId="3" borderId="0" xfId="1" applyNumberFormat="1" applyFont="1" applyFill="1" applyBorder="1" applyAlignment="1">
      <alignment horizontal="right"/>
    </xf>
    <xf numFmtId="14" fontId="11" fillId="3" borderId="0" xfId="1" applyNumberFormat="1" applyFont="1" applyFill="1" applyBorder="1"/>
    <xf numFmtId="165" fontId="14" fillId="0" borderId="0" xfId="1" applyNumberFormat="1" applyFont="1" applyBorder="1"/>
    <xf numFmtId="164" fontId="14" fillId="0" borderId="0" xfId="1" applyFont="1" applyBorder="1"/>
    <xf numFmtId="165" fontId="14" fillId="6" borderId="0" xfId="1" applyNumberFormat="1" applyFont="1" applyFill="1" applyBorder="1"/>
    <xf numFmtId="168" fontId="14" fillId="6" borderId="0" xfId="1" applyNumberFormat="1" applyFont="1" applyFill="1" applyBorder="1"/>
    <xf numFmtId="172" fontId="14" fillId="0" borderId="0" xfId="1" applyNumberFormat="1" applyFont="1" applyBorder="1"/>
    <xf numFmtId="173" fontId="14" fillId="6" borderId="0" xfId="4" applyNumberFormat="1" applyFont="1" applyFill="1" applyBorder="1"/>
    <xf numFmtId="175" fontId="14" fillId="0" borderId="0" xfId="1" applyNumberFormat="1" applyFont="1" applyBorder="1"/>
    <xf numFmtId="165" fontId="14" fillId="6" borderId="1" xfId="1" applyNumberFormat="1" applyFont="1" applyFill="1" applyBorder="1"/>
    <xf numFmtId="174" fontId="14" fillId="6" borderId="1" xfId="4" applyNumberFormat="1" applyFont="1" applyFill="1" applyBorder="1"/>
    <xf numFmtId="165" fontId="7" fillId="5" borderId="1" xfId="1" applyNumberFormat="1" applyFont="1" applyFill="1" applyBorder="1" applyAlignment="1">
      <alignment horizontal="left"/>
    </xf>
    <xf numFmtId="14" fontId="7" fillId="5" borderId="1" xfId="1" applyNumberFormat="1" applyFont="1" applyFill="1" applyBorder="1"/>
    <xf numFmtId="176" fontId="0" fillId="0" borderId="0" xfId="3" applyNumberFormat="1" applyFont="1"/>
    <xf numFmtId="43" fontId="0" fillId="0" borderId="0" xfId="3" applyFont="1"/>
    <xf numFmtId="176" fontId="0" fillId="0" borderId="0" xfId="3" applyNumberFormat="1" applyFont="1" applyAlignment="1">
      <alignment horizontal="center"/>
    </xf>
    <xf numFmtId="176" fontId="0" fillId="0" borderId="1" xfId="3" applyNumberFormat="1" applyFont="1" applyBorder="1" applyAlignment="1">
      <alignment horizontal="center"/>
    </xf>
    <xf numFmtId="169" fontId="0" fillId="0" borderId="1" xfId="0" applyNumberFormat="1" applyBorder="1"/>
    <xf numFmtId="0" fontId="11" fillId="3" borderId="0" xfId="0" applyFont="1" applyFill="1" applyAlignment="1">
      <alignment horizontal="center"/>
    </xf>
  </cellXfs>
  <cellStyles count="8">
    <cellStyle name="Bad" xfId="6" builtinId="27"/>
    <cellStyle name="Comma" xfId="3" builtinId="3"/>
    <cellStyle name="Comma 3" xfId="2" xr:uid="{1417435C-E659-45FB-840D-6E95339D1AA3}"/>
    <cellStyle name="Currency" xfId="4" builtinId="4"/>
    <cellStyle name="Currency 2" xfId="1" xr:uid="{89642676-EF38-4EB2-9071-B9E0B37EF08C}"/>
    <cellStyle name="Normal" xfId="0" builtinId="0" customBuiltin="1"/>
    <cellStyle name="Percent" xfId="5" builtinId="5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Total</a:t>
            </a:r>
            <a:r>
              <a:rPr lang="nl-NL" baseline="0"/>
              <a:t> costs over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9131951292446334"/>
          <c:y val="0.17171296296296296"/>
          <c:w val="0.7452430441202967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Total costs over length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285555555555558"/>
                  <c:y val="1.96050350520098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(Bridge!$E$4:$E$9,Bridge!$E$11:$E$19)</c:f>
              <c:numCache>
                <c:formatCode>_ * #,##0_ ;_ * \-#,##0_ ;_ * "-"??_ ;_ @_ </c:formatCode>
                <c:ptCount val="15"/>
                <c:pt idx="0">
                  <c:v>6150</c:v>
                </c:pt>
                <c:pt idx="1">
                  <c:v>31500</c:v>
                </c:pt>
                <c:pt idx="2">
                  <c:v>42500</c:v>
                </c:pt>
                <c:pt idx="3">
                  <c:v>35600</c:v>
                </c:pt>
                <c:pt idx="4">
                  <c:v>25000</c:v>
                </c:pt>
                <c:pt idx="5">
                  <c:v>9760</c:v>
                </c:pt>
                <c:pt idx="6">
                  <c:v>4950</c:v>
                </c:pt>
                <c:pt idx="7">
                  <c:v>4550</c:v>
                </c:pt>
                <c:pt idx="8">
                  <c:v>26540</c:v>
                </c:pt>
                <c:pt idx="9">
                  <c:v>35660</c:v>
                </c:pt>
                <c:pt idx="10">
                  <c:v>4630</c:v>
                </c:pt>
                <c:pt idx="11">
                  <c:v>24140</c:v>
                </c:pt>
                <c:pt idx="12">
                  <c:v>6760</c:v>
                </c:pt>
                <c:pt idx="13">
                  <c:v>12900</c:v>
                </c:pt>
                <c:pt idx="14">
                  <c:v>12345</c:v>
                </c:pt>
              </c:numCache>
            </c:numRef>
          </c:xVal>
          <c:yVal>
            <c:numRef>
              <c:f>(Bridge!$K$4:$K$9,Bridge!$K$11:$K$19)</c:f>
              <c:numCache>
                <c:formatCode>_-[$$-409]* #,##0_ ;_-[$$-409]* \-#,##0\ ;_-[$$-409]* "-"??_ ;_-@_ </c:formatCode>
                <c:ptCount val="15"/>
                <c:pt idx="0">
                  <c:v>1421831501.831502</c:v>
                </c:pt>
                <c:pt idx="1">
                  <c:v>1501272264.6310432</c:v>
                </c:pt>
                <c:pt idx="2">
                  <c:v>2108905852.4173028</c:v>
                </c:pt>
                <c:pt idx="3">
                  <c:v>1500000000</c:v>
                </c:pt>
                <c:pt idx="4">
                  <c:v>800000000</c:v>
                </c:pt>
                <c:pt idx="5">
                  <c:v>483337329.17765528</c:v>
                </c:pt>
                <c:pt idx="6">
                  <c:v>774025974.02597404</c:v>
                </c:pt>
                <c:pt idx="7">
                  <c:v>194805194.8051948</c:v>
                </c:pt>
                <c:pt idx="8">
                  <c:v>1800000000</c:v>
                </c:pt>
                <c:pt idx="9">
                  <c:v>902000000</c:v>
                </c:pt>
                <c:pt idx="10">
                  <c:v>696000000</c:v>
                </c:pt>
                <c:pt idx="11">
                  <c:v>1200000000</c:v>
                </c:pt>
                <c:pt idx="12">
                  <c:v>950000000</c:v>
                </c:pt>
                <c:pt idx="13">
                  <c:v>1000000000</c:v>
                </c:pt>
                <c:pt idx="14">
                  <c:v>1285000000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5-4AF0-AF55-39137CD4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786288"/>
        <c:axId val="1114782680"/>
      </c:scatterChart>
      <c:valAx>
        <c:axId val="111478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Length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,_ ;_ * \-#,##0,_ ;_ * &quot;-&quot;??_ ;_ 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782680"/>
        <c:crossesAt val="0"/>
        <c:crossBetween val="midCat"/>
        <c:majorUnit val="5000"/>
      </c:valAx>
      <c:valAx>
        <c:axId val="1114782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Total costs [M 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-[$$-409]* #,##0,,_ ;_-[$$-409]* \-#,##0\ ;_-[$$-409]* &quot;-&quot;_ ;_-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7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Costs per meter over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Costs per meter over length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9342860015782015E-3"/>
                  <c:y val="-0.15550275426609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(Bridge!$E$5:$E$14,Bridge!$E$16:$E$19)</c:f>
              <c:numCache>
                <c:formatCode>_ * #,##0_ ;_ * \-#,##0_ ;_ * "-"??_ ;_ @_ </c:formatCode>
                <c:ptCount val="13"/>
                <c:pt idx="0">
                  <c:v>31500</c:v>
                </c:pt>
                <c:pt idx="1">
                  <c:v>42500</c:v>
                </c:pt>
                <c:pt idx="2">
                  <c:v>35600</c:v>
                </c:pt>
                <c:pt idx="3">
                  <c:v>25000</c:v>
                </c:pt>
                <c:pt idx="4">
                  <c:v>9760</c:v>
                </c:pt>
                <c:pt idx="5">
                  <c:v>4950</c:v>
                </c:pt>
                <c:pt idx="6">
                  <c:v>4550</c:v>
                </c:pt>
                <c:pt idx="7">
                  <c:v>26540</c:v>
                </c:pt>
                <c:pt idx="8">
                  <c:v>35660</c:v>
                </c:pt>
                <c:pt idx="9">
                  <c:v>24140</c:v>
                </c:pt>
                <c:pt idx="10">
                  <c:v>6760</c:v>
                </c:pt>
                <c:pt idx="11">
                  <c:v>12900</c:v>
                </c:pt>
                <c:pt idx="12">
                  <c:v>12345</c:v>
                </c:pt>
              </c:numCache>
            </c:numRef>
          </c:xVal>
          <c:yVal>
            <c:numRef>
              <c:f>(Bridge!$L$5:$L$14,Bridge!$L$16:$L$19)</c:f>
              <c:numCache>
                <c:formatCode>_-[$$-409]* #,##0_ ;_-[$$-409]* \-#,##0\ ;_-[$$-409]* "-"??_ ;_-@_ </c:formatCode>
                <c:ptCount val="13"/>
                <c:pt idx="0">
                  <c:v>47700</c:v>
                </c:pt>
                <c:pt idx="1">
                  <c:v>49600</c:v>
                </c:pt>
                <c:pt idx="2">
                  <c:v>42100</c:v>
                </c:pt>
                <c:pt idx="3">
                  <c:v>32000</c:v>
                </c:pt>
                <c:pt idx="4">
                  <c:v>49500</c:v>
                </c:pt>
                <c:pt idx="5">
                  <c:v>156400</c:v>
                </c:pt>
                <c:pt idx="6">
                  <c:v>42800</c:v>
                </c:pt>
                <c:pt idx="7">
                  <c:v>67800</c:v>
                </c:pt>
                <c:pt idx="8">
                  <c:v>25300</c:v>
                </c:pt>
                <c:pt idx="9">
                  <c:v>49700</c:v>
                </c:pt>
                <c:pt idx="10">
                  <c:v>140500</c:v>
                </c:pt>
                <c:pt idx="11">
                  <c:v>77500</c:v>
                </c:pt>
                <c:pt idx="12">
                  <c:v>104100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E-436C-9233-8EC1E3B13404}"/>
            </c:ext>
          </c:extLst>
        </c:ser>
        <c:ser>
          <c:idx val="1"/>
          <c:order val="1"/>
          <c:tx>
            <c:strRef>
              <c:f>Bridge!$B$4</c:f>
              <c:strCache>
                <c:ptCount val="1"/>
                <c:pt idx="0">
                  <c:v>Padma Bridge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Padma Bridge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4E-436C-9233-8EC1E3B134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Bridge!$E$4</c:f>
              <c:numCache>
                <c:formatCode>_ * #,##0_ ;_ * \-#,##0_ ;_ * "-"??_ ;_ @_ </c:formatCode>
                <c:ptCount val="1"/>
                <c:pt idx="0">
                  <c:v>6150</c:v>
                </c:pt>
              </c:numCache>
            </c:numRef>
          </c:xVal>
          <c:yVal>
            <c:numRef>
              <c:f>Bridge!$L$4</c:f>
              <c:numCache>
                <c:formatCode>_-[$$-409]* #,##0_ ;_-[$$-409]* \-#,##0\ ;_-[$$-409]* "-"??_ ;_-@_ </c:formatCode>
                <c:ptCount val="1"/>
                <c:pt idx="0">
                  <c:v>231200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E-436C-9233-8EC1E3B13404}"/>
            </c:ext>
          </c:extLst>
        </c:ser>
        <c:ser>
          <c:idx val="2"/>
          <c:order val="2"/>
          <c:tx>
            <c:strRef>
              <c:f>Bridge!$B$15</c:f>
              <c:strCache>
                <c:ptCount val="1"/>
                <c:pt idx="0">
                  <c:v>Bangabandhu Bridge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9452151958825399E-3"/>
                  <c:y val="-4.97137217671541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Bangabandhu Bridge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95337687531757"/>
                      <c:h val="6.30740582210043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74E-436C-9233-8EC1E3B134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Bridge!$E$15</c:f>
              <c:numCache>
                <c:formatCode>_ * #,##0_ ;_ * \-#,##0_ ;_ * "-"??_ ;_ @_ </c:formatCode>
                <c:ptCount val="1"/>
                <c:pt idx="0">
                  <c:v>4630</c:v>
                </c:pt>
              </c:numCache>
            </c:numRef>
          </c:xVal>
          <c:yVal>
            <c:numRef>
              <c:f>Bridge!$L$15</c:f>
              <c:numCache>
                <c:formatCode>_-[$$-409]* #,##0_ ;_-[$$-409]* \-#,##0\ ;_-[$$-409]* "-"??_ ;_-@_ </c:formatCode>
                <c:ptCount val="1"/>
                <c:pt idx="0">
                  <c:v>150300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E-436C-9233-8EC1E3B13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76944"/>
        <c:axId val="1118177272"/>
      </c:scatterChart>
      <c:valAx>
        <c:axId val="111817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Length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,_ ;_ * \-#,##0_ ;_ * &quot;-&quot;??_ ;_ 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7272"/>
        <c:crosses val="autoZero"/>
        <c:crossBetween val="midCat"/>
      </c:valAx>
      <c:valAx>
        <c:axId val="1118177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Costs p</a:t>
                </a:r>
                <a:r>
                  <a:rPr lang="nl-NL" baseline="0"/>
                  <a:t>er meter [USD/m]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-[$$-409]* #,##0_ ;_-[$$-409]* \-#,##0\ ;_-[$$-409]* &quot;-&quot;??_ ;_-@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Costs per meter squared over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Costs per meter squared over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019937153620249E-3"/>
                  <c:y val="-0.147661544058597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5E-06x</a:t>
                    </a:r>
                    <a:r>
                      <a:rPr lang="en-US" sz="1000" baseline="30000"/>
                      <a:t>2</a:t>
                    </a:r>
                    <a:r>
                      <a:rPr lang="en-US" sz="1000" baseline="0"/>
                      <a:t> - 0.4213x + 9319.6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0.5761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(Bridge!$E$5:$E$8,Bridge!$E$10,Bridge!$E$12:$E$14,Bridge!$E$17:$E$19)</c:f>
              <c:numCache>
                <c:formatCode>_ * #,##0_ ;_ * \-#,##0_ ;_ * "-"??_ ;_ @_ </c:formatCode>
                <c:ptCount val="10"/>
                <c:pt idx="0">
                  <c:v>31500</c:v>
                </c:pt>
                <c:pt idx="1">
                  <c:v>42500</c:v>
                </c:pt>
                <c:pt idx="2">
                  <c:v>35600</c:v>
                </c:pt>
                <c:pt idx="3">
                  <c:v>25000</c:v>
                </c:pt>
                <c:pt idx="4">
                  <c:v>4550</c:v>
                </c:pt>
                <c:pt idx="5">
                  <c:v>26540</c:v>
                </c:pt>
                <c:pt idx="6">
                  <c:v>35660</c:v>
                </c:pt>
                <c:pt idx="7">
                  <c:v>6760</c:v>
                </c:pt>
                <c:pt idx="8">
                  <c:v>12900</c:v>
                </c:pt>
                <c:pt idx="9">
                  <c:v>12345</c:v>
                </c:pt>
              </c:numCache>
            </c:numRef>
          </c:xVal>
          <c:yVal>
            <c:numRef>
              <c:f>(Bridge!$M$5:$M$8,Bridge!$M$10,Bridge!$M$12:$M$14,Bridge!$M$17:$M$19)</c:f>
              <c:numCache>
                <c:formatCode>_-[$$-409]* #,##0_ ;_-[$$-409]* \-#,##0\ ;_-[$$-409]* "-"??_ ;_-@_ </c:formatCode>
                <c:ptCount val="10"/>
                <c:pt idx="0">
                  <c:v>1510</c:v>
                </c:pt>
                <c:pt idx="1">
                  <c:v>1420</c:v>
                </c:pt>
                <c:pt idx="2">
                  <c:v>1280</c:v>
                </c:pt>
                <c:pt idx="3">
                  <c:v>1390</c:v>
                </c:pt>
                <c:pt idx="4">
                  <c:v>4280</c:v>
                </c:pt>
                <c:pt idx="5">
                  <c:v>2770</c:v>
                </c:pt>
                <c:pt idx="6">
                  <c:v>650</c:v>
                </c:pt>
                <c:pt idx="7">
                  <c:v>4530</c:v>
                </c:pt>
                <c:pt idx="8">
                  <c:v>7050</c:v>
                </c:pt>
                <c:pt idx="9">
                  <c:v>3470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1-4480-8EDD-3A47B6C33C7A}"/>
            </c:ext>
          </c:extLst>
        </c:ser>
        <c:ser>
          <c:idx val="1"/>
          <c:order val="1"/>
          <c:tx>
            <c:strRef>
              <c:f>Bridge!$B$4</c:f>
              <c:strCache>
                <c:ptCount val="1"/>
                <c:pt idx="0">
                  <c:v>Padma Bridge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730492398964208E-2"/>
                  <c:y val="-4.0957451192370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Padma Bridge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01-4480-8EDD-3A47B6C33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Bridge!$E$4</c:f>
              <c:numCache>
                <c:formatCode>_ * #,##0_ ;_ * \-#,##0_ ;_ * "-"??_ ;_ @_ </c:formatCode>
                <c:ptCount val="1"/>
                <c:pt idx="0">
                  <c:v>6150</c:v>
                </c:pt>
              </c:numCache>
            </c:numRef>
          </c:xVal>
          <c:yVal>
            <c:numRef>
              <c:f>Bridge!$M$4</c:f>
              <c:numCache>
                <c:formatCode>_-[$$-409]* #,##0_ ;_-[$$-409]* \-#,##0\ ;_-[$$-409]* "-"??_ ;_-@_ </c:formatCode>
                <c:ptCount val="1"/>
                <c:pt idx="0">
                  <c:v>12770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1-4480-8EDD-3A47B6C33C7A}"/>
            </c:ext>
          </c:extLst>
        </c:ser>
        <c:ser>
          <c:idx val="2"/>
          <c:order val="2"/>
          <c:tx>
            <c:strRef>
              <c:f>Bridge!$B$15</c:f>
              <c:strCache>
                <c:ptCount val="1"/>
                <c:pt idx="0">
                  <c:v>Bangabandhu Bridge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4253527345209454E-2"/>
                  <c:y val="-4.55082791026340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Bangabandhu Bridge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09167934006284"/>
                      <c:h val="7.26086384747058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F01-4480-8EDD-3A47B6C33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Bridge!$E$15</c:f>
              <c:numCache>
                <c:formatCode>_ * #,##0_ ;_ * \-#,##0_ ;_ * "-"??_ ;_ @_ </c:formatCode>
                <c:ptCount val="1"/>
                <c:pt idx="0">
                  <c:v>4630</c:v>
                </c:pt>
              </c:numCache>
            </c:numRef>
          </c:xVal>
          <c:yVal>
            <c:numRef>
              <c:f>Bridge!$M$15</c:f>
              <c:numCache>
                <c:formatCode>_-[$$-409]* #,##0_ ;_-[$$-409]* \-#,##0\ ;_-[$$-409]* "-"??_ ;_-@_ </c:formatCode>
                <c:ptCount val="1"/>
                <c:pt idx="0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01-4480-8EDD-3A47B6C3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76944"/>
        <c:axId val="1118177272"/>
      </c:scatterChart>
      <c:valAx>
        <c:axId val="111817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Length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,_ ;_ * \-#,##0_ ;_ * &quot;-&quot;??_ ;_ 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7272"/>
        <c:crosses val="autoZero"/>
        <c:crossBetween val="midCat"/>
        <c:majorUnit val="5000"/>
      </c:valAx>
      <c:valAx>
        <c:axId val="1118177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Costs p</a:t>
                </a:r>
                <a:r>
                  <a:rPr lang="nl-NL" baseline="0"/>
                  <a:t>er meter squared [USD/m2]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-[$$-409]* #,##0_ ;_-[$$-409]* \-#,##0\ ;_-[$$-409]* &quot;-&quot;??_ ;_-@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Costs per meter squared over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Costs per meter squared over width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558472935727041E-2"/>
                  <c:y val="-0.17919051058878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(Bridge!$F$5:$F$8,Bridge!$F$10,Bridge!$F$12:$F$14,Bridge!$F$17:$F$20)</c:f>
              <c:numCache>
                <c:formatCode>_ * #,##0.0_ ;_ * \-#,##0.0_ ;_ * "-"??_ ;_ @_ </c:formatCode>
                <c:ptCount val="10"/>
                <c:pt idx="0">
                  <c:v>31.5</c:v>
                </c:pt>
                <c:pt idx="1">
                  <c:v>35</c:v>
                </c:pt>
                <c:pt idx="2">
                  <c:v>33</c:v>
                </c:pt>
                <c:pt idx="3">
                  <c:v>23</c:v>
                </c:pt>
                <c:pt idx="4">
                  <c:v>10</c:v>
                </c:pt>
                <c:pt idx="5">
                  <c:v>24.5</c:v>
                </c:pt>
                <c:pt idx="6">
                  <c:v>39.200000000000003</c:v>
                </c:pt>
                <c:pt idx="7">
                  <c:v>31</c:v>
                </c:pt>
                <c:pt idx="8">
                  <c:v>11</c:v>
                </c:pt>
                <c:pt idx="9">
                  <c:v>30</c:v>
                </c:pt>
              </c:numCache>
            </c:numRef>
          </c:xVal>
          <c:yVal>
            <c:numRef>
              <c:f>(Bridge!$M$5:$M$8,Bridge!$M$10,Bridge!$M$12:$M$14,Bridge!$M$17:$M$20)</c:f>
              <c:numCache>
                <c:formatCode>_-[$$-409]* #,##0_ ;_-[$$-409]* \-#,##0\ ;_-[$$-409]* "-"??_ ;_-@_ </c:formatCode>
                <c:ptCount val="10"/>
                <c:pt idx="0">
                  <c:v>1510</c:v>
                </c:pt>
                <c:pt idx="1">
                  <c:v>1420</c:v>
                </c:pt>
                <c:pt idx="2">
                  <c:v>1280</c:v>
                </c:pt>
                <c:pt idx="3">
                  <c:v>1390</c:v>
                </c:pt>
                <c:pt idx="4">
                  <c:v>4280</c:v>
                </c:pt>
                <c:pt idx="5">
                  <c:v>2770</c:v>
                </c:pt>
                <c:pt idx="6">
                  <c:v>650</c:v>
                </c:pt>
                <c:pt idx="7">
                  <c:v>4530</c:v>
                </c:pt>
                <c:pt idx="8">
                  <c:v>7050</c:v>
                </c:pt>
                <c:pt idx="9">
                  <c:v>3470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F-425A-A540-D1607ADCF1ED}"/>
            </c:ext>
          </c:extLst>
        </c:ser>
        <c:ser>
          <c:idx val="1"/>
          <c:order val="1"/>
          <c:tx>
            <c:strRef>
              <c:f>Bridge!$B$4</c:f>
              <c:strCache>
                <c:ptCount val="1"/>
                <c:pt idx="0">
                  <c:v>Padma Bridge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032847111667711E-3"/>
                  <c:y val="-4.45554315176000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Padma Bridge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0F-425A-A540-D1607ADC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Bridge!$F$4</c:f>
              <c:numCache>
                <c:formatCode>_ * #,##0.0_ ;_ * \-#,##0.0_ ;_ * "-"??_ ;_ @_ </c:formatCode>
                <c:ptCount val="1"/>
                <c:pt idx="0">
                  <c:v>18.100000000000001</c:v>
                </c:pt>
              </c:numCache>
            </c:numRef>
          </c:xVal>
          <c:yVal>
            <c:numRef>
              <c:f>Bridge!$M$4</c:f>
              <c:numCache>
                <c:formatCode>_-[$$-409]* #,##0_ ;_-[$$-409]* \-#,##0\ ;_-[$$-409]* "-"??_ ;_-@_ </c:formatCode>
                <c:ptCount val="1"/>
                <c:pt idx="0">
                  <c:v>12770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0F-425A-A540-D1607ADCF1ED}"/>
            </c:ext>
          </c:extLst>
        </c:ser>
        <c:ser>
          <c:idx val="2"/>
          <c:order val="2"/>
          <c:tx>
            <c:strRef>
              <c:f>Bridge!$B$15</c:f>
              <c:strCache>
                <c:ptCount val="1"/>
                <c:pt idx="0">
                  <c:v>Bangabandhu Bridge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0576666849859401"/>
                  <c:y val="-6.44938314781842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Bangabandhu Bridge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9103028360537"/>
                      <c:h val="7.30705295909522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80F-425A-A540-D1607ADC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Bridge!$F$15</c:f>
              <c:numCache>
                <c:formatCode>_ * #,##0.0_ ;_ * \-#,##0.0_ ;_ * "-"??_ ;_ @_ </c:formatCode>
                <c:ptCount val="1"/>
                <c:pt idx="0">
                  <c:v>18.8</c:v>
                </c:pt>
              </c:numCache>
            </c:numRef>
          </c:xVal>
          <c:yVal>
            <c:numRef>
              <c:f>Bridge!$M$15</c:f>
              <c:numCache>
                <c:formatCode>_-[$$-409]* #,##0_ ;_-[$$-409]* \-#,##0\ ;_-[$$-409]* "-"??_ ;_-@_ </c:formatCode>
                <c:ptCount val="1"/>
                <c:pt idx="0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0F-425A-A540-D1607ADC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76944"/>
        <c:axId val="1118177272"/>
      </c:scatterChart>
      <c:valAx>
        <c:axId val="1118176944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Width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.0_ ;_ * \-#,##0.0_ ;_ * &quot;-&quot;??_ ;_ @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7272"/>
        <c:crosses val="autoZero"/>
        <c:crossBetween val="midCat"/>
      </c:valAx>
      <c:valAx>
        <c:axId val="111817727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Costs p</a:t>
                </a:r>
                <a:r>
                  <a:rPr lang="nl-NL" baseline="0"/>
                  <a:t>er meter squared [USD/m2]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-[$$-409]* #,##0_ ;_-[$$-409]* \-#,##0\ ;_-[$$-409]* &quot;-&quot;_ ;_-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Costs per meter over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08893676362792"/>
                  <c:y val="-0.11476876458166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(Bridge!$F$5:$F$8,Bridge!$F$10,Bridge!$F$12:$F$14,Bridge!$F$17:$F$20)</c:f>
              <c:numCache>
                <c:formatCode>_ * #,##0.0_ ;_ * \-#,##0.0_ ;_ * "-"??_ ;_ @_ </c:formatCode>
                <c:ptCount val="10"/>
                <c:pt idx="0">
                  <c:v>31.5</c:v>
                </c:pt>
                <c:pt idx="1">
                  <c:v>35</c:v>
                </c:pt>
                <c:pt idx="2">
                  <c:v>33</c:v>
                </c:pt>
                <c:pt idx="3">
                  <c:v>23</c:v>
                </c:pt>
                <c:pt idx="4">
                  <c:v>10</c:v>
                </c:pt>
                <c:pt idx="5">
                  <c:v>24.5</c:v>
                </c:pt>
                <c:pt idx="6">
                  <c:v>39.200000000000003</c:v>
                </c:pt>
                <c:pt idx="7">
                  <c:v>31</c:v>
                </c:pt>
                <c:pt idx="8">
                  <c:v>11</c:v>
                </c:pt>
                <c:pt idx="9">
                  <c:v>30</c:v>
                </c:pt>
              </c:numCache>
            </c:numRef>
          </c:xVal>
          <c:yVal>
            <c:numRef>
              <c:f>(Bridge!$L$5:$L$8,Bridge!$L$10,Bridge!$L$12:$L$14,Bridge!$L$17:$L$20)</c:f>
              <c:numCache>
                <c:formatCode>_-[$$-409]* #,##0_ ;_-[$$-409]* \-#,##0\ ;_-[$$-409]* "-"??_ ;_-@_ </c:formatCode>
                <c:ptCount val="10"/>
                <c:pt idx="0">
                  <c:v>47700</c:v>
                </c:pt>
                <c:pt idx="1">
                  <c:v>49600</c:v>
                </c:pt>
                <c:pt idx="2">
                  <c:v>42100</c:v>
                </c:pt>
                <c:pt idx="3">
                  <c:v>32000</c:v>
                </c:pt>
                <c:pt idx="4">
                  <c:v>42800</c:v>
                </c:pt>
                <c:pt idx="5">
                  <c:v>67800</c:v>
                </c:pt>
                <c:pt idx="6">
                  <c:v>25300</c:v>
                </c:pt>
                <c:pt idx="7">
                  <c:v>140500</c:v>
                </c:pt>
                <c:pt idx="8">
                  <c:v>77500</c:v>
                </c:pt>
                <c:pt idx="9">
                  <c:v>104100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2-4C0D-8852-587B3AB01563}"/>
            </c:ext>
          </c:extLst>
        </c:ser>
        <c:ser>
          <c:idx val="1"/>
          <c:order val="1"/>
          <c:tx>
            <c:v>Padma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758224723637097E-2"/>
                  <c:y val="-4.7077929003422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Padma Bridge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C2-4C0D-8852-587B3AB01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Bridge!$F$4</c:f>
              <c:numCache>
                <c:formatCode>_ * #,##0.0_ ;_ * \-#,##0.0_ ;_ * "-"??_ ;_ @_ </c:formatCode>
                <c:ptCount val="1"/>
                <c:pt idx="0">
                  <c:v>18.100000000000001</c:v>
                </c:pt>
              </c:numCache>
            </c:numRef>
          </c:xVal>
          <c:yVal>
            <c:numRef>
              <c:f>Bridge!$L$4</c:f>
              <c:numCache>
                <c:formatCode>_-[$$-409]* #,##0_ ;_-[$$-409]* \-#,##0\ ;_-[$$-409]* "-"??_ ;_-@_ </c:formatCode>
                <c:ptCount val="1"/>
                <c:pt idx="0">
                  <c:v>231200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2-4C0D-8852-587B3AB01563}"/>
            </c:ext>
          </c:extLst>
        </c:ser>
        <c:ser>
          <c:idx val="2"/>
          <c:order val="2"/>
          <c:tx>
            <c:strRef>
              <c:f>Bridge!$B$15</c:f>
              <c:strCache>
                <c:ptCount val="1"/>
                <c:pt idx="0">
                  <c:v>Bangabandhu Bridge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6514203540592721E-2"/>
                  <c:y val="-5.70465322072891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Bangabandhu Bridge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17224583519364"/>
                      <c:h val="0.115601840015850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1C2-4C0D-8852-587B3AB01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Bridge!$F$15</c:f>
              <c:numCache>
                <c:formatCode>_ * #,##0.0_ ;_ * \-#,##0.0_ ;_ * "-"??_ ;_ @_ </c:formatCode>
                <c:ptCount val="1"/>
                <c:pt idx="0">
                  <c:v>18.8</c:v>
                </c:pt>
              </c:numCache>
            </c:numRef>
          </c:xVal>
          <c:yVal>
            <c:numRef>
              <c:f>Bridge!$L$15</c:f>
              <c:numCache>
                <c:formatCode>_-[$$-409]* #,##0_ ;_-[$$-409]* \-#,##0\ ;_-[$$-409]* "-"??_ ;_-@_ </c:formatCode>
                <c:ptCount val="1"/>
                <c:pt idx="0">
                  <c:v>150300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C2-4C0D-8852-587B3AB0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76944"/>
        <c:axId val="1118177272"/>
      </c:scatterChart>
      <c:valAx>
        <c:axId val="1118176944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Width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.0_ ;_ * \-#,##0.0_ ;_ * &quot;-&quot;??_ ;_ 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7272"/>
        <c:crosses val="autoZero"/>
        <c:crossBetween val="midCat"/>
      </c:valAx>
      <c:valAx>
        <c:axId val="1118177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Costs p</a:t>
                </a:r>
                <a:r>
                  <a:rPr lang="nl-NL" baseline="0"/>
                  <a:t>er meter [USD/m]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-[$$-409]* #,##0_ ;_-[$$-409]* \-#,##0\ ;_-[$$-409]* &quot;-&quot;_ ;_-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Total</a:t>
            </a:r>
            <a:r>
              <a:rPr lang="nl-NL" baseline="0"/>
              <a:t> costs over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9131951292446334"/>
          <c:y val="0.17171296296296296"/>
          <c:w val="0.7452430441202967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Total costs over width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68217592592593"/>
                  <c:y val="-7.37641890571722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(Bridge!$F$4:$F$8,Bridge!$F$12:$F$15,Bridge!$F$17:$F$19)</c:f>
              <c:numCache>
                <c:formatCode>_ * #,##0.0_ ;_ * \-#,##0.0_ ;_ * "-"??_ ;_ @_ </c:formatCode>
                <c:ptCount val="12"/>
                <c:pt idx="0">
                  <c:v>18.100000000000001</c:v>
                </c:pt>
                <c:pt idx="1">
                  <c:v>31.5</c:v>
                </c:pt>
                <c:pt idx="2">
                  <c:v>35</c:v>
                </c:pt>
                <c:pt idx="3">
                  <c:v>33</c:v>
                </c:pt>
                <c:pt idx="4">
                  <c:v>23</c:v>
                </c:pt>
                <c:pt idx="5">
                  <c:v>10</c:v>
                </c:pt>
                <c:pt idx="6">
                  <c:v>24.5</c:v>
                </c:pt>
                <c:pt idx="7">
                  <c:v>39.200000000000003</c:v>
                </c:pt>
                <c:pt idx="8">
                  <c:v>18.8</c:v>
                </c:pt>
                <c:pt idx="9">
                  <c:v>31</c:v>
                </c:pt>
                <c:pt idx="10">
                  <c:v>11</c:v>
                </c:pt>
                <c:pt idx="11">
                  <c:v>30</c:v>
                </c:pt>
              </c:numCache>
            </c:numRef>
          </c:xVal>
          <c:yVal>
            <c:numRef>
              <c:f>(Bridge!$K$4:$K$8,Bridge!$K$12:$K$15,Bridge!$K$17:$K$19)</c:f>
              <c:numCache>
                <c:formatCode>_-[$$-409]* #,##0_ ;_-[$$-409]* \-#,##0\ ;_-[$$-409]* "-"??_ ;_-@_ </c:formatCode>
                <c:ptCount val="12"/>
                <c:pt idx="0">
                  <c:v>1421831501.831502</c:v>
                </c:pt>
                <c:pt idx="1">
                  <c:v>1501272264.6310432</c:v>
                </c:pt>
                <c:pt idx="2">
                  <c:v>2108905852.4173028</c:v>
                </c:pt>
                <c:pt idx="3">
                  <c:v>1500000000</c:v>
                </c:pt>
                <c:pt idx="4">
                  <c:v>800000000</c:v>
                </c:pt>
                <c:pt idx="5">
                  <c:v>194805194.8051948</c:v>
                </c:pt>
                <c:pt idx="6">
                  <c:v>1800000000</c:v>
                </c:pt>
                <c:pt idx="7">
                  <c:v>902000000</c:v>
                </c:pt>
                <c:pt idx="8">
                  <c:v>696000000</c:v>
                </c:pt>
                <c:pt idx="9">
                  <c:v>950000000</c:v>
                </c:pt>
                <c:pt idx="10">
                  <c:v>1000000000</c:v>
                </c:pt>
                <c:pt idx="11">
                  <c:v>1285000000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C-4945-ABCA-A7900BD5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786288"/>
        <c:axId val="1114782680"/>
      </c:scatterChart>
      <c:valAx>
        <c:axId val="1114786288"/>
        <c:scaling>
          <c:orientation val="minMax"/>
          <c:max val="45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Width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.0_ ;_ * \-#,##0.0_ ;_ * &quot;-&quot;??_ ;_ @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782680"/>
        <c:crossesAt val="0"/>
        <c:crossBetween val="midCat"/>
        <c:majorUnit val="5"/>
      </c:valAx>
      <c:valAx>
        <c:axId val="1114782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Total costs [M 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-[$$-409]* #,##0,,_ ;_-[$$-409]* \-#,##0\ ;_-[$$-409]* &quot;-&quot;_ ;_-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47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Costs per meter over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Bridge!$U$3</c:f>
              <c:strCache>
                <c:ptCount val="1"/>
                <c:pt idx="0">
                  <c:v>Total 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forward val="1000"/>
            <c:dispRSqr val="0"/>
            <c:dispEq val="0"/>
          </c:trendline>
          <c:xVal>
            <c:numRef>
              <c:f>Bridge!$T$4:$T$9</c:f>
              <c:numCache>
                <c:formatCode>_-* #,##0_-;\-* #,##0_-;_-* "-"??_-;_-@_-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40000</c:v>
                </c:pt>
                <c:pt idx="5">
                  <c:v>60000</c:v>
                </c:pt>
              </c:numCache>
            </c:numRef>
          </c:xVal>
          <c:yVal>
            <c:numRef>
              <c:f>Bridge!$V$4:$V$9</c:f>
              <c:numCache>
                <c:formatCode>_-[$$-409]* #,##0.00_ ;_-[$$-409]* \-#,##0.00\ ;_-[$$-409]* "-"??_ ;_-@_ </c:formatCode>
                <c:ptCount val="6"/>
                <c:pt idx="0">
                  <c:v>79078.785604474397</c:v>
                </c:pt>
                <c:pt idx="1">
                  <c:v>58860.129487216487</c:v>
                </c:pt>
                <c:pt idx="2">
                  <c:v>49522.930595694103</c:v>
                </c:pt>
                <c:pt idx="3">
                  <c:v>39838.11394840257</c:v>
                </c:pt>
                <c:pt idx="4">
                  <c:v>43810.926239816486</c:v>
                </c:pt>
                <c:pt idx="5">
                  <c:v>36861.037826610955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DE-4222-91DE-5646D6C6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76944"/>
        <c:axId val="1118177272"/>
      </c:scatterChart>
      <c:valAx>
        <c:axId val="111817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Length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,_ ;_ * \-#,##0_ ;_ * &quot;-&quot;??_ ;_ 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7272"/>
        <c:crosses val="autoZero"/>
        <c:crossBetween val="midCat"/>
      </c:valAx>
      <c:valAx>
        <c:axId val="1118177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Costs p</a:t>
                </a:r>
                <a:r>
                  <a:rPr lang="nl-NL" baseline="0"/>
                  <a:t>er meter [M USD/m]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-[$$-409]* #,##0.00_ ;_-[$$-409]* \-#,##0.00\ ;_-[$$-409]* &quot;-&quot;??_ ;_-@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Costs per meter over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Bridge!$U$3</c:f>
              <c:strCache>
                <c:ptCount val="1"/>
                <c:pt idx="0">
                  <c:v>Total 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forward val="1000"/>
            <c:dispRSqr val="0"/>
            <c:dispEq val="1"/>
            <c:trendlineLbl>
              <c:layout>
                <c:manualLayout>
                  <c:x val="-1.6813799666794409E-2"/>
                  <c:y val="-0.14872419724770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Bridge!$T$4:$T$9</c:f>
              <c:numCache>
                <c:formatCode>_-* #,##0_-;\-* #,##0_-;_-* "-"??_-;_-@_-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40000</c:v>
                </c:pt>
                <c:pt idx="5">
                  <c:v>60000</c:v>
                </c:pt>
              </c:numCache>
            </c:numRef>
          </c:xVal>
          <c:yVal>
            <c:numRef>
              <c:f>Bridge!$V$4:$V$9</c:f>
              <c:numCache>
                <c:formatCode>_-[$$-409]* #,##0.00_ ;_-[$$-409]* \-#,##0.00\ ;_-[$$-409]* "-"??_ ;_-@_ </c:formatCode>
                <c:ptCount val="6"/>
                <c:pt idx="0">
                  <c:v>79078.785604474397</c:v>
                </c:pt>
                <c:pt idx="1">
                  <c:v>58860.129487216487</c:v>
                </c:pt>
                <c:pt idx="2">
                  <c:v>49522.930595694103</c:v>
                </c:pt>
                <c:pt idx="3">
                  <c:v>39838.11394840257</c:v>
                </c:pt>
                <c:pt idx="4">
                  <c:v>43810.926239816486</c:v>
                </c:pt>
                <c:pt idx="5">
                  <c:v>36861.037826610955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F-41E1-9610-2BB43C891337}"/>
            </c:ext>
          </c:extLst>
        </c:ser>
        <c:ser>
          <c:idx val="0"/>
          <c:order val="1"/>
          <c:tx>
            <c:v>Unit rates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(Sheet1!$B$3,Sheet1!$B$5,Sheet1!$B$7)</c:f>
              <c:numCache>
                <c:formatCode>_-* #,##0_-;\-* #,##0_-;_-* "-"??_-;_-@_-</c:formatCode>
                <c:ptCount val="3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</c:numCache>
            </c:numRef>
          </c:xVal>
          <c:yVal>
            <c:numRef>
              <c:f>(Sheet1!$D$3,Sheet1!$D$5,Sheet1!$D$7)</c:f>
              <c:numCache>
                <c:formatCode>_-[$$-409]* #,##0_ ;_-[$$-409]* \-#,##0\ ;_-[$$-409]* "-"??_ ;_-@_ </c:formatCode>
                <c:ptCount val="3"/>
                <c:pt idx="0">
                  <c:v>59000</c:v>
                </c:pt>
                <c:pt idx="1">
                  <c:v>44000</c:v>
                </c:pt>
                <c:pt idx="2">
                  <c:v>37000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8-4500-8BFE-84C5B0FF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76944"/>
        <c:axId val="1118177272"/>
      </c:scatterChart>
      <c:valAx>
        <c:axId val="111817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Length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,_ ;_ * \-#,##0_ ;_ * &quot;-&quot;??_ ;_ 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7272"/>
        <c:crosses val="autoZero"/>
        <c:crossBetween val="midCat"/>
      </c:valAx>
      <c:valAx>
        <c:axId val="1118177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Costs p</a:t>
                </a:r>
                <a:r>
                  <a:rPr lang="nl-NL" baseline="0"/>
                  <a:t>er meter [USD/m]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-[$$-409]* #,##0_ ;_-[$$-409]* \-#,##0\ ;_-[$$-409]* &quot;-&quot;_ ;_-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81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188258</xdr:colOff>
      <xdr:row>22</xdr:row>
      <xdr:rowOff>0</xdr:rowOff>
    </xdr:from>
    <xdr:to>
      <xdr:col>2</xdr:col>
      <xdr:colOff>1442329</xdr:colOff>
      <xdr:row>38</xdr:row>
      <xdr:rowOff>130628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0F22D1-4AC6-4DEA-8B7C-2A4CDA8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1388258</xdr:colOff>
      <xdr:row>22</xdr:row>
      <xdr:rowOff>0</xdr:rowOff>
    </xdr:from>
    <xdr:to>
      <xdr:col>7</xdr:col>
      <xdr:colOff>517693</xdr:colOff>
      <xdr:row>38</xdr:row>
      <xdr:rowOff>130628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0D498F-490C-4739-B138-9FB230F9B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618565</xdr:colOff>
      <xdr:row>22</xdr:row>
      <xdr:rowOff>0</xdr:rowOff>
    </xdr:from>
    <xdr:to>
      <xdr:col>12</xdr:col>
      <xdr:colOff>393459</xdr:colOff>
      <xdr:row>38</xdr:row>
      <xdr:rowOff>130628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BA6BF9-D935-4B51-9261-84BBBFFC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618565</xdr:colOff>
      <xdr:row>40</xdr:row>
      <xdr:rowOff>0</xdr:rowOff>
    </xdr:from>
    <xdr:to>
      <xdr:col>12</xdr:col>
      <xdr:colOff>393459</xdr:colOff>
      <xdr:row>56</xdr:row>
      <xdr:rowOff>130628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B4D2FA-2667-48D0-AFA5-FC362B17F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1377368</xdr:colOff>
      <xdr:row>40</xdr:row>
      <xdr:rowOff>0</xdr:rowOff>
    </xdr:from>
    <xdr:to>
      <xdr:col>7</xdr:col>
      <xdr:colOff>506803</xdr:colOff>
      <xdr:row>56</xdr:row>
      <xdr:rowOff>130628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4A74051-978F-4EC3-88D4-D5BC707D8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188258</xdr:colOff>
      <xdr:row>40</xdr:row>
      <xdr:rowOff>0</xdr:rowOff>
    </xdr:from>
    <xdr:to>
      <xdr:col>2</xdr:col>
      <xdr:colOff>1442329</xdr:colOff>
      <xdr:row>56</xdr:row>
      <xdr:rowOff>130628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ECDDAF-0EF1-40C9-A414-AAF52C234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30</xdr:col>
      <xdr:colOff>51455</xdr:colOff>
      <xdr:row>17</xdr:row>
      <xdr:rowOff>16328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CD0BCC4-D32B-484E-BD32-47E5FF374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51455</xdr:colOff>
      <xdr:row>17</xdr:row>
      <xdr:rowOff>122112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B2CE9-A475-4B1B-8468-9C11A5320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796B-0EE1-43E6-A4F4-983C6704FB75}">
  <dimension ref="B2:V32"/>
  <sheetViews>
    <sheetView showGridLines="0" tabSelected="1" zoomScale="120" zoomScaleNormal="120" workbookViewId="0">
      <selection activeCell="N28" sqref="N28"/>
    </sheetView>
  </sheetViews>
  <sheetFormatPr defaultRowHeight="13.2" x14ac:dyDescent="0.25"/>
  <cols>
    <col min="1" max="1" width="3" customWidth="1"/>
    <col min="2" max="2" width="41.6640625" customWidth="1"/>
    <col min="3" max="3" width="23.109375" bestFit="1" customWidth="1"/>
    <col min="4" max="4" width="15.5546875" bestFit="1" customWidth="1"/>
    <col min="5" max="5" width="13.33203125" bestFit="1" customWidth="1"/>
    <col min="6" max="6" width="12.44140625" bestFit="1" customWidth="1"/>
    <col min="7" max="7" width="9" style="1" bestFit="1" customWidth="1"/>
    <col min="8" max="8" width="9.6640625" style="1" bestFit="1" customWidth="1"/>
    <col min="9" max="9" width="10.33203125" bestFit="1" customWidth="1"/>
    <col min="10" max="10" width="5.88671875" bestFit="1" customWidth="1"/>
    <col min="11" max="11" width="19.109375" customWidth="1"/>
    <col min="12" max="12" width="14.21875" customWidth="1"/>
    <col min="13" max="13" width="14" bestFit="1" customWidth="1"/>
    <col min="14" max="14" width="7.77734375" bestFit="1" customWidth="1"/>
    <col min="15" max="15" width="71.109375" hidden="1" customWidth="1"/>
    <col min="16" max="16" width="2.88671875" customWidth="1"/>
    <col min="17" max="17" width="10.44140625" bestFit="1" customWidth="1"/>
    <col min="18" max="18" width="12.88671875" bestFit="1" customWidth="1"/>
    <col min="19" max="19" width="12.44140625" bestFit="1" customWidth="1"/>
    <col min="20" max="20" width="11.6640625" bestFit="1" customWidth="1"/>
    <col min="21" max="21" width="15" bestFit="1" customWidth="1"/>
    <col min="22" max="22" width="11.33203125" bestFit="1" customWidth="1"/>
  </cols>
  <sheetData>
    <row r="2" spans="2:22" ht="17.399999999999999" x14ac:dyDescent="0.4">
      <c r="B2" s="41" t="s">
        <v>85</v>
      </c>
      <c r="C2" s="2"/>
      <c r="D2" s="2"/>
      <c r="E2" s="2"/>
      <c r="F2" s="2"/>
      <c r="G2" s="3"/>
      <c r="H2" s="3"/>
      <c r="I2" s="2"/>
      <c r="J2" s="2"/>
      <c r="K2" s="2"/>
      <c r="L2" s="2"/>
      <c r="M2" s="2"/>
      <c r="N2" s="2"/>
      <c r="O2" s="2"/>
      <c r="P2" t="s">
        <v>21</v>
      </c>
      <c r="Q2" s="62" t="s">
        <v>8</v>
      </c>
      <c r="R2" s="63">
        <v>43902</v>
      </c>
    </row>
    <row r="3" spans="2:22" ht="17.399999999999999" x14ac:dyDescent="0.4">
      <c r="B3" s="14" t="s">
        <v>65</v>
      </c>
      <c r="C3" s="35" t="s">
        <v>17</v>
      </c>
      <c r="D3" s="35" t="s">
        <v>28</v>
      </c>
      <c r="E3" s="61" t="s">
        <v>9</v>
      </c>
      <c r="F3" s="61" t="s">
        <v>10</v>
      </c>
      <c r="G3" s="36" t="s">
        <v>86</v>
      </c>
      <c r="H3" s="36" t="s">
        <v>87</v>
      </c>
      <c r="I3" s="14" t="s">
        <v>11</v>
      </c>
      <c r="J3" s="34" t="s">
        <v>4</v>
      </c>
      <c r="K3" s="34" t="s">
        <v>3</v>
      </c>
      <c r="L3" s="40" t="s">
        <v>12</v>
      </c>
      <c r="M3" s="40" t="s">
        <v>88</v>
      </c>
      <c r="N3" s="15" t="s">
        <v>20</v>
      </c>
      <c r="O3" s="14" t="s">
        <v>20</v>
      </c>
      <c r="P3" t="s">
        <v>21</v>
      </c>
      <c r="Q3" s="73" t="s">
        <v>67</v>
      </c>
      <c r="R3" s="74" t="s">
        <v>68</v>
      </c>
      <c r="U3" t="s">
        <v>3</v>
      </c>
      <c r="V3" t="s">
        <v>89</v>
      </c>
    </row>
    <row r="4" spans="2:22" ht="15.6" customHeight="1" x14ac:dyDescent="0.4">
      <c r="B4" s="16" t="s">
        <v>25</v>
      </c>
      <c r="C4" s="16" t="s">
        <v>18</v>
      </c>
      <c r="D4" s="16" t="s">
        <v>16</v>
      </c>
      <c r="E4" s="17">
        <v>6150</v>
      </c>
      <c r="F4" s="58">
        <v>18.100000000000001</v>
      </c>
      <c r="G4" s="37">
        <v>2</v>
      </c>
      <c r="H4" s="37">
        <v>0</v>
      </c>
      <c r="I4" s="18" t="s">
        <v>38</v>
      </c>
      <c r="J4" s="18">
        <v>2020</v>
      </c>
      <c r="K4" s="19">
        <f>121.3*10^9/$R$8*$R$5</f>
        <v>1421831501.831502</v>
      </c>
      <c r="L4" s="20">
        <f>ROUND(K4/E4,-2)</f>
        <v>231200</v>
      </c>
      <c r="M4" s="21">
        <f>IF(F4&gt;0,ROUND(K4/PRODUCT(E4:F4),-1),0)</f>
        <v>12770</v>
      </c>
      <c r="N4" s="31" t="s">
        <v>69</v>
      </c>
      <c r="O4" s="4" t="s">
        <v>64</v>
      </c>
      <c r="P4" t="s">
        <v>21</v>
      </c>
      <c r="Q4" s="64" t="s">
        <v>7</v>
      </c>
      <c r="R4" s="65">
        <v>1</v>
      </c>
      <c r="T4" s="75">
        <v>10000</v>
      </c>
      <c r="U4" s="45">
        <f>25177*T4 + 600000000</f>
        <v>851770000</v>
      </c>
      <c r="V4" s="42">
        <f>4*10^6*(T4^(-0.426))</f>
        <v>79078.785604474397</v>
      </c>
    </row>
    <row r="5" spans="2:22" ht="15.6" customHeight="1" x14ac:dyDescent="0.4">
      <c r="B5" s="6" t="s">
        <v>26</v>
      </c>
      <c r="C5" s="6" t="s">
        <v>19</v>
      </c>
      <c r="D5" s="6" t="s">
        <v>16</v>
      </c>
      <c r="E5" s="7">
        <v>31500</v>
      </c>
      <c r="F5" s="59">
        <v>31.5</v>
      </c>
      <c r="G5" s="38">
        <v>3</v>
      </c>
      <c r="H5" s="38">
        <v>0</v>
      </c>
      <c r="I5" s="10" t="s">
        <v>38</v>
      </c>
      <c r="J5" s="10">
        <v>2005</v>
      </c>
      <c r="K5" s="8">
        <f>11.8*10^9/$R$6</f>
        <v>1501272264.6310432</v>
      </c>
      <c r="L5" s="8">
        <f>ROUND(K5/E5,-2)</f>
        <v>47700</v>
      </c>
      <c r="M5" s="8">
        <f>IF(F5&gt;0,ROUND(K5/PRODUCT(E5:F5),-1),0)</f>
        <v>1510</v>
      </c>
      <c r="N5" s="32" t="s">
        <v>75</v>
      </c>
      <c r="O5" s="9" t="s">
        <v>22</v>
      </c>
      <c r="P5" t="s">
        <v>21</v>
      </c>
      <c r="Q5" s="66" t="s">
        <v>6</v>
      </c>
      <c r="R5" s="67">
        <v>1.1200000000000001</v>
      </c>
      <c r="T5" s="75">
        <v>20000</v>
      </c>
      <c r="U5" s="45">
        <f t="shared" ref="U5:U9" si="0">25177*T5 + 600000000</f>
        <v>1103540000</v>
      </c>
      <c r="V5" s="42">
        <f t="shared" ref="V5:V9" si="1">4*10^6*(T5^(-0.426))</f>
        <v>58860.129487216487</v>
      </c>
    </row>
    <row r="6" spans="2:22" ht="15.6" customHeight="1" x14ac:dyDescent="0.4">
      <c r="B6" s="16" t="s">
        <v>13</v>
      </c>
      <c r="C6" s="16" t="s">
        <v>19</v>
      </c>
      <c r="D6" s="16" t="s">
        <v>16</v>
      </c>
      <c r="E6" s="17">
        <v>42500</v>
      </c>
      <c r="F6" s="58">
        <v>35</v>
      </c>
      <c r="G6" s="37">
        <v>3</v>
      </c>
      <c r="H6" s="37">
        <v>0</v>
      </c>
      <c r="I6" s="18" t="s">
        <v>38</v>
      </c>
      <c r="J6" s="18">
        <v>2011</v>
      </c>
      <c r="K6" s="19">
        <f>14.8*10^9/$R$6*$R$5</f>
        <v>2108905852.4173028</v>
      </c>
      <c r="L6" s="19">
        <f>ROUND(K6/E6,-2)</f>
        <v>49600</v>
      </c>
      <c r="M6" s="19">
        <f>IF(F6&gt;0,ROUND(K6/PRODUCT(E6:F6),-1),0)</f>
        <v>1420</v>
      </c>
      <c r="N6" s="31" t="s">
        <v>73</v>
      </c>
      <c r="O6" s="4" t="s">
        <v>23</v>
      </c>
      <c r="P6" t="s">
        <v>21</v>
      </c>
      <c r="Q6" s="64" t="s">
        <v>24</v>
      </c>
      <c r="R6" s="68">
        <v>7.86</v>
      </c>
      <c r="T6" s="75">
        <v>30000</v>
      </c>
      <c r="U6" s="45">
        <f t="shared" si="0"/>
        <v>1355310000</v>
      </c>
      <c r="V6" s="42">
        <f t="shared" si="1"/>
        <v>49522.930595694103</v>
      </c>
    </row>
    <row r="7" spans="2:22" ht="15.6" customHeight="1" x14ac:dyDescent="0.4">
      <c r="B7" s="6" t="s">
        <v>14</v>
      </c>
      <c r="C7" s="6" t="s">
        <v>19</v>
      </c>
      <c r="D7" s="6" t="s">
        <v>16</v>
      </c>
      <c r="E7" s="7">
        <v>35600</v>
      </c>
      <c r="F7" s="59">
        <v>33</v>
      </c>
      <c r="G7" s="38">
        <v>3</v>
      </c>
      <c r="H7" s="38">
        <v>0</v>
      </c>
      <c r="I7" s="10" t="s">
        <v>38</v>
      </c>
      <c r="J7" s="10">
        <v>2008</v>
      </c>
      <c r="K7" s="8">
        <f>1.5*10^9</f>
        <v>1500000000</v>
      </c>
      <c r="L7" s="8">
        <f>ROUND(K7/E7,-2)</f>
        <v>42100</v>
      </c>
      <c r="M7" s="8">
        <f>IF(F7&gt;0,ROUND(K7/PRODUCT(E7:F7),-1),0)</f>
        <v>1280</v>
      </c>
      <c r="N7" s="32" t="s">
        <v>76</v>
      </c>
      <c r="O7" s="9" t="s">
        <v>23</v>
      </c>
      <c r="P7" t="s">
        <v>21</v>
      </c>
      <c r="Q7" s="66" t="s">
        <v>36</v>
      </c>
      <c r="R7" s="69">
        <v>83.42</v>
      </c>
      <c r="T7" s="75">
        <v>50000</v>
      </c>
      <c r="U7" s="45">
        <f t="shared" si="0"/>
        <v>1858850000</v>
      </c>
      <c r="V7" s="42">
        <f t="shared" si="1"/>
        <v>39838.11394840257</v>
      </c>
    </row>
    <row r="8" spans="2:22" ht="15.6" customHeight="1" x14ac:dyDescent="0.4">
      <c r="B8" s="16" t="s">
        <v>15</v>
      </c>
      <c r="C8" s="16" t="s">
        <v>27</v>
      </c>
      <c r="D8" s="16" t="s">
        <v>16</v>
      </c>
      <c r="E8" s="17">
        <v>25000</v>
      </c>
      <c r="F8" s="58">
        <v>23</v>
      </c>
      <c r="G8" s="37">
        <v>2</v>
      </c>
      <c r="H8" s="37">
        <v>0</v>
      </c>
      <c r="I8" s="18" t="s">
        <v>38</v>
      </c>
      <c r="J8" s="18">
        <v>1986</v>
      </c>
      <c r="K8" s="19">
        <f>800*10^6</f>
        <v>800000000</v>
      </c>
      <c r="L8" s="19">
        <f>ROUND(K8/E8,-2)</f>
        <v>32000</v>
      </c>
      <c r="M8" s="19">
        <f>IF(F8&gt;0,ROUND(K8/PRODUCT(E8:F8),-1),0)</f>
        <v>1390</v>
      </c>
      <c r="N8" s="31" t="s">
        <v>70</v>
      </c>
      <c r="O8" s="4" t="s">
        <v>23</v>
      </c>
      <c r="P8" t="s">
        <v>21</v>
      </c>
      <c r="Q8" s="64" t="s">
        <v>5</v>
      </c>
      <c r="R8" s="70">
        <v>95.55</v>
      </c>
      <c r="T8" s="75">
        <v>40000</v>
      </c>
      <c r="U8" s="45">
        <f t="shared" si="0"/>
        <v>1607080000</v>
      </c>
      <c r="V8" s="42">
        <f t="shared" si="1"/>
        <v>43810.926239816486</v>
      </c>
    </row>
    <row r="9" spans="2:22" ht="15.6" customHeight="1" x14ac:dyDescent="0.4">
      <c r="B9" s="6" t="s">
        <v>35</v>
      </c>
      <c r="C9" s="6" t="s">
        <v>31</v>
      </c>
      <c r="D9" s="6" t="s">
        <v>16</v>
      </c>
      <c r="E9" s="7">
        <v>9760</v>
      </c>
      <c r="F9" s="59">
        <v>0</v>
      </c>
      <c r="G9" s="38">
        <v>3</v>
      </c>
      <c r="H9" s="38">
        <v>0</v>
      </c>
      <c r="I9" s="10" t="s">
        <v>38</v>
      </c>
      <c r="J9" s="10">
        <v>2021</v>
      </c>
      <c r="K9" s="8">
        <f>36*10^9/$R$7*$R$5</f>
        <v>483337329.17765528</v>
      </c>
      <c r="L9" s="8">
        <f t="shared" ref="L9" si="2">ROUND(K9/E9,-2)</f>
        <v>49500</v>
      </c>
      <c r="M9" s="8">
        <f t="shared" ref="M9" si="3">IF(F9&gt;0,ROUND(K9/PRODUCT(E9:F9),-1),0)</f>
        <v>0</v>
      </c>
      <c r="N9" s="32" t="s">
        <v>71</v>
      </c>
      <c r="O9" s="9" t="s">
        <v>34</v>
      </c>
      <c r="P9" t="s">
        <v>21</v>
      </c>
      <c r="Q9" s="71" t="s">
        <v>44</v>
      </c>
      <c r="R9" s="72">
        <v>7.47</v>
      </c>
      <c r="T9" s="75">
        <v>60000</v>
      </c>
      <c r="U9" s="45">
        <f t="shared" si="0"/>
        <v>2110620000</v>
      </c>
      <c r="V9" s="42">
        <f t="shared" si="1"/>
        <v>36861.037826610955</v>
      </c>
    </row>
    <row r="10" spans="2:22" ht="15.6" hidden="1" customHeight="1" x14ac:dyDescent="0.4">
      <c r="B10" s="16" t="s">
        <v>2</v>
      </c>
      <c r="C10" s="16" t="s">
        <v>31</v>
      </c>
      <c r="D10" s="16" t="s">
        <v>29</v>
      </c>
      <c r="E10" s="17">
        <v>18300</v>
      </c>
      <c r="F10" s="58">
        <v>26</v>
      </c>
      <c r="G10" s="37">
        <v>3</v>
      </c>
      <c r="H10" s="37">
        <v>0</v>
      </c>
      <c r="I10" s="18" t="s">
        <v>38</v>
      </c>
      <c r="J10" s="18">
        <v>2018</v>
      </c>
      <c r="K10" s="5">
        <f>(24-3.1)*10^9*0.0128193479</f>
        <v>267924371.10999998</v>
      </c>
      <c r="L10" s="47">
        <f t="shared" ref="L10:L20" si="4">ROUND(K10/E10,-2)</f>
        <v>14600</v>
      </c>
      <c r="M10" s="47">
        <f t="shared" ref="M10:M20" si="5">IF(F10&gt;0,ROUND(K10/PRODUCT(E10:F10),-1),0)</f>
        <v>560</v>
      </c>
      <c r="N10" s="31" t="s">
        <v>96</v>
      </c>
      <c r="O10" s="4" t="s">
        <v>37</v>
      </c>
      <c r="P10" t="s">
        <v>21</v>
      </c>
    </row>
    <row r="11" spans="2:22" ht="15.6" customHeight="1" x14ac:dyDescent="0.4">
      <c r="B11" s="16" t="s">
        <v>32</v>
      </c>
      <c r="C11" s="16" t="s">
        <v>31</v>
      </c>
      <c r="D11" s="16" t="s">
        <v>16</v>
      </c>
      <c r="E11" s="17">
        <v>4950</v>
      </c>
      <c r="F11" s="58">
        <v>0</v>
      </c>
      <c r="G11" s="37">
        <v>3</v>
      </c>
      <c r="H11" s="37">
        <v>2</v>
      </c>
      <c r="I11" s="18" t="s">
        <v>39</v>
      </c>
      <c r="J11" s="18">
        <v>2015</v>
      </c>
      <c r="K11" s="5">
        <f>5960*10*10^6/77</f>
        <v>774025974.02597404</v>
      </c>
      <c r="L11" s="22">
        <f t="shared" si="4"/>
        <v>156400</v>
      </c>
      <c r="M11" s="19">
        <f t="shared" si="5"/>
        <v>0</v>
      </c>
      <c r="N11" s="31" t="s">
        <v>72</v>
      </c>
      <c r="O11" s="4" t="s">
        <v>40</v>
      </c>
      <c r="P11" t="s">
        <v>21</v>
      </c>
    </row>
    <row r="12" spans="2:22" ht="15.6" customHeight="1" x14ac:dyDescent="0.4">
      <c r="B12" s="6" t="s">
        <v>30</v>
      </c>
      <c r="C12" s="6" t="s">
        <v>31</v>
      </c>
      <c r="D12" s="6" t="s">
        <v>16</v>
      </c>
      <c r="E12" s="7">
        <v>4550</v>
      </c>
      <c r="F12" s="59">
        <v>10</v>
      </c>
      <c r="G12" s="38" t="s">
        <v>59</v>
      </c>
      <c r="H12" s="38" t="s">
        <v>59</v>
      </c>
      <c r="I12" s="10" t="s">
        <v>39</v>
      </c>
      <c r="J12" s="10">
        <v>2003</v>
      </c>
      <c r="K12" s="11">
        <f>1500*10*10^6/77</f>
        <v>194805194.8051948</v>
      </c>
      <c r="L12" s="8">
        <f t="shared" si="4"/>
        <v>42800</v>
      </c>
      <c r="M12" s="8">
        <f t="shared" si="5"/>
        <v>4280</v>
      </c>
      <c r="N12" s="32" t="s">
        <v>77</v>
      </c>
      <c r="O12" s="9" t="s">
        <v>41</v>
      </c>
    </row>
    <row r="13" spans="2:22" ht="15.6" customHeight="1" x14ac:dyDescent="0.4">
      <c r="B13" s="16" t="s">
        <v>48</v>
      </c>
      <c r="C13" s="16" t="s">
        <v>19</v>
      </c>
      <c r="D13" s="16" t="s">
        <v>16</v>
      </c>
      <c r="E13" s="17">
        <v>26540</v>
      </c>
      <c r="F13" s="58">
        <v>24.5</v>
      </c>
      <c r="G13" s="37" t="s">
        <v>59</v>
      </c>
      <c r="H13" s="37">
        <v>0</v>
      </c>
      <c r="I13" s="18" t="s">
        <v>38</v>
      </c>
      <c r="J13" s="18">
        <v>2009</v>
      </c>
      <c r="K13" s="23">
        <f>1.8 *10^9</f>
        <v>1800000000</v>
      </c>
      <c r="L13" s="19">
        <f t="shared" si="4"/>
        <v>67800</v>
      </c>
      <c r="M13" s="19">
        <f t="shared" si="5"/>
        <v>2770</v>
      </c>
      <c r="N13" s="31" t="s">
        <v>74</v>
      </c>
      <c r="O13" s="4" t="s">
        <v>62</v>
      </c>
    </row>
    <row r="14" spans="2:22" ht="15.6" customHeight="1" x14ac:dyDescent="0.4">
      <c r="B14" s="6" t="s">
        <v>33</v>
      </c>
      <c r="C14" s="6" t="s">
        <v>19</v>
      </c>
      <c r="D14" s="6" t="s">
        <v>49</v>
      </c>
      <c r="E14" s="7">
        <v>35660</v>
      </c>
      <c r="F14" s="59">
        <v>39.200000000000003</v>
      </c>
      <c r="G14" s="38">
        <v>3</v>
      </c>
      <c r="H14" s="38">
        <v>0</v>
      </c>
      <c r="I14" s="10" t="s">
        <v>38</v>
      </c>
      <c r="J14" s="10">
        <v>2005</v>
      </c>
      <c r="K14" s="12">
        <f>902*10^6</f>
        <v>902000000</v>
      </c>
      <c r="L14" s="8">
        <f t="shared" si="4"/>
        <v>25300</v>
      </c>
      <c r="M14" s="8">
        <f t="shared" si="5"/>
        <v>650</v>
      </c>
      <c r="N14" s="32" t="s">
        <v>78</v>
      </c>
      <c r="O14" s="9" t="s">
        <v>61</v>
      </c>
      <c r="P14" t="s">
        <v>21</v>
      </c>
    </row>
    <row r="15" spans="2:22" ht="15.6" customHeight="1" x14ac:dyDescent="0.4">
      <c r="B15" s="16" t="s">
        <v>1</v>
      </c>
      <c r="C15" s="16" t="s">
        <v>18</v>
      </c>
      <c r="D15" s="16" t="s">
        <v>16</v>
      </c>
      <c r="E15" s="17">
        <v>4630</v>
      </c>
      <c r="F15" s="58">
        <v>18.8</v>
      </c>
      <c r="G15" s="37">
        <v>2</v>
      </c>
      <c r="H15" s="37">
        <v>2</v>
      </c>
      <c r="I15" s="18" t="s">
        <v>39</v>
      </c>
      <c r="J15" s="18">
        <v>1998</v>
      </c>
      <c r="K15" s="19">
        <f>696*10^6</f>
        <v>696000000</v>
      </c>
      <c r="L15" s="24">
        <f t="shared" si="4"/>
        <v>150300</v>
      </c>
      <c r="M15" s="21">
        <f t="shared" si="5"/>
        <v>8000</v>
      </c>
      <c r="N15" s="31" t="s">
        <v>79</v>
      </c>
      <c r="O15" s="4" t="s">
        <v>42</v>
      </c>
    </row>
    <row r="16" spans="2:22" ht="15.6" customHeight="1" x14ac:dyDescent="0.4">
      <c r="B16" s="6" t="s">
        <v>50</v>
      </c>
      <c r="C16" s="6" t="s">
        <v>51</v>
      </c>
      <c r="D16" s="6" t="s">
        <v>16</v>
      </c>
      <c r="E16" s="7">
        <v>24140</v>
      </c>
      <c r="F16" s="59">
        <v>0</v>
      </c>
      <c r="G16" s="38">
        <v>2</v>
      </c>
      <c r="H16" s="38">
        <v>0</v>
      </c>
      <c r="I16" s="10" t="s">
        <v>38</v>
      </c>
      <c r="J16" s="10">
        <v>2008</v>
      </c>
      <c r="K16" s="8">
        <f>1.2*10^9</f>
        <v>1200000000</v>
      </c>
      <c r="L16" s="8">
        <f t="shared" si="4"/>
        <v>49700</v>
      </c>
      <c r="M16" s="8">
        <f t="shared" si="5"/>
        <v>0</v>
      </c>
      <c r="N16" s="32" t="s">
        <v>80</v>
      </c>
      <c r="O16" s="9" t="s">
        <v>63</v>
      </c>
      <c r="P16" t="s">
        <v>21</v>
      </c>
    </row>
    <row r="17" spans="2:20" ht="15.6" customHeight="1" x14ac:dyDescent="0.4">
      <c r="B17" s="16" t="s">
        <v>52</v>
      </c>
      <c r="C17" s="16" t="s">
        <v>43</v>
      </c>
      <c r="D17" s="16" t="s">
        <v>16</v>
      </c>
      <c r="E17" s="17">
        <v>6760</v>
      </c>
      <c r="F17" s="58">
        <v>31</v>
      </c>
      <c r="G17" s="37" t="s">
        <v>59</v>
      </c>
      <c r="H17" s="37" t="s">
        <v>60</v>
      </c>
      <c r="I17" s="18" t="s">
        <v>38</v>
      </c>
      <c r="J17" s="18">
        <v>1998</v>
      </c>
      <c r="K17" s="19">
        <f>950*10^6</f>
        <v>950000000</v>
      </c>
      <c r="L17" s="19">
        <f t="shared" si="4"/>
        <v>140500</v>
      </c>
      <c r="M17" s="19">
        <f t="shared" si="5"/>
        <v>4530</v>
      </c>
      <c r="N17" s="31" t="s">
        <v>81</v>
      </c>
      <c r="O17" s="4" t="s">
        <v>45</v>
      </c>
    </row>
    <row r="18" spans="2:20" ht="15.6" customHeight="1" x14ac:dyDescent="0.4">
      <c r="B18" s="6" t="s">
        <v>53</v>
      </c>
      <c r="C18" s="6" t="s">
        <v>54</v>
      </c>
      <c r="D18" s="6" t="s">
        <v>16</v>
      </c>
      <c r="E18" s="7">
        <v>12900</v>
      </c>
      <c r="F18" s="59">
        <v>11</v>
      </c>
      <c r="G18" s="38">
        <v>2</v>
      </c>
      <c r="H18" s="38">
        <v>0</v>
      </c>
      <c r="I18" s="10" t="s">
        <v>38</v>
      </c>
      <c r="J18" s="10">
        <v>1997</v>
      </c>
      <c r="K18" s="8">
        <f>1 * 10^9</f>
        <v>1000000000</v>
      </c>
      <c r="L18" s="8">
        <f t="shared" si="4"/>
        <v>77500</v>
      </c>
      <c r="M18" s="8">
        <f t="shared" si="5"/>
        <v>7050</v>
      </c>
      <c r="N18" s="32" t="s">
        <v>82</v>
      </c>
      <c r="O18" s="9" t="s">
        <v>58</v>
      </c>
    </row>
    <row r="19" spans="2:20" ht="15.6" customHeight="1" thickBot="1" x14ac:dyDescent="0.45">
      <c r="B19" s="25" t="s">
        <v>55</v>
      </c>
      <c r="C19" s="25" t="s">
        <v>56</v>
      </c>
      <c r="D19" s="25" t="s">
        <v>16</v>
      </c>
      <c r="E19" s="26">
        <v>12345</v>
      </c>
      <c r="F19" s="60">
        <v>30</v>
      </c>
      <c r="G19" s="39">
        <v>4</v>
      </c>
      <c r="H19" s="39">
        <v>0</v>
      </c>
      <c r="I19" s="28" t="s">
        <v>38</v>
      </c>
      <c r="J19" s="28">
        <v>1998</v>
      </c>
      <c r="K19" s="29">
        <f>1285 * 10^6</f>
        <v>1285000000</v>
      </c>
      <c r="L19" s="29">
        <f t="shared" si="4"/>
        <v>104100</v>
      </c>
      <c r="M19" s="29">
        <f t="shared" si="5"/>
        <v>3470</v>
      </c>
      <c r="N19" s="33" t="s">
        <v>83</v>
      </c>
      <c r="O19" s="30" t="s">
        <v>57</v>
      </c>
      <c r="P19" t="s">
        <v>21</v>
      </c>
    </row>
    <row r="20" spans="2:20" ht="15.6" hidden="1" customHeight="1" thickTop="1" thickBot="1" x14ac:dyDescent="0.45">
      <c r="B20" s="25" t="s">
        <v>0</v>
      </c>
      <c r="C20" s="25" t="s">
        <v>46</v>
      </c>
      <c r="D20" s="25" t="s">
        <v>29</v>
      </c>
      <c r="E20" s="26">
        <v>54000</v>
      </c>
      <c r="F20" s="27">
        <v>27.2</v>
      </c>
      <c r="G20" s="39">
        <v>3</v>
      </c>
      <c r="H20" s="39">
        <v>0</v>
      </c>
      <c r="I20" s="28" t="s">
        <v>38</v>
      </c>
      <c r="J20" s="28">
        <v>1995</v>
      </c>
      <c r="K20" s="29">
        <f>1*10^9</f>
        <v>1000000000</v>
      </c>
      <c r="L20" s="46">
        <f t="shared" si="4"/>
        <v>18500</v>
      </c>
      <c r="M20" s="46">
        <f t="shared" si="5"/>
        <v>680</v>
      </c>
      <c r="N20" s="33" t="s">
        <v>84</v>
      </c>
      <c r="O20" s="30" t="s">
        <v>47</v>
      </c>
    </row>
    <row r="21" spans="2:20" ht="15.6" customHeight="1" thickTop="1" x14ac:dyDescent="0.4">
      <c r="B21" s="48" t="s">
        <v>66</v>
      </c>
      <c r="C21" s="49"/>
      <c r="D21" s="48"/>
      <c r="E21" s="50">
        <f>AVERAGE(E4:E20)</f>
        <v>20899.117647058825</v>
      </c>
      <c r="F21" s="51">
        <f>AVERAGE(F4:F8,F10,F12:F14,F15,F17:F20)</f>
        <v>25.592857142857145</v>
      </c>
      <c r="G21" s="52">
        <f>AVERAGE(G4:G20)</f>
        <v>2.7142857142857144</v>
      </c>
      <c r="H21" s="53"/>
      <c r="I21" s="54"/>
      <c r="J21" s="55"/>
      <c r="K21" s="48"/>
      <c r="L21" s="56">
        <f>AVERAGE(L4:L20)</f>
        <v>76447.058823529413</v>
      </c>
      <c r="M21" s="56">
        <f>AVERAGE(M4:M20)</f>
        <v>2962.3529411764707</v>
      </c>
      <c r="N21" s="56"/>
      <c r="O21" s="13"/>
    </row>
    <row r="22" spans="2:20" x14ac:dyDescent="0.25">
      <c r="G22"/>
      <c r="H22"/>
    </row>
    <row r="23" spans="2:20" x14ac:dyDescent="0.25">
      <c r="G23"/>
      <c r="H23"/>
      <c r="T23" s="76"/>
    </row>
    <row r="24" spans="2:20" x14ac:dyDescent="0.25">
      <c r="G24"/>
      <c r="H24"/>
    </row>
    <row r="25" spans="2:20" x14ac:dyDescent="0.25">
      <c r="G25"/>
      <c r="H25"/>
    </row>
    <row r="26" spans="2:20" x14ac:dyDescent="0.25">
      <c r="G26"/>
      <c r="H26"/>
    </row>
    <row r="27" spans="2:20" x14ac:dyDescent="0.25">
      <c r="G27"/>
      <c r="H27"/>
    </row>
    <row r="28" spans="2:20" x14ac:dyDescent="0.25">
      <c r="G28"/>
      <c r="H28"/>
    </row>
    <row r="29" spans="2:20" x14ac:dyDescent="0.25">
      <c r="G29"/>
      <c r="H29"/>
    </row>
    <row r="30" spans="2:20" x14ac:dyDescent="0.25">
      <c r="G30"/>
      <c r="H30"/>
      <c r="Q30" s="57"/>
    </row>
    <row r="31" spans="2:20" x14ac:dyDescent="0.25">
      <c r="G31"/>
      <c r="H31"/>
    </row>
    <row r="32" spans="2:20" x14ac:dyDescent="0.25">
      <c r="G32"/>
      <c r="H32"/>
    </row>
  </sheetData>
  <phoneticPr fontId="5" type="noConversion"/>
  <pageMargins left="0.7" right="0.7" top="0.75" bottom="0.75" header="0.3" footer="0.3"/>
  <pageSetup paperSize="9" orientation="portrait" r:id="rId1"/>
  <ignoredErrors>
    <ignoredError sqref="G17:H17 G12:H12 G13" numberStoredAsText="1"/>
    <ignoredError sqref="M4:M8 M14 M18:M20 M9:M11 M15:M16" formulaRange="1"/>
    <ignoredError sqref="F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74F0-2F62-49C9-BD83-F9C7ED6C38FC}">
  <dimension ref="B1:O8"/>
  <sheetViews>
    <sheetView showGridLines="0" topLeftCell="C1" zoomScale="145" zoomScaleNormal="145" workbookViewId="0">
      <selection activeCell="H21" sqref="H21"/>
    </sheetView>
  </sheetViews>
  <sheetFormatPr defaultRowHeight="13.2" x14ac:dyDescent="0.25"/>
  <cols>
    <col min="1" max="1" width="3.77734375" customWidth="1"/>
    <col min="2" max="2" width="10.44140625" bestFit="1" customWidth="1"/>
    <col min="3" max="3" width="15.5546875" bestFit="1" customWidth="1"/>
    <col min="4" max="4" width="11.33203125" bestFit="1" customWidth="1"/>
    <col min="5" max="5" width="3.109375" customWidth="1"/>
    <col min="13" max="13" width="6.6640625" customWidth="1"/>
    <col min="14" max="14" width="14.77734375" customWidth="1"/>
    <col min="15" max="15" width="12" customWidth="1"/>
  </cols>
  <sheetData>
    <row r="1" spans="2:15" x14ac:dyDescent="0.25">
      <c r="C1" s="45"/>
      <c r="D1" s="43"/>
      <c r="E1" s="44"/>
    </row>
    <row r="2" spans="2:15" ht="17.399999999999999" x14ac:dyDescent="0.4">
      <c r="B2" s="75">
        <v>10000</v>
      </c>
      <c r="C2" s="45">
        <f>25177*B2 + 600000000</f>
        <v>851770000</v>
      </c>
      <c r="D2" s="43">
        <f>ROUND(4*10^6*(B2^(-0.426)),-3)</f>
        <v>79000</v>
      </c>
      <c r="E2" s="44"/>
      <c r="N2" s="80" t="s">
        <v>91</v>
      </c>
      <c r="O2" s="80"/>
    </row>
    <row r="3" spans="2:15" ht="17.399999999999999" x14ac:dyDescent="0.4">
      <c r="B3" s="75">
        <v>20000</v>
      </c>
      <c r="C3" s="45">
        <f t="shared" ref="C3:C7" si="0">25177*B3 + 600000000</f>
        <v>1103540000</v>
      </c>
      <c r="D3" s="43">
        <f t="shared" ref="D3:D7" si="1">ROUND(4*10^6*(B3^(-0.426)),-3)</f>
        <v>59000</v>
      </c>
      <c r="E3" s="44"/>
      <c r="N3" s="34" t="s">
        <v>90</v>
      </c>
      <c r="O3" s="34" t="s">
        <v>95</v>
      </c>
    </row>
    <row r="4" spans="2:15" x14ac:dyDescent="0.25">
      <c r="B4" s="75">
        <v>30000</v>
      </c>
      <c r="C4" s="45">
        <f t="shared" si="0"/>
        <v>1355310000</v>
      </c>
      <c r="D4" s="43">
        <f t="shared" si="1"/>
        <v>50000</v>
      </c>
      <c r="E4" s="44"/>
      <c r="N4" s="77" t="s">
        <v>92</v>
      </c>
      <c r="O4" s="43">
        <v>59000</v>
      </c>
    </row>
    <row r="5" spans="2:15" x14ac:dyDescent="0.25">
      <c r="B5" s="75">
        <v>40000</v>
      </c>
      <c r="C5" s="45">
        <f t="shared" si="0"/>
        <v>1607080000</v>
      </c>
      <c r="D5" s="43">
        <f t="shared" si="1"/>
        <v>44000</v>
      </c>
      <c r="E5" s="44"/>
      <c r="N5" s="77" t="s">
        <v>93</v>
      </c>
      <c r="O5" s="43">
        <v>44000</v>
      </c>
    </row>
    <row r="6" spans="2:15" x14ac:dyDescent="0.25">
      <c r="B6" s="75">
        <v>50000</v>
      </c>
      <c r="C6" s="45">
        <f t="shared" si="0"/>
        <v>1858850000</v>
      </c>
      <c r="D6" s="43">
        <f t="shared" si="1"/>
        <v>40000</v>
      </c>
      <c r="E6" s="44"/>
      <c r="N6" s="78" t="s">
        <v>94</v>
      </c>
      <c r="O6" s="79">
        <v>37000</v>
      </c>
    </row>
    <row r="7" spans="2:15" x14ac:dyDescent="0.25">
      <c r="B7" s="75">
        <v>60000</v>
      </c>
      <c r="C7" s="45">
        <f t="shared" si="0"/>
        <v>2110620000</v>
      </c>
      <c r="D7" s="43">
        <f t="shared" si="1"/>
        <v>37000</v>
      </c>
      <c r="E7" s="44"/>
    </row>
    <row r="8" spans="2:15" x14ac:dyDescent="0.25">
      <c r="D8" s="43"/>
    </row>
  </sheetData>
  <mergeCells count="1"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Bridge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Stam</dc:creator>
  <cp:lastModifiedBy>Hugo Stam</cp:lastModifiedBy>
  <dcterms:created xsi:type="dcterms:W3CDTF">2020-03-11T23:28:01Z</dcterms:created>
  <dcterms:modified xsi:type="dcterms:W3CDTF">2020-05-06T21:11:47Z</dcterms:modified>
</cp:coreProperties>
</file>