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7\Dropbox\Thesis_ELnaz\"/>
    </mc:Choice>
  </mc:AlternateContent>
  <xr:revisionPtr revIDLastSave="0" documentId="13_ncr:1_{C91730F8-3FFD-414A-8A8D-616D7B0CEBFC}" xr6:coauthVersionLast="47" xr6:coauthVersionMax="47" xr10:uidLastSave="{00000000-0000-0000-0000-000000000000}"/>
  <bookViews>
    <workbookView xWindow="28680" yWindow="-120" windowWidth="29040" windowHeight="15720" activeTab="1" xr2:uid="{B9FB9CE6-A5C1-480C-A98D-4CFEE39DA034}"/>
  </bookViews>
  <sheets>
    <sheet name="DWSIM_Simulationen" sheetId="1" r:id="rId1"/>
    <sheet name="Vergleich_DWSIM_EnzymeML_MM" sheetId="2" r:id="rId2"/>
  </sheets>
  <definedNames>
    <definedName name="solver_adj" localSheetId="1" hidden="1">Vergleich_DWSIM_EnzymeML_MM!$C$52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0" localSheetId="1" hidden="1">Vergleich_DWSIM_EnzymeML_MM!$C$52</definedName>
    <definedName name="solver_lhs1" localSheetId="1" hidden="1">Vergleich_DWSIM_EnzymeML_MM!$C$52</definedName>
    <definedName name="solver_lhs2" localSheetId="1" hidden="1">Vergleich_DWSIM_EnzymeML_MM!$C$52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Vergleich_DWSIM_EnzymeML_MM!$H$63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2</definedName>
    <definedName name="solver_rel0" localSheetId="1" hidden="1">1</definedName>
    <definedName name="solver_rel1" localSheetId="1" hidden="1">1</definedName>
    <definedName name="solver_rel2" localSheetId="1" hidden="1">3</definedName>
    <definedName name="solver_rhs0" localSheetId="1" hidden="1">0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2" l="1"/>
  <c r="F88" i="2"/>
  <c r="S20" i="2"/>
  <c r="S21" i="2"/>
  <c r="T19" i="2"/>
  <c r="P6" i="2"/>
  <c r="Q62" i="2"/>
  <c r="R62" i="2" s="1"/>
  <c r="F67" i="2"/>
  <c r="E67" i="2"/>
  <c r="D67" i="2"/>
  <c r="C67" i="2"/>
  <c r="B57" i="2"/>
  <c r="B25" i="2" l="1"/>
  <c r="B62" i="2"/>
  <c r="R4" i="2"/>
  <c r="S4" i="2" s="1"/>
  <c r="B58" i="2"/>
  <c r="B21" i="2"/>
  <c r="L46" i="1" l="1"/>
  <c r="L45" i="1"/>
  <c r="L44" i="1"/>
  <c r="L43" i="1"/>
  <c r="L42" i="1"/>
  <c r="Q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14" i="2"/>
  <c r="B13" i="2"/>
  <c r="B12" i="2"/>
  <c r="B20" i="2" s="1"/>
  <c r="B22" i="2" s="1"/>
  <c r="C19" i="2" s="1"/>
  <c r="C23" i="2" s="1"/>
  <c r="C25" i="2" s="1"/>
  <c r="C8" i="2"/>
  <c r="L9" i="1"/>
  <c r="L10" i="1"/>
  <c r="L11" i="1"/>
  <c r="L12" i="1"/>
  <c r="L8" i="1"/>
  <c r="F8" i="2" l="1"/>
  <c r="F9" i="2" s="1"/>
  <c r="B59" i="2"/>
  <c r="C56" i="2" s="1"/>
  <c r="C60" i="2" s="1"/>
  <c r="C62" i="2" s="1"/>
  <c r="C20" i="2"/>
  <c r="C22" i="2" s="1"/>
  <c r="D19" i="2" s="1"/>
  <c r="C57" i="2" l="1"/>
  <c r="C59" i="2" s="1"/>
  <c r="D56" i="2" s="1"/>
  <c r="D20" i="2"/>
  <c r="D22" i="2" s="1"/>
  <c r="D23" i="2"/>
  <c r="D25" i="2" s="1"/>
  <c r="D60" i="2" l="1"/>
  <c r="D62" i="2" s="1"/>
  <c r="D63" i="2" s="1"/>
  <c r="D57" i="2"/>
  <c r="D59" i="2" s="1"/>
  <c r="E19" i="2"/>
  <c r="E56" i="2" l="1"/>
  <c r="E57" i="2" s="1"/>
  <c r="E20" i="2"/>
  <c r="E22" i="2" s="1"/>
  <c r="F19" i="2" s="1"/>
  <c r="F20" i="2" s="1"/>
  <c r="F22" i="2" s="1"/>
  <c r="E59" i="2"/>
  <c r="F56" i="2" s="1"/>
  <c r="E23" i="2"/>
  <c r="E25" i="2" s="1"/>
  <c r="F57" i="2" l="1"/>
  <c r="F59" i="2" s="1"/>
  <c r="G56" i="2" s="1"/>
  <c r="E60" i="2"/>
  <c r="E62" i="2" s="1"/>
  <c r="F23" i="2"/>
  <c r="F25" i="2" s="1"/>
  <c r="F60" i="2"/>
  <c r="F62" i="2" s="1"/>
  <c r="G19" i="2"/>
  <c r="G20" i="2" s="1"/>
  <c r="G57" i="2" l="1"/>
  <c r="G59" i="2" s="1"/>
  <c r="H56" i="2" s="1"/>
  <c r="H57" i="2" s="1"/>
  <c r="G60" i="2"/>
  <c r="G62" i="2" s="1"/>
  <c r="H59" i="2"/>
  <c r="I56" i="2" s="1"/>
  <c r="I57" i="2" s="1"/>
  <c r="H60" i="2"/>
  <c r="H62" i="2" s="1"/>
  <c r="H63" i="2" s="1"/>
  <c r="G22" i="2"/>
  <c r="H19" i="2" s="1"/>
  <c r="H20" i="2" s="1"/>
  <c r="G23" i="2"/>
  <c r="G25" i="2" s="1"/>
  <c r="I59" i="2" l="1"/>
  <c r="J56" i="2" s="1"/>
  <c r="J57" i="2" s="1"/>
  <c r="I60" i="2"/>
  <c r="I62" i="2" s="1"/>
  <c r="H23" i="2"/>
  <c r="H25" i="2" s="1"/>
  <c r="H22" i="2"/>
  <c r="I19" i="2" s="1"/>
  <c r="I20" i="2" s="1"/>
  <c r="J59" i="2" l="1"/>
  <c r="K56" i="2" s="1"/>
  <c r="K57" i="2" s="1"/>
  <c r="J60" i="2"/>
  <c r="J62" i="2" s="1"/>
  <c r="I23" i="2"/>
  <c r="I25" i="2" s="1"/>
  <c r="I22" i="2"/>
  <c r="J19" i="2" s="1"/>
  <c r="J20" i="2" s="1"/>
  <c r="K59" i="2" l="1"/>
  <c r="L56" i="2" s="1"/>
  <c r="L57" i="2" s="1"/>
  <c r="K60" i="2"/>
  <c r="K62" i="2" s="1"/>
  <c r="J23" i="2"/>
  <c r="J25" i="2" s="1"/>
  <c r="J22" i="2"/>
  <c r="K19" i="2" s="1"/>
  <c r="K20" i="2" s="1"/>
  <c r="L59" i="2" l="1"/>
  <c r="M56" i="2" s="1"/>
  <c r="M57" i="2" s="1"/>
  <c r="L60" i="2"/>
  <c r="L62" i="2" s="1"/>
  <c r="L63" i="2" s="1"/>
  <c r="K23" i="2"/>
  <c r="K25" i="2" s="1"/>
  <c r="K22" i="2"/>
  <c r="L19" i="2" s="1"/>
  <c r="L20" i="2" s="1"/>
  <c r="M59" i="2" l="1"/>
  <c r="M60" i="2"/>
  <c r="M62" i="2" s="1"/>
  <c r="L23" i="2"/>
  <c r="L25" i="2" s="1"/>
  <c r="L22" i="2"/>
  <c r="M19" i="2" s="1"/>
  <c r="M20" i="2" s="1"/>
  <c r="N56" i="2" l="1"/>
  <c r="N57" i="2" s="1"/>
  <c r="M23" i="2"/>
  <c r="M25" i="2" s="1"/>
  <c r="M22" i="2"/>
  <c r="N19" i="2" s="1"/>
  <c r="N20" i="2" s="1"/>
  <c r="N60" i="2" l="1"/>
  <c r="N62" i="2" s="1"/>
  <c r="N59" i="2"/>
  <c r="O56" i="2" s="1"/>
  <c r="O57" i="2" s="1"/>
  <c r="N23" i="2"/>
  <c r="N25" i="2" s="1"/>
  <c r="N22" i="2"/>
  <c r="O19" i="2" s="1"/>
  <c r="O20" i="2" s="1"/>
  <c r="O60" i="2" l="1"/>
  <c r="O62" i="2" s="1"/>
  <c r="O59" i="2"/>
  <c r="P56" i="2" s="1"/>
  <c r="P57" i="2" s="1"/>
  <c r="O23" i="2"/>
  <c r="O25" i="2" s="1"/>
  <c r="O22" i="2"/>
  <c r="P19" i="2" s="1"/>
  <c r="P20" i="2" s="1"/>
  <c r="P60" i="2" l="1"/>
  <c r="P62" i="2" s="1"/>
  <c r="P59" i="2"/>
  <c r="P23" i="2"/>
  <c r="P22" i="2"/>
  <c r="Q19" i="2" s="1"/>
  <c r="Q20" i="2" s="1"/>
  <c r="P25" i="2" l="1"/>
  <c r="Q56" i="2"/>
  <c r="Q22" i="2"/>
  <c r="Q23" i="2"/>
  <c r="Q25" i="2" s="1"/>
  <c r="R25" i="2" s="1"/>
  <c r="Q60" i="2" l="1"/>
  <c r="Q63" i="2" s="1"/>
  <c r="Q57" i="2"/>
  <c r="Q59" i="2"/>
</calcChain>
</file>

<file path=xl/sharedStrings.xml><?xml version="1.0" encoding="utf-8"?>
<sst xmlns="http://schemas.openxmlformats.org/spreadsheetml/2006/main" count="155" uniqueCount="79">
  <si>
    <t>Km</t>
  </si>
  <si>
    <t>kcat</t>
  </si>
  <si>
    <t>mmol/l</t>
  </si>
  <si>
    <t>1/s</t>
  </si>
  <si>
    <t>Property</t>
  </si>
  <si>
    <t>Value</t>
  </si>
  <si>
    <t>Unit</t>
  </si>
  <si>
    <t>Temperature Difference</t>
  </si>
  <si>
    <t>K</t>
  </si>
  <si>
    <t>Heat Load</t>
  </si>
  <si>
    <t>kW</t>
  </si>
  <si>
    <t>Liquid residence time</t>
  </si>
  <si>
    <t>s</t>
  </si>
  <si>
    <t>Pressure drop</t>
  </si>
  <si>
    <t>Pa</t>
  </si>
  <si>
    <t>Reaction Coordinate</t>
  </si>
  <si>
    <t>Reaction Rate</t>
  </si>
  <si>
    <t>Reaction Heat</t>
  </si>
  <si>
    <t>mol/s</t>
  </si>
  <si>
    <t>mol/[m3*s]</t>
  </si>
  <si>
    <t>Conversions</t>
  </si>
  <si>
    <t>Compound</t>
  </si>
  <si>
    <t>Water</t>
  </si>
  <si>
    <t>ABTS_red</t>
  </si>
  <si>
    <t>Oxygen</t>
  </si>
  <si>
    <t>Mole Frac</t>
  </si>
  <si>
    <t>mol/l</t>
  </si>
  <si>
    <t>Concentration [mol/l]</t>
  </si>
  <si>
    <t>Conversion [%]</t>
  </si>
  <si>
    <t>Concentration [mmol/l]</t>
  </si>
  <si>
    <t>Productstream</t>
  </si>
  <si>
    <t>Laccase</t>
  </si>
  <si>
    <t>ABTS_ox</t>
  </si>
  <si>
    <t>Reproduktion des Graphen für die Verschriftlichung</t>
  </si>
  <si>
    <t>c_ABTS_ox [mmol/l]</t>
  </si>
  <si>
    <t>c_ABTS_red [mmol/l]</t>
  </si>
  <si>
    <t>c_Laccase [mmol/l]</t>
  </si>
  <si>
    <t>Zeit [s]</t>
  </si>
  <si>
    <t>ABTS_ox [mmol/l]</t>
  </si>
  <si>
    <t>Messwerte im Labor (Erste Messung aus dem EnzymeML Template vom 18.8.2021)</t>
  </si>
  <si>
    <t>DWSIM Simulation mit kinetischen Parametern aus EnzymeML Template vom 18.8.2021</t>
  </si>
  <si>
    <t>Reactor</t>
  </si>
  <si>
    <t>GESAMTSTROM</t>
  </si>
  <si>
    <t>in der Flüssigphase</t>
  </si>
  <si>
    <t>Parameter aus EnzymeML Template 18.8.2021</t>
  </si>
  <si>
    <t>Reaktionsrate nach MM</t>
  </si>
  <si>
    <t>r [mol/s*l]</t>
  </si>
  <si>
    <t>r = (c_Lacc * kcat*c_ABTS_red)/(Km+c_ABTS_red)</t>
  </si>
  <si>
    <t>ABTS_red [mol/l]</t>
  </si>
  <si>
    <t>r = (delta_c/delta_t)</t>
  </si>
  <si>
    <t>delta_t [s]</t>
  </si>
  <si>
    <t>delta_c [mol/l]</t>
  </si>
  <si>
    <t>Bestimmung Konzentration von  ABTS ox über MM (händisch)</t>
  </si>
  <si>
    <t>Anpassung der kinetischen Parameter über Solver</t>
  </si>
  <si>
    <t>Standardabweichung</t>
  </si>
  <si>
    <t>Conversion</t>
  </si>
  <si>
    <t>Conversion %</t>
  </si>
  <si>
    <t>?</t>
  </si>
  <si>
    <t>absolute Abweichung</t>
  </si>
  <si>
    <t>relative Abweichung</t>
  </si>
  <si>
    <t>BEACHTE:</t>
  </si>
  <si>
    <t>kcat nimmt mit zunehmender Zeit einen geringeren Wert an, daher ein kcat nach je 4 Zeitschritten bestimmen</t>
  </si>
  <si>
    <t>nach 2.92 s</t>
  </si>
  <si>
    <t>nach 21.9 s</t>
  </si>
  <si>
    <t>nach 40.88 s</t>
  </si>
  <si>
    <t>nach 61.32 s</t>
  </si>
  <si>
    <t>Km [mol/l]</t>
  </si>
  <si>
    <t>kcat [1/s]</t>
  </si>
  <si>
    <t>Zeit</t>
  </si>
  <si>
    <t>bleibt konstant</t>
  </si>
  <si>
    <t>Bestimmung Konzentration von  ABTS ox mit angepasstem kcat</t>
  </si>
  <si>
    <t>Auftragung Substratkonzentration über kcat</t>
  </si>
  <si>
    <t>ABTS_red [mol/m^3]</t>
  </si>
  <si>
    <t>Gleichung für kcat in den Script Manager integrieren</t>
  </si>
  <si>
    <r>
      <t>y = 3.6765*(c_Subtrate)**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- 4.1412*(c_Substrate) + 1.7947</t>
    </r>
  </si>
  <si>
    <t>y = 3.6765*(c_Subtrate)**2 - 4.1412*(c_Substrate) + 1.7947</t>
  </si>
  <si>
    <t>DWSIM Simulation mit angepasster katalytischer Aktivität</t>
  </si>
  <si>
    <t>absolute Abweichung zum Laborwert</t>
  </si>
  <si>
    <t>bei 59.35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</si>
</sst>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0.00000"/>
    <numFmt numFmtId="167" formatCode="0.000000000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 vertical="center" wrapText="1"/>
    </xf>
    <xf numFmtId="0" fontId="0" fillId="0" borderId="7" xfId="0" applyBorder="1"/>
    <xf numFmtId="164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3" fontId="0" fillId="0" borderId="0" xfId="0" applyNumberFormat="1" applyAlignment="1">
      <alignment vertical="center" wrapText="1"/>
    </xf>
    <xf numFmtId="167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165" fontId="1" fillId="5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167" fontId="1" fillId="5" borderId="7" xfId="0" applyNumberFormat="1" applyFont="1" applyFill="1" applyBorder="1" applyAlignment="1">
      <alignment horizontal="center" vertical="center"/>
    </xf>
    <xf numFmtId="166" fontId="1" fillId="5" borderId="7" xfId="0" applyNumberFormat="1" applyFont="1" applyFill="1" applyBorder="1" applyAlignment="1">
      <alignment horizontal="center"/>
    </xf>
    <xf numFmtId="4" fontId="1" fillId="5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 wrapText="1"/>
    </xf>
    <xf numFmtId="0" fontId="1" fillId="0" borderId="7" xfId="0" applyFont="1" applyBorder="1"/>
    <xf numFmtId="0" fontId="1" fillId="4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1" fillId="5" borderId="10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/>
    <xf numFmtId="0" fontId="3" fillId="0" borderId="7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8" borderId="0" xfId="0" applyFont="1" applyFill="1" applyAlignment="1">
      <alignment horizontal="left"/>
    </xf>
    <xf numFmtId="0" fontId="0" fillId="8" borderId="0" xfId="0" applyFill="1"/>
    <xf numFmtId="0" fontId="1" fillId="0" borderId="0" xfId="0" applyFont="1"/>
    <xf numFmtId="11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/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0" fillId="2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Konzentrationsprofile im Reaktor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ABTS oxidiert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DWSIM_Simulationen!$J$17:$K$17</c:f>
              <c:numCache>
                <c:formatCode>0.000</c:formatCode>
                <c:ptCount val="2"/>
                <c:pt idx="0">
                  <c:v>0</c:v>
                </c:pt>
                <c:pt idx="1">
                  <c:v>0.52987637949999999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3-4DAB-B1F6-C1C43D4CEFF3}"/>
            </c:ext>
          </c:extLst>
        </c:ser>
        <c:ser>
          <c:idx val="1"/>
          <c:order val="1"/>
          <c:tx>
            <c:v>ABTS reduziert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DWSIM_Simulationen!$J$18:$K$18</c:f>
              <c:numCache>
                <c:formatCode>0.000</c:formatCode>
                <c:ptCount val="2"/>
                <c:pt idx="0">
                  <c:v>0.59448410395491003</c:v>
                </c:pt>
                <c:pt idx="1">
                  <c:v>6.7517007800000001E-2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83-4DAB-B1F6-C1C43D4CEFF3}"/>
            </c:ext>
          </c:extLst>
        </c:ser>
        <c:ser>
          <c:idx val="2"/>
          <c:order val="2"/>
          <c:tx>
            <c:v>Laccase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DWSIM_Simulationen!$J$19:$K$19</c:f>
              <c:numCache>
                <c:formatCode>0.000</c:formatCode>
                <c:ptCount val="2"/>
                <c:pt idx="0">
                  <c:v>7.1092944390483996E-3</c:v>
                </c:pt>
                <c:pt idx="1">
                  <c:v>7.1351823399999998E-3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83-4DAB-B1F6-C1C43D4C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2175"/>
        <c:axId val="150685759"/>
      </c:scatterChart>
      <c:valAx>
        <c:axId val="8563217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0685759"/>
        <c:crosses val="autoZero"/>
        <c:crossBetween val="midCat"/>
        <c:majorUnit val="10"/>
        <c:minorUnit val="1"/>
      </c:valAx>
      <c:valAx>
        <c:axId val="1506857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5632175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Konzentrationsprofil im Reaktor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ABTS oxidiert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DWSIM_Simulationen!$J$51:$K$51</c:f>
              <c:numCache>
                <c:formatCode>0.000</c:formatCode>
                <c:ptCount val="2"/>
                <c:pt idx="0">
                  <c:v>0</c:v>
                </c:pt>
                <c:pt idx="1">
                  <c:v>0.20030000000000001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8-4699-8063-74426E67297D}"/>
            </c:ext>
          </c:extLst>
        </c:ser>
        <c:ser>
          <c:idx val="1"/>
          <c:order val="1"/>
          <c:tx>
            <c:v>ABTS reduziert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DWSIM_Simulationen!$J$52:$K$52</c:f>
              <c:numCache>
                <c:formatCode>0.000</c:formatCode>
                <c:ptCount val="2"/>
                <c:pt idx="0">
                  <c:v>0.59448410395491003</c:v>
                </c:pt>
                <c:pt idx="1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8-4699-8063-74426E67297D}"/>
            </c:ext>
          </c:extLst>
        </c:ser>
        <c:ser>
          <c:idx val="2"/>
          <c:order val="2"/>
          <c:tx>
            <c:v>Laccase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DWSIM_Simulationen!$J$19:$K$19</c:f>
              <c:numCache>
                <c:formatCode>0.000</c:formatCode>
                <c:ptCount val="2"/>
                <c:pt idx="0">
                  <c:v>7.1092944390483996E-3</c:v>
                </c:pt>
                <c:pt idx="1">
                  <c:v>7.1351823399999998E-3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8-4699-8063-74426E67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2175"/>
        <c:axId val="150685759"/>
      </c:scatterChart>
      <c:valAx>
        <c:axId val="8563217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85759"/>
        <c:crosses val="autoZero"/>
        <c:crossBetween val="midCat"/>
      </c:valAx>
      <c:valAx>
        <c:axId val="1506857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63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Konzentrationsprofil im Reaktor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ABTS oxidiert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DWSIM_Simulationen!$J$50:$K$50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DWSIM_Simulationen!$J$51:$K$51</c:f>
              <c:numCache>
                <c:formatCode>0.000</c:formatCode>
                <c:ptCount val="2"/>
                <c:pt idx="0">
                  <c:v>0</c:v>
                </c:pt>
                <c:pt idx="1">
                  <c:v>0.20030000000000001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1-48B2-818D-ECDAADDF0D37}"/>
            </c:ext>
          </c:extLst>
        </c:ser>
        <c:ser>
          <c:idx val="1"/>
          <c:order val="1"/>
          <c:tx>
            <c:v>ABTS reduziert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DWSIM_Simulationen!$J$50:$K$50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DWSIM_Simulationen!$J$52:$K$52</c:f>
              <c:numCache>
                <c:formatCode>0.000</c:formatCode>
                <c:ptCount val="2"/>
                <c:pt idx="0">
                  <c:v>0.59448410395491003</c:v>
                </c:pt>
                <c:pt idx="1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1-48B2-818D-ECDAADDF0D37}"/>
            </c:ext>
          </c:extLst>
        </c:ser>
        <c:ser>
          <c:idx val="2"/>
          <c:order val="2"/>
          <c:tx>
            <c:v>Laccase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DWSIM_Simulationen!$J$19:$K$19</c:f>
              <c:numCache>
                <c:formatCode>0.000</c:formatCode>
                <c:ptCount val="2"/>
                <c:pt idx="0">
                  <c:v>7.1092944390483996E-3</c:v>
                </c:pt>
                <c:pt idx="1">
                  <c:v>7.1351823399999998E-3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1-48B2-818D-ECDAADDF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2175"/>
        <c:axId val="150685759"/>
      </c:scatterChart>
      <c:valAx>
        <c:axId val="8563217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85759"/>
        <c:crosses val="autoZero"/>
        <c:crossBetween val="midCat"/>
        <c:minorUnit val="5"/>
      </c:valAx>
      <c:valAx>
        <c:axId val="1506857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</a:rPr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632175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KM = 0,2 mmol/l und kcat = 1,67 1/s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Messwerte Template 18.8.2021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Vergleich_DWSIM_EnzymeML_MM!$B$3:$Q$3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Vergleich_DWSIM_EnzymeML_MM!$B$4:$Q$4</c:f>
              <c:numCache>
                <c:formatCode>General</c:formatCode>
                <c:ptCount val="16"/>
                <c:pt idx="0">
                  <c:v>0</c:v>
                </c:pt>
                <c:pt idx="1">
                  <c:v>2.1884108662702573E-2</c:v>
                </c:pt>
                <c:pt idx="2">
                  <c:v>3.2225719948700021E-2</c:v>
                </c:pt>
                <c:pt idx="3">
                  <c:v>4.1380695140751107E-2</c:v>
                </c:pt>
                <c:pt idx="4">
                  <c:v>0.16282953117510654</c:v>
                </c:pt>
                <c:pt idx="5">
                  <c:v>0.17014884769344368</c:v>
                </c:pt>
                <c:pt idx="6">
                  <c:v>0.17876361846281397</c:v>
                </c:pt>
                <c:pt idx="7">
                  <c:v>0.18770225279494251</c:v>
                </c:pt>
                <c:pt idx="8">
                  <c:v>0.28453745805966868</c:v>
                </c:pt>
                <c:pt idx="9">
                  <c:v>0.29392950137965879</c:v>
                </c:pt>
                <c:pt idx="10">
                  <c:v>0.30170222688585752</c:v>
                </c:pt>
                <c:pt idx="11">
                  <c:v>0.30863290712888469</c:v>
                </c:pt>
                <c:pt idx="12">
                  <c:v>0.39251356988327951</c:v>
                </c:pt>
                <c:pt idx="13">
                  <c:v>0.40080447708989153</c:v>
                </c:pt>
                <c:pt idx="14">
                  <c:v>0.40695788478229894</c:v>
                </c:pt>
                <c:pt idx="15">
                  <c:v>0.41563742826422101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0-404B-BC06-5F238920856E}"/>
            </c:ext>
          </c:extLst>
        </c:ser>
        <c:ser>
          <c:idx val="1"/>
          <c:order val="1"/>
          <c:tx>
            <c:v>DWSIM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Vergleich_DWSIM_EnzymeML_MM!$B$7:$C$7</c:f>
              <c:numCache>
                <c:formatCode>General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Vergleich_DWSIM_EnzymeML_MM!$B$8:$C$8</c:f>
              <c:numCache>
                <c:formatCode>General</c:formatCode>
                <c:ptCount val="2"/>
                <c:pt idx="0">
                  <c:v>0</c:v>
                </c:pt>
                <c:pt idx="1">
                  <c:v>0.89296790000000004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0-404B-BC06-5F238920856E}"/>
            </c:ext>
          </c:extLst>
        </c:ser>
        <c:ser>
          <c:idx val="2"/>
          <c:order val="2"/>
          <c:tx>
            <c:v>Michaelis Menten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Vergleich_DWSIM_EnzymeML_MM!$B$18:$Q$18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Vergleich_DWSIM_EnzymeML_MM!$B$23:$Q$23</c:f>
              <c:numCache>
                <c:formatCode>General</c:formatCode>
                <c:ptCount val="16"/>
                <c:pt idx="0">
                  <c:v>0</c:v>
                </c:pt>
                <c:pt idx="1">
                  <c:v>2.3448398632478613E-2</c:v>
                </c:pt>
                <c:pt idx="2">
                  <c:v>4.6797921232018626E-2</c:v>
                </c:pt>
                <c:pt idx="3">
                  <c:v>6.9726430937854189E-2</c:v>
                </c:pt>
                <c:pt idx="4">
                  <c:v>0.30146357615989439</c:v>
                </c:pt>
                <c:pt idx="5">
                  <c:v>0.32323387315704311</c:v>
                </c:pt>
                <c:pt idx="6">
                  <c:v>0.34483672593722664</c:v>
                </c:pt>
                <c:pt idx="7">
                  <c:v>0.36626468868798429</c:v>
                </c:pt>
                <c:pt idx="8">
                  <c:v>0.57871669891758415</c:v>
                </c:pt>
                <c:pt idx="9">
                  <c:v>0.59743312899137646</c:v>
                </c:pt>
                <c:pt idx="10">
                  <c:v>0.61583683701974867</c:v>
                </c:pt>
                <c:pt idx="11">
                  <c:v>0.63391245067887414</c:v>
                </c:pt>
                <c:pt idx="12">
                  <c:v>0.81122685576052045</c:v>
                </c:pt>
                <c:pt idx="13">
                  <c:v>0.82374339988709266</c:v>
                </c:pt>
                <c:pt idx="14">
                  <c:v>0.83569001107208241</c:v>
                </c:pt>
                <c:pt idx="15">
                  <c:v>0.84705283497761052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20-404B-BC06-5F238920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0847"/>
        <c:axId val="55229407"/>
      </c:scatterChart>
      <c:valAx>
        <c:axId val="55230847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29407"/>
        <c:crosses val="autoZero"/>
        <c:crossBetween val="midCat"/>
      </c:valAx>
      <c:valAx>
        <c:axId val="55229407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3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Vergleich: DWSIM und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Michaelis Menten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Vergleich_DWSIM_EnzymeML_MM!$B$18:$Q$18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Vergleich_DWSIM_EnzymeML_MM!$B$60:$Q$60</c:f>
              <c:numCache>
                <c:formatCode>General</c:formatCode>
                <c:ptCount val="16"/>
                <c:pt idx="0">
                  <c:v>0</c:v>
                </c:pt>
                <c:pt idx="1">
                  <c:v>1.6136130540822764E-2</c:v>
                </c:pt>
                <c:pt idx="2">
                  <c:v>3.2225734356616409E-2</c:v>
                </c:pt>
                <c:pt idx="3">
                  <c:v>4.8047879585557882E-2</c:v>
                </c:pt>
                <c:pt idx="4">
                  <c:v>0.15930380306537784</c:v>
                </c:pt>
                <c:pt idx="5">
                  <c:v>0.17014886624644834</c:v>
                </c:pt>
                <c:pt idx="6">
                  <c:v>0.18096490920825159</c:v>
                </c:pt>
                <c:pt idx="7">
                  <c:v>0.1917513757273881</c:v>
                </c:pt>
                <c:pt idx="8">
                  <c:v>0.2845374766249249</c:v>
                </c:pt>
                <c:pt idx="9">
                  <c:v>0.2935662206370877</c:v>
                </c:pt>
                <c:pt idx="10">
                  <c:v>0.30256782639841617</c:v>
                </c:pt>
                <c:pt idx="11">
                  <c:v>0.31154181308284967</c:v>
                </c:pt>
                <c:pt idx="12">
                  <c:v>0.39226647500449152</c:v>
                </c:pt>
                <c:pt idx="13">
                  <c:v>0.40008444374179103</c:v>
                </c:pt>
                <c:pt idx="14">
                  <c:v>0.40787493055155649</c:v>
                </c:pt>
                <c:pt idx="15">
                  <c:v>0.41563747118275507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1-45E6-AFF6-C326F4A5DA01}"/>
            </c:ext>
          </c:extLst>
        </c:ser>
        <c:ser>
          <c:idx val="1"/>
          <c:order val="1"/>
          <c:tx>
            <c:v>DWSIM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Vergleich_DWSIM_EnzymeML_MM!$B$88:$C$88</c:f>
              <c:numCache>
                <c:formatCode>General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Vergleich_DWSIM_EnzymeML_MM!$B$89:$C$89</c:f>
              <c:numCache>
                <c:formatCode>General</c:formatCode>
                <c:ptCount val="2"/>
                <c:pt idx="0">
                  <c:v>0</c:v>
                </c:pt>
                <c:pt idx="1">
                  <c:v>0.32399753999999997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B1-45E6-AFF6-C326F4A5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5631"/>
        <c:axId val="57284671"/>
      </c:scatterChart>
      <c:valAx>
        <c:axId val="572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84671"/>
        <c:crosses val="autoZero"/>
        <c:crossBetween val="midCat"/>
      </c:valAx>
      <c:valAx>
        <c:axId val="572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8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095804032728703E-2"/>
                  <c:y val="0.477230407322227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3.6765x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- 4.1412x + 1.7947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0.9952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Vergleich_DWSIM_EnzymeML_MM!$C$67:$F$67</c:f>
              <c:numCache>
                <c:formatCode>General</c:formatCode>
                <c:ptCount val="4"/>
                <c:pt idx="0">
                  <c:v>0.93777427898309329</c:v>
                </c:pt>
                <c:pt idx="1">
                  <c:v>0.78903511011994398</c:v>
                </c:pt>
                <c:pt idx="2">
                  <c:v>0.66743219229364292</c:v>
                </c:pt>
                <c:pt idx="3">
                  <c:v>0.55436254672694341</c:v>
                </c:pt>
              </c:numCache>
            </c:numRef>
          </c:xVal>
          <c:yVal>
            <c:numRef>
              <c:f>Vergleich_DWSIM_EnzymeML_MM!$C$68:$F$68</c:f>
              <c:numCache>
                <c:formatCode>General</c:formatCode>
                <c:ptCount val="4"/>
                <c:pt idx="0">
                  <c:v>1.1492182154714601</c:v>
                </c:pt>
                <c:pt idx="1">
                  <c:v>0.79833236689976395</c:v>
                </c:pt>
                <c:pt idx="2">
                  <c:v>0.68865699653339341</c:v>
                </c:pt>
                <c:pt idx="3">
                  <c:v>0.62142158560182725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3-45D8-90B0-3F19865B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59552"/>
        <c:axId val="479968672"/>
      </c:scatterChart>
      <c:valAx>
        <c:axId val="479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Substratkonzentration [mol/m³]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968672"/>
        <c:crosses val="autoZero"/>
        <c:crossBetween val="midCat"/>
      </c:valAx>
      <c:valAx>
        <c:axId val="4799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kcat [1/s]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9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Vergleich: kcat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"Michaelis-Menten"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Vergleich_DWSIM_EnzymeML_MM!$B$55:$Q$55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Vergleich_DWSIM_EnzymeML_MM!$B$60:$Q$60</c:f>
              <c:numCache>
                <c:formatCode>General</c:formatCode>
                <c:ptCount val="16"/>
                <c:pt idx="0">
                  <c:v>0</c:v>
                </c:pt>
                <c:pt idx="1">
                  <c:v>1.6136130540822764E-2</c:v>
                </c:pt>
                <c:pt idx="2">
                  <c:v>3.2225734356616409E-2</c:v>
                </c:pt>
                <c:pt idx="3">
                  <c:v>4.8047879585557882E-2</c:v>
                </c:pt>
                <c:pt idx="4">
                  <c:v>0.15930380306537784</c:v>
                </c:pt>
                <c:pt idx="5">
                  <c:v>0.17014886624644834</c:v>
                </c:pt>
                <c:pt idx="6">
                  <c:v>0.18096490920825159</c:v>
                </c:pt>
                <c:pt idx="7">
                  <c:v>0.1917513757273881</c:v>
                </c:pt>
                <c:pt idx="8">
                  <c:v>0.2845374766249249</c:v>
                </c:pt>
                <c:pt idx="9">
                  <c:v>0.2935662206370877</c:v>
                </c:pt>
                <c:pt idx="10">
                  <c:v>0.30256782639841617</c:v>
                </c:pt>
                <c:pt idx="11">
                  <c:v>0.31154181308284967</c:v>
                </c:pt>
                <c:pt idx="12">
                  <c:v>0.39226647500449152</c:v>
                </c:pt>
                <c:pt idx="13">
                  <c:v>0.40008444374179103</c:v>
                </c:pt>
                <c:pt idx="14">
                  <c:v>0.40787493055155649</c:v>
                </c:pt>
                <c:pt idx="15">
                  <c:v>0.41563747118275507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C-460C-9092-CBDD6F1CA376}"/>
            </c:ext>
          </c:extLst>
        </c:ser>
        <c:ser>
          <c:idx val="1"/>
          <c:order val="1"/>
          <c:tx>
            <c:v>"Messwerte Template 18.8.2021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Vergleich_DWSIM_EnzymeML_MM!$B$3:$Q$3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Vergleich_DWSIM_EnzymeML_MM!$B$4:$Q$4</c:f>
              <c:numCache>
                <c:formatCode>General</c:formatCode>
                <c:ptCount val="16"/>
                <c:pt idx="0">
                  <c:v>0</c:v>
                </c:pt>
                <c:pt idx="1">
                  <c:v>2.1884108662702573E-2</c:v>
                </c:pt>
                <c:pt idx="2">
                  <c:v>3.2225719948700021E-2</c:v>
                </c:pt>
                <c:pt idx="3">
                  <c:v>4.1380695140751107E-2</c:v>
                </c:pt>
                <c:pt idx="4">
                  <c:v>0.16282953117510654</c:v>
                </c:pt>
                <c:pt idx="5">
                  <c:v>0.17014884769344368</c:v>
                </c:pt>
                <c:pt idx="6">
                  <c:v>0.17876361846281397</c:v>
                </c:pt>
                <c:pt idx="7">
                  <c:v>0.18770225279494251</c:v>
                </c:pt>
                <c:pt idx="8">
                  <c:v>0.28453745805966868</c:v>
                </c:pt>
                <c:pt idx="9">
                  <c:v>0.29392950137965879</c:v>
                </c:pt>
                <c:pt idx="10">
                  <c:v>0.30170222688585752</c:v>
                </c:pt>
                <c:pt idx="11">
                  <c:v>0.30863290712888469</c:v>
                </c:pt>
                <c:pt idx="12">
                  <c:v>0.39251356988327951</c:v>
                </c:pt>
                <c:pt idx="13">
                  <c:v>0.40080447708989153</c:v>
                </c:pt>
                <c:pt idx="14">
                  <c:v>0.40695788478229894</c:v>
                </c:pt>
                <c:pt idx="15">
                  <c:v>0.41563742826422101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AC-460C-9092-CBDD6F1C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32016"/>
        <c:axId val="457032496"/>
      </c:scatterChart>
      <c:valAx>
        <c:axId val="4570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32496"/>
        <c:crosses val="autoZero"/>
        <c:crossBetween val="midCat"/>
      </c:valAx>
      <c:valAx>
        <c:axId val="4570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Produktkonzentration [mmmol/l]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3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Vergleich: DWSIM und Laborversuch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EnzymeML Template 18.8.2021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Vergleich_DWSIM_EnzymeML_MM!$B$3:$Q$3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Vergleich_DWSIM_EnzymeML_MM!$B$4:$Q$4</c:f>
              <c:numCache>
                <c:formatCode>General</c:formatCode>
                <c:ptCount val="16"/>
                <c:pt idx="0">
                  <c:v>0</c:v>
                </c:pt>
                <c:pt idx="1">
                  <c:v>2.1884108662702573E-2</c:v>
                </c:pt>
                <c:pt idx="2">
                  <c:v>3.2225719948700021E-2</c:v>
                </c:pt>
                <c:pt idx="3">
                  <c:v>4.1380695140751107E-2</c:v>
                </c:pt>
                <c:pt idx="4">
                  <c:v>0.16282953117510654</c:v>
                </c:pt>
                <c:pt idx="5">
                  <c:v>0.17014884769344368</c:v>
                </c:pt>
                <c:pt idx="6">
                  <c:v>0.17876361846281397</c:v>
                </c:pt>
                <c:pt idx="7">
                  <c:v>0.18770225279494251</c:v>
                </c:pt>
                <c:pt idx="8">
                  <c:v>0.28453745805966868</c:v>
                </c:pt>
                <c:pt idx="9">
                  <c:v>0.29392950137965879</c:v>
                </c:pt>
                <c:pt idx="10">
                  <c:v>0.30170222688585752</c:v>
                </c:pt>
                <c:pt idx="11">
                  <c:v>0.30863290712888469</c:v>
                </c:pt>
                <c:pt idx="12">
                  <c:v>0.39251356988327951</c:v>
                </c:pt>
                <c:pt idx="13">
                  <c:v>0.40080447708989153</c:v>
                </c:pt>
                <c:pt idx="14">
                  <c:v>0.40695788478229894</c:v>
                </c:pt>
                <c:pt idx="15">
                  <c:v>0.41563742826422101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A-401C-B559-168940F1509A}"/>
            </c:ext>
          </c:extLst>
        </c:ser>
        <c:ser>
          <c:idx val="1"/>
          <c:order val="1"/>
          <c:tx>
            <c:v>DWSIM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Vergleich_DWSIM_EnzymeML_MM!$B$88:$C$88</c:f>
              <c:numCache>
                <c:formatCode>General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Vergleich_DWSIM_EnzymeML_MM!$B$89:$C$89</c:f>
              <c:numCache>
                <c:formatCode>General</c:formatCode>
                <c:ptCount val="2"/>
                <c:pt idx="0">
                  <c:v>0</c:v>
                </c:pt>
                <c:pt idx="1">
                  <c:v>0.32399753999999997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A-401C-B559-168940F1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88208"/>
        <c:axId val="488767568"/>
      </c:scatterChart>
      <c:valAx>
        <c:axId val="4887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767568"/>
        <c:crosses val="autoZero"/>
        <c:crossBetween val="midCat"/>
      </c:valAx>
      <c:valAx>
        <c:axId val="4887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7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782953</xdr:colOff>
      <xdr:row>14</xdr:row>
      <xdr:rowOff>15240</xdr:rowOff>
    </xdr:from>
    <xdr:to>
      <xdr:col>2</xdr:col>
      <xdr:colOff>3425327</xdr:colOff>
      <xdr:row>27</xdr:row>
      <xdr:rowOff>55245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AD85902-DEA8-6190-F369-205CEDEAA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3" y="2567940"/>
          <a:ext cx="4949329" cy="294703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582638</xdr:colOff>
      <xdr:row>19</xdr:row>
      <xdr:rowOff>91735</xdr:rowOff>
    </xdr:from>
    <xdr:to>
      <xdr:col>13</xdr:col>
      <xdr:colOff>626746</xdr:colOff>
      <xdr:row>38</xdr:row>
      <xdr:rowOff>43816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5AB2CF-729E-B00F-AFCF-95A2775C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49</xdr:row>
      <xdr:rowOff>19050</xdr:rowOff>
    </xdr:from>
    <xdr:to>
      <xdr:col>3</xdr:col>
      <xdr:colOff>735330</xdr:colOff>
      <xdr:row>65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270A978-3835-4C72-A7EC-26C348F98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18</xdr:col>
      <xdr:colOff>625699</xdr:colOff>
      <xdr:row>68</xdr:row>
      <xdr:rowOff>49082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70A978-3835-4C72-A7EC-26C348F98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418203</xdr:colOff>
      <xdr:row>26</xdr:row>
      <xdr:rowOff>46810</xdr:rowOff>
    </xdr:from>
    <xdr:to>
      <xdr:col>5</xdr:col>
      <xdr:colOff>627833</xdr:colOff>
      <xdr:row>46</xdr:row>
      <xdr:rowOff>69942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287CF2-1AC9-C89F-C464-D3A693D85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94086</xdr:colOff>
      <xdr:row>89</xdr:row>
      <xdr:rowOff>176125</xdr:rowOff>
    </xdr:from>
    <xdr:to>
      <xdr:col>7</xdr:col>
      <xdr:colOff>678179</xdr:colOff>
      <xdr:row>115</xdr:row>
      <xdr:rowOff>150358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1007B3A-3E08-5812-93A3-261EA90C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44631</xdr:rowOff>
    </xdr:from>
    <xdr:to>
      <xdr:col>5</xdr:col>
      <xdr:colOff>394607</xdr:colOff>
      <xdr:row>84</xdr:row>
      <xdr:rowOff>108858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86288C-B500-4731-1F26-861502A6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10612</xdr:colOff>
      <xdr:row>65</xdr:row>
      <xdr:rowOff>171722</xdr:rowOff>
    </xdr:from>
    <xdr:to>
      <xdr:col>19</xdr:col>
      <xdr:colOff>765810</xdr:colOff>
      <xdr:row>87</xdr:row>
      <xdr:rowOff>134167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67FBA9F-6106-018E-16CF-688C5AA60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147469</xdr:colOff>
      <xdr:row>90</xdr:row>
      <xdr:rowOff>29019</xdr:rowOff>
    </xdr:from>
    <xdr:to>
      <xdr:col>15</xdr:col>
      <xdr:colOff>780826</xdr:colOff>
      <xdr:row>114</xdr:row>
      <xdr:rowOff>125168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CB78B50-9C53-A63E-47AF-8873D8150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9BDA-89D5-4F8E-AB61-B1DCC073AF6B}">
  <dimension ref="B1:L55"/>
  <sheetViews>
    <sheetView topLeftCell="A31" zoomScale="85" zoomScaleNormal="85" workbookViewId="0">
      <selection activeCell="M52" sqref="M52"/>
    </sheetView>
  </sheetViews>
  <sheetFormatPr baseColWidth="10" defaultRowHeight="14.4" x14ac:dyDescent="0.3"/>
  <cols>
    <col min="2" max="2" width="22.109375" bestFit="1" customWidth="1"/>
    <col min="3" max="3" width="51.21875" bestFit="1" customWidth="1"/>
    <col min="4" max="4" width="11" bestFit="1" customWidth="1"/>
    <col min="6" max="6" width="10.44140625" bestFit="1" customWidth="1"/>
    <col min="7" max="7" width="14" bestFit="1" customWidth="1"/>
    <col min="10" max="10" width="12" bestFit="1" customWidth="1"/>
    <col min="11" max="11" width="21.6640625" customWidth="1"/>
    <col min="12" max="12" width="21.6640625" bestFit="1" customWidth="1"/>
  </cols>
  <sheetData>
    <row r="1" spans="2:12" ht="15" thickBot="1" x14ac:dyDescent="0.35"/>
    <row r="2" spans="2:12" x14ac:dyDescent="0.3">
      <c r="B2" s="1" t="s">
        <v>0</v>
      </c>
      <c r="C2" s="2">
        <v>0.2</v>
      </c>
      <c r="D2" s="3" t="s">
        <v>2</v>
      </c>
    </row>
    <row r="3" spans="2:12" ht="15" thickBot="1" x14ac:dyDescent="0.35">
      <c r="B3" s="4" t="s">
        <v>1</v>
      </c>
      <c r="C3" s="5">
        <v>1.67</v>
      </c>
      <c r="D3" s="6" t="s">
        <v>3</v>
      </c>
    </row>
    <row r="5" spans="2:12" x14ac:dyDescent="0.3">
      <c r="B5" s="57" t="s">
        <v>41</v>
      </c>
      <c r="C5" s="57"/>
      <c r="D5" s="57"/>
      <c r="E5" s="57"/>
      <c r="F5" s="57"/>
      <c r="G5" s="57"/>
    </row>
    <row r="6" spans="2:12" x14ac:dyDescent="0.3">
      <c r="B6" s="31" t="s">
        <v>4</v>
      </c>
      <c r="C6" s="31" t="s">
        <v>5</v>
      </c>
      <c r="D6" s="31" t="s">
        <v>6</v>
      </c>
      <c r="F6" s="58" t="s">
        <v>20</v>
      </c>
      <c r="G6" s="58"/>
      <c r="I6" s="57" t="s">
        <v>30</v>
      </c>
      <c r="J6" s="57"/>
      <c r="K6" s="57"/>
      <c r="L6" s="57"/>
    </row>
    <row r="7" spans="2:12" x14ac:dyDescent="0.3">
      <c r="B7" s="8" t="s">
        <v>7</v>
      </c>
      <c r="C7" s="11">
        <v>-0.180672</v>
      </c>
      <c r="D7" s="7" t="s">
        <v>8</v>
      </c>
      <c r="F7" s="8" t="s">
        <v>21</v>
      </c>
      <c r="G7" s="8" t="s">
        <v>28</v>
      </c>
      <c r="I7" s="8" t="s">
        <v>21</v>
      </c>
      <c r="J7" s="8" t="s">
        <v>25</v>
      </c>
      <c r="K7" s="32" t="s">
        <v>27</v>
      </c>
      <c r="L7" s="8" t="s">
        <v>29</v>
      </c>
    </row>
    <row r="8" spans="2:12" x14ac:dyDescent="0.3">
      <c r="B8" s="8" t="s">
        <v>9</v>
      </c>
      <c r="C8" s="7">
        <v>0</v>
      </c>
      <c r="D8" s="7" t="s">
        <v>10</v>
      </c>
      <c r="F8" s="14" t="s">
        <v>22</v>
      </c>
      <c r="G8" s="13">
        <v>7.7510100000000005E-4</v>
      </c>
      <c r="I8" s="8" t="s">
        <v>31</v>
      </c>
      <c r="J8" s="16">
        <v>2.0894687E-7</v>
      </c>
      <c r="K8" s="33">
        <v>7.1355148E-6</v>
      </c>
      <c r="L8" s="17">
        <f>K8*1000</f>
        <v>7.1355148000000002E-3</v>
      </c>
    </row>
    <row r="9" spans="2:12" x14ac:dyDescent="0.3">
      <c r="B9" s="20" t="s">
        <v>11</v>
      </c>
      <c r="C9" s="23">
        <v>59.345399999999998</v>
      </c>
      <c r="D9" s="24" t="s">
        <v>12</v>
      </c>
      <c r="F9" s="18" t="s">
        <v>23</v>
      </c>
      <c r="G9" s="19">
        <v>88.683999999999997</v>
      </c>
      <c r="I9" s="8" t="s">
        <v>23</v>
      </c>
      <c r="J9" s="16">
        <v>1.5516869999999998E-5</v>
      </c>
      <c r="K9" s="33">
        <v>6.7520153999999999E-5</v>
      </c>
      <c r="L9" s="17">
        <f t="shared" ref="L9:L12" si="0">K9*1000</f>
        <v>6.7520153999999999E-2</v>
      </c>
    </row>
    <row r="10" spans="2:12" x14ac:dyDescent="0.3">
      <c r="B10" s="8" t="s">
        <v>13</v>
      </c>
      <c r="C10" s="11">
        <v>120</v>
      </c>
      <c r="D10" s="7" t="s">
        <v>14</v>
      </c>
      <c r="F10" s="10" t="s">
        <v>24</v>
      </c>
      <c r="G10" s="7">
        <v>0.90723799999999999</v>
      </c>
      <c r="I10" s="20" t="s">
        <v>32</v>
      </c>
      <c r="J10" s="21">
        <v>1.9771643E-6</v>
      </c>
      <c r="K10" s="34">
        <v>5.2990106999999999E-4</v>
      </c>
      <c r="L10" s="22">
        <f t="shared" si="0"/>
        <v>0.52990106999999997</v>
      </c>
    </row>
    <row r="11" spans="2:12" x14ac:dyDescent="0.3">
      <c r="B11" s="8" t="s">
        <v>15</v>
      </c>
      <c r="C11" s="9">
        <v>1.7767600000000001E-11</v>
      </c>
      <c r="D11" s="7" t="s">
        <v>18</v>
      </c>
      <c r="E11" s="52"/>
      <c r="I11" s="8" t="s">
        <v>24</v>
      </c>
      <c r="J11" s="16">
        <v>4.2311090000000002E-4</v>
      </c>
      <c r="K11" s="33">
        <v>1.4449236000000001E-2</v>
      </c>
      <c r="L11" s="17">
        <f t="shared" si="0"/>
        <v>14.449236000000001</v>
      </c>
    </row>
    <row r="12" spans="2:12" x14ac:dyDescent="0.3">
      <c r="B12" s="8" t="s">
        <v>16</v>
      </c>
      <c r="C12" s="9">
        <v>2.2209499999999999E-6</v>
      </c>
      <c r="D12" s="7" t="s">
        <v>19</v>
      </c>
      <c r="E12" s="52"/>
      <c r="I12" s="8" t="s">
        <v>22</v>
      </c>
      <c r="J12" s="16">
        <v>0.99955919000000004</v>
      </c>
      <c r="K12" s="33">
        <v>34.134943</v>
      </c>
      <c r="L12" s="17">
        <f t="shared" si="0"/>
        <v>34134.942999999999</v>
      </c>
    </row>
    <row r="13" spans="2:12" x14ac:dyDescent="0.3">
      <c r="B13" s="8" t="s">
        <v>17</v>
      </c>
      <c r="C13" s="9">
        <v>-2.1482200000000002E-6</v>
      </c>
      <c r="D13" s="7" t="s">
        <v>10</v>
      </c>
      <c r="L13" s="35" t="s">
        <v>42</v>
      </c>
    </row>
    <row r="15" spans="2:12" x14ac:dyDescent="0.3">
      <c r="I15" s="59" t="s">
        <v>33</v>
      </c>
      <c r="J15" s="59"/>
      <c r="K15" s="59"/>
    </row>
    <row r="16" spans="2:12" x14ac:dyDescent="0.3">
      <c r="I16" s="25" t="s">
        <v>37</v>
      </c>
      <c r="J16" s="29">
        <v>0</v>
      </c>
      <c r="K16" s="27">
        <v>59.35</v>
      </c>
    </row>
    <row r="17" spans="9:11" ht="28.8" x14ac:dyDescent="0.3">
      <c r="I17" s="26" t="s">
        <v>34</v>
      </c>
      <c r="J17" s="13">
        <v>0</v>
      </c>
      <c r="K17" s="28">
        <v>0.52987637949999999</v>
      </c>
    </row>
    <row r="18" spans="9:11" ht="28.8" x14ac:dyDescent="0.3">
      <c r="I18" s="26" t="s">
        <v>35</v>
      </c>
      <c r="J18" s="13">
        <v>0.59448410395491003</v>
      </c>
      <c r="K18" s="28">
        <v>6.7517007800000001E-2</v>
      </c>
    </row>
    <row r="19" spans="9:11" ht="28.8" x14ac:dyDescent="0.3">
      <c r="I19" s="26" t="s">
        <v>36</v>
      </c>
      <c r="J19" s="13">
        <v>7.1092944390483996E-3</v>
      </c>
      <c r="K19" s="28">
        <v>7.1351823399999998E-3</v>
      </c>
    </row>
    <row r="21" spans="9:11" x14ac:dyDescent="0.3">
      <c r="J21" s="15"/>
    </row>
    <row r="35" spans="2:12" ht="15" thickBot="1" x14ac:dyDescent="0.35"/>
    <row r="36" spans="2:12" x14ac:dyDescent="0.3">
      <c r="B36" s="1" t="s">
        <v>0</v>
      </c>
      <c r="C36" s="2">
        <v>0.2</v>
      </c>
      <c r="D36" s="3" t="s">
        <v>2</v>
      </c>
    </row>
    <row r="37" spans="2:12" ht="15" thickBot="1" x14ac:dyDescent="0.35">
      <c r="B37" s="4" t="s">
        <v>1</v>
      </c>
      <c r="C37" s="5" t="s">
        <v>75</v>
      </c>
      <c r="D37" s="6" t="s">
        <v>3</v>
      </c>
    </row>
    <row r="39" spans="2:12" x14ac:dyDescent="0.3">
      <c r="B39" s="57" t="s">
        <v>41</v>
      </c>
      <c r="C39" s="57"/>
      <c r="D39" s="57"/>
      <c r="E39" s="57"/>
      <c r="F39" s="57"/>
      <c r="G39" s="57"/>
    </row>
    <row r="40" spans="2:12" x14ac:dyDescent="0.3">
      <c r="B40" s="31" t="s">
        <v>4</v>
      </c>
      <c r="C40" s="31" t="s">
        <v>5</v>
      </c>
      <c r="D40" s="31" t="s">
        <v>6</v>
      </c>
      <c r="F40" s="58" t="s">
        <v>20</v>
      </c>
      <c r="G40" s="58"/>
      <c r="I40" s="57" t="s">
        <v>30</v>
      </c>
      <c r="J40" s="57"/>
      <c r="K40" s="57"/>
      <c r="L40" s="57"/>
    </row>
    <row r="41" spans="2:12" x14ac:dyDescent="0.3">
      <c r="B41" s="8" t="s">
        <v>7</v>
      </c>
      <c r="C41" s="11">
        <v>0.16225700000000001</v>
      </c>
      <c r="D41" s="7" t="s">
        <v>8</v>
      </c>
      <c r="F41" s="8" t="s">
        <v>21</v>
      </c>
      <c r="G41" s="8" t="s">
        <v>28</v>
      </c>
      <c r="I41" s="8" t="s">
        <v>21</v>
      </c>
      <c r="J41" s="8" t="s">
        <v>25</v>
      </c>
      <c r="K41" s="32" t="s">
        <v>27</v>
      </c>
      <c r="L41" s="8" t="s">
        <v>29</v>
      </c>
    </row>
    <row r="42" spans="2:12" x14ac:dyDescent="0.3">
      <c r="B42" s="8" t="s">
        <v>9</v>
      </c>
      <c r="C42" s="7">
        <v>0</v>
      </c>
      <c r="D42" s="7" t="s">
        <v>10</v>
      </c>
      <c r="F42" s="14" t="s">
        <v>22</v>
      </c>
      <c r="G42" s="13">
        <v>2.9339600000000002E-4</v>
      </c>
      <c r="I42" s="8" t="s">
        <v>31</v>
      </c>
      <c r="J42" s="16">
        <v>2.0894687E-7</v>
      </c>
      <c r="K42" s="33">
        <v>7.1139116000000003E-6</v>
      </c>
      <c r="L42" s="17">
        <f>K42*1000</f>
        <v>7.1139116000000007E-3</v>
      </c>
    </row>
    <row r="43" spans="2:12" x14ac:dyDescent="0.3">
      <c r="B43" s="20" t="s">
        <v>11</v>
      </c>
      <c r="C43" s="23">
        <v>59.345399999999998</v>
      </c>
      <c r="D43" s="24" t="s">
        <v>12</v>
      </c>
      <c r="F43" s="18" t="s">
        <v>23</v>
      </c>
      <c r="G43" s="19">
        <v>33.569200000000002</v>
      </c>
      <c r="I43" s="8" t="s">
        <v>23</v>
      </c>
      <c r="J43" s="16">
        <v>1.0261257E-5</v>
      </c>
      <c r="K43" s="33">
        <v>3.4936023000000001E-4</v>
      </c>
      <c r="L43" s="17">
        <f t="shared" ref="L43:L46" si="1">K43*1000</f>
        <v>0.34936022999999999</v>
      </c>
    </row>
    <row r="44" spans="2:12" x14ac:dyDescent="0.3">
      <c r="B44" s="8" t="s">
        <v>13</v>
      </c>
      <c r="C44" s="11">
        <v>120</v>
      </c>
      <c r="D44" s="7" t="s">
        <v>14</v>
      </c>
      <c r="F44" s="10" t="s">
        <v>24</v>
      </c>
      <c r="G44" s="7">
        <v>0.343414</v>
      </c>
      <c r="I44" s="20" t="s">
        <v>32</v>
      </c>
      <c r="J44" s="21">
        <v>7.2328143000000002E-6</v>
      </c>
      <c r="K44" s="34">
        <v>2.0033677E-4</v>
      </c>
      <c r="L44" s="22">
        <f t="shared" si="1"/>
        <v>0.20033677</v>
      </c>
    </row>
    <row r="45" spans="2:12" x14ac:dyDescent="0.3">
      <c r="B45" s="8" t="s">
        <v>15</v>
      </c>
      <c r="C45" s="9">
        <v>6.7255E-12</v>
      </c>
      <c r="D45" s="7" t="s">
        <v>18</v>
      </c>
      <c r="I45" s="8" t="s">
        <v>24</v>
      </c>
      <c r="J45" s="16">
        <v>4.2518280000000002E-4</v>
      </c>
      <c r="K45" s="33">
        <v>1.4480309E-2</v>
      </c>
      <c r="L45" s="17">
        <f t="shared" si="1"/>
        <v>14.480309</v>
      </c>
    </row>
    <row r="46" spans="2:12" x14ac:dyDescent="0.3">
      <c r="B46" s="8" t="s">
        <v>16</v>
      </c>
      <c r="C46" s="9">
        <v>8.4068700000000002E-7</v>
      </c>
      <c r="D46" s="7" t="s">
        <v>19</v>
      </c>
      <c r="I46" s="8" t="s">
        <v>22</v>
      </c>
      <c r="J46" s="16">
        <v>0.99955711000000003</v>
      </c>
      <c r="K46" s="33">
        <v>34.014645999999999</v>
      </c>
      <c r="L46" s="17">
        <f t="shared" si="1"/>
        <v>34014.646000000001</v>
      </c>
    </row>
    <row r="47" spans="2:12" x14ac:dyDescent="0.3">
      <c r="B47" s="8" t="s">
        <v>17</v>
      </c>
      <c r="C47" s="9">
        <v>-8.1315900000000004E-7</v>
      </c>
      <c r="D47" s="7" t="s">
        <v>10</v>
      </c>
      <c r="L47" s="35" t="s">
        <v>42</v>
      </c>
    </row>
    <row r="49" spans="9:11" x14ac:dyDescent="0.3">
      <c r="I49" s="59" t="s">
        <v>33</v>
      </c>
      <c r="J49" s="59"/>
      <c r="K49" s="59"/>
    </row>
    <row r="50" spans="9:11" x14ac:dyDescent="0.3">
      <c r="I50" s="25" t="s">
        <v>37</v>
      </c>
      <c r="J50" s="29">
        <v>0</v>
      </c>
      <c r="K50" s="27">
        <v>59.35</v>
      </c>
    </row>
    <row r="51" spans="9:11" ht="28.8" x14ac:dyDescent="0.3">
      <c r="I51" s="26" t="s">
        <v>34</v>
      </c>
      <c r="J51" s="13">
        <v>0</v>
      </c>
      <c r="K51" s="28">
        <v>0.20030000000000001</v>
      </c>
    </row>
    <row r="52" spans="9:11" ht="28.8" x14ac:dyDescent="0.3">
      <c r="I52" s="26" t="s">
        <v>35</v>
      </c>
      <c r="J52" s="13">
        <v>0.59448410395491003</v>
      </c>
      <c r="K52" s="28">
        <v>0.39500000000000002</v>
      </c>
    </row>
    <row r="53" spans="9:11" ht="28.8" x14ac:dyDescent="0.3">
      <c r="I53" s="26" t="s">
        <v>36</v>
      </c>
      <c r="J53" s="13">
        <v>7.1092944390483996E-3</v>
      </c>
      <c r="K53" s="28">
        <v>7.1351823399999998E-3</v>
      </c>
    </row>
    <row r="55" spans="9:11" x14ac:dyDescent="0.3">
      <c r="J55" s="15"/>
    </row>
  </sheetData>
  <mergeCells count="8">
    <mergeCell ref="B5:G5"/>
    <mergeCell ref="B39:G39"/>
    <mergeCell ref="F40:G40"/>
    <mergeCell ref="I40:L40"/>
    <mergeCell ref="I49:K49"/>
    <mergeCell ref="F6:G6"/>
    <mergeCell ref="I6:L6"/>
    <mergeCell ref="I15:K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4E95-F822-4947-9C1C-26604859975F}">
  <dimension ref="A2:U89"/>
  <sheetViews>
    <sheetView tabSelected="1" topLeftCell="A78" zoomScale="85" zoomScaleNormal="85" workbookViewId="0">
      <selection activeCell="G90" sqref="G90"/>
    </sheetView>
  </sheetViews>
  <sheetFormatPr baseColWidth="10" defaultRowHeight="14.4" x14ac:dyDescent="0.3"/>
  <cols>
    <col min="1" max="1" width="24.5546875" customWidth="1"/>
    <col min="2" max="2" width="12" bestFit="1" customWidth="1"/>
    <col min="3" max="3" width="17.44140625" customWidth="1"/>
    <col min="4" max="4" width="12.44140625" customWidth="1"/>
    <col min="5" max="5" width="12.77734375" customWidth="1"/>
    <col min="6" max="6" width="12.6640625" customWidth="1"/>
    <col min="9" max="9" width="12" bestFit="1" customWidth="1"/>
    <col min="12" max="12" width="13.5546875" customWidth="1"/>
    <col min="13" max="13" width="17.77734375" customWidth="1"/>
    <col min="15" max="15" width="16.6640625" customWidth="1"/>
    <col min="19" max="19" width="16.77734375" bestFit="1" customWidth="1"/>
  </cols>
  <sheetData>
    <row r="2" spans="1:19" x14ac:dyDescent="0.3">
      <c r="A2" s="60" t="s">
        <v>39</v>
      </c>
      <c r="B2" s="60"/>
      <c r="C2" s="60"/>
      <c r="D2" s="60"/>
      <c r="E2" s="60"/>
      <c r="F2" s="60"/>
    </row>
    <row r="3" spans="1:19" x14ac:dyDescent="0.3">
      <c r="A3" s="30" t="s">
        <v>37</v>
      </c>
      <c r="B3" s="12">
        <v>0</v>
      </c>
      <c r="C3" s="12">
        <v>1.46</v>
      </c>
      <c r="D3" s="12">
        <v>2.92</v>
      </c>
      <c r="E3" s="12">
        <v>4.3599999999999994</v>
      </c>
      <c r="F3" s="12">
        <v>18.98</v>
      </c>
      <c r="G3" s="12">
        <v>20.439999999999998</v>
      </c>
      <c r="H3" s="12">
        <v>21.9</v>
      </c>
      <c r="I3" s="12">
        <v>23.36</v>
      </c>
      <c r="J3" s="12">
        <v>37.96</v>
      </c>
      <c r="K3" s="12">
        <v>39.42</v>
      </c>
      <c r="L3" s="12">
        <v>40.879999999999995</v>
      </c>
      <c r="M3" s="12">
        <v>42.339999999999996</v>
      </c>
      <c r="N3" s="12">
        <v>56.94</v>
      </c>
      <c r="O3" s="12">
        <v>58.4</v>
      </c>
      <c r="P3" s="12">
        <v>59.86</v>
      </c>
      <c r="Q3" s="12">
        <v>61.32</v>
      </c>
      <c r="R3" s="54" t="s">
        <v>55</v>
      </c>
    </row>
    <row r="4" spans="1:19" x14ac:dyDescent="0.3">
      <c r="A4" s="30" t="s">
        <v>38</v>
      </c>
      <c r="B4" s="12">
        <v>0</v>
      </c>
      <c r="C4" s="12">
        <v>2.1884108662702573E-2</v>
      </c>
      <c r="D4" s="12">
        <v>3.2225719948700021E-2</v>
      </c>
      <c r="E4" s="12">
        <v>4.1380695140751107E-2</v>
      </c>
      <c r="F4" s="12">
        <v>0.16282953117510654</v>
      </c>
      <c r="G4" s="12">
        <v>0.17014884769344368</v>
      </c>
      <c r="H4" s="12">
        <v>0.17876361846281397</v>
      </c>
      <c r="I4" s="12">
        <v>0.18770225279494251</v>
      </c>
      <c r="J4" s="12">
        <v>0.28453745805966868</v>
      </c>
      <c r="K4" s="12">
        <v>0.29392950137965879</v>
      </c>
      <c r="L4" s="12">
        <v>0.30170222688585752</v>
      </c>
      <c r="M4" s="12">
        <v>0.30863290712888469</v>
      </c>
      <c r="N4" s="12">
        <v>0.39251356988327951</v>
      </c>
      <c r="O4" s="12">
        <v>0.40080447708989153</v>
      </c>
      <c r="P4" s="12">
        <v>0.40695788478229894</v>
      </c>
      <c r="Q4" s="12">
        <v>0.41563742826422101</v>
      </c>
      <c r="R4" s="54">
        <f>(1-(Q4/0.97))*100</f>
        <v>57.150780591317421</v>
      </c>
      <c r="S4">
        <f>100-R4</f>
        <v>42.849219408682579</v>
      </c>
    </row>
    <row r="6" spans="1:19" x14ac:dyDescent="0.3">
      <c r="A6" s="61" t="s">
        <v>40</v>
      </c>
      <c r="B6" s="61"/>
      <c r="C6" s="61"/>
      <c r="D6" s="61"/>
      <c r="E6" s="61"/>
      <c r="F6" s="61"/>
      <c r="O6" s="71" t="s">
        <v>38</v>
      </c>
      <c r="P6" s="71">
        <f>O4+((P4-O4)/(P3-O3))*(C7-O3)</f>
        <v>0.40480840675275936</v>
      </c>
      <c r="Q6" s="71" t="s">
        <v>78</v>
      </c>
    </row>
    <row r="7" spans="1:19" x14ac:dyDescent="0.3">
      <c r="A7" s="30" t="s">
        <v>37</v>
      </c>
      <c r="B7" s="12">
        <v>0</v>
      </c>
      <c r="C7" s="12">
        <v>59.35</v>
      </c>
      <c r="F7" s="54" t="s">
        <v>56</v>
      </c>
    </row>
    <row r="8" spans="1:19" x14ac:dyDescent="0.3">
      <c r="A8" s="30" t="s">
        <v>38</v>
      </c>
      <c r="B8" s="12">
        <v>0</v>
      </c>
      <c r="C8" s="12">
        <f>0.0008929679*1000</f>
        <v>0.89296790000000004</v>
      </c>
      <c r="D8" s="36" t="s">
        <v>43</v>
      </c>
      <c r="F8" s="55">
        <f>(1-(C8/0.97))*100</f>
        <v>7.9414536082474179</v>
      </c>
    </row>
    <row r="9" spans="1:19" x14ac:dyDescent="0.3">
      <c r="F9" s="53">
        <f>100-F8</f>
        <v>92.058546391752586</v>
      </c>
      <c r="G9" t="s">
        <v>57</v>
      </c>
    </row>
    <row r="10" spans="1:19" ht="15" thickBot="1" x14ac:dyDescent="0.35"/>
    <row r="11" spans="1:19" x14ac:dyDescent="0.3">
      <c r="A11" s="62" t="s">
        <v>44</v>
      </c>
      <c r="B11" s="62"/>
      <c r="C11" s="62"/>
      <c r="E11" s="38" t="s">
        <v>45</v>
      </c>
      <c r="F11" s="39"/>
      <c r="G11" s="40"/>
      <c r="H11" s="41"/>
    </row>
    <row r="12" spans="1:19" ht="15" thickBot="1" x14ac:dyDescent="0.35">
      <c r="A12" s="45" t="s">
        <v>31</v>
      </c>
      <c r="B12" s="37">
        <f>11.6*10^-6</f>
        <v>1.1599999999999999E-5</v>
      </c>
      <c r="C12" s="10" t="s">
        <v>26</v>
      </c>
      <c r="E12" s="42" t="s">
        <v>47</v>
      </c>
      <c r="F12" s="43"/>
      <c r="G12" s="43"/>
      <c r="H12" s="44"/>
    </row>
    <row r="13" spans="1:19" ht="15" thickBot="1" x14ac:dyDescent="0.35">
      <c r="A13" s="45" t="s">
        <v>23</v>
      </c>
      <c r="B13" s="10">
        <f>0.97*10^-3</f>
        <v>9.6999999999999994E-4</v>
      </c>
      <c r="C13" s="10" t="s">
        <v>26</v>
      </c>
      <c r="E13" s="46" t="s">
        <v>49</v>
      </c>
      <c r="F13" s="47"/>
      <c r="G13" s="47"/>
      <c r="H13" s="48"/>
    </row>
    <row r="14" spans="1:19" x14ac:dyDescent="0.3">
      <c r="A14" s="45" t="s">
        <v>0</v>
      </c>
      <c r="B14" s="10">
        <f>0.2*10^-3</f>
        <v>2.0000000000000001E-4</v>
      </c>
      <c r="C14" s="10" t="s">
        <v>26</v>
      </c>
    </row>
    <row r="15" spans="1:19" x14ac:dyDescent="0.3">
      <c r="A15" s="45" t="s">
        <v>1</v>
      </c>
      <c r="B15" s="10">
        <v>1.67</v>
      </c>
      <c r="C15" s="10" t="s">
        <v>3</v>
      </c>
    </row>
    <row r="17" spans="1:21" x14ac:dyDescent="0.3">
      <c r="A17" s="49" t="s">
        <v>52</v>
      </c>
      <c r="B17" s="50"/>
      <c r="C17" s="50"/>
      <c r="D17" s="50"/>
      <c r="E17" s="50"/>
    </row>
    <row r="18" spans="1:21" x14ac:dyDescent="0.3">
      <c r="A18" s="45" t="s">
        <v>37</v>
      </c>
      <c r="B18" s="12">
        <v>0</v>
      </c>
      <c r="C18" s="12">
        <v>1.46</v>
      </c>
      <c r="D18" s="12">
        <v>2.92</v>
      </c>
      <c r="E18" s="12">
        <v>4.3599999999999994</v>
      </c>
      <c r="F18" s="12">
        <v>18.98</v>
      </c>
      <c r="G18" s="12">
        <v>20.439999999999998</v>
      </c>
      <c r="H18" s="12">
        <v>21.9</v>
      </c>
      <c r="I18" s="12">
        <v>23.36</v>
      </c>
      <c r="J18" s="12">
        <v>37.96</v>
      </c>
      <c r="K18" s="12">
        <v>39.42</v>
      </c>
      <c r="L18" s="12">
        <v>40.879999999999995</v>
      </c>
      <c r="M18" s="12">
        <v>42.339999999999996</v>
      </c>
      <c r="N18" s="12">
        <v>56.94</v>
      </c>
      <c r="O18" s="12">
        <v>58.4</v>
      </c>
      <c r="P18" s="12">
        <v>59.86</v>
      </c>
      <c r="Q18" s="12">
        <v>61.32</v>
      </c>
    </row>
    <row r="19" spans="1:21" x14ac:dyDescent="0.3">
      <c r="A19" s="45" t="s">
        <v>48</v>
      </c>
      <c r="B19" s="12">
        <v>9.6999999999999994E-4</v>
      </c>
      <c r="C19" s="12">
        <f>B19-B22</f>
        <v>9.4655160136752133E-4</v>
      </c>
      <c r="D19" s="12">
        <f>C19-C22</f>
        <v>9.2320207876798132E-4</v>
      </c>
      <c r="E19" s="12">
        <f t="shared" ref="E19:Q19" si="0">D19-D22</f>
        <v>9.0027356906214576E-4</v>
      </c>
      <c r="F19" s="12">
        <f>E19-E22</f>
        <v>6.6853642384010555E-4</v>
      </c>
      <c r="G19" s="12">
        <f t="shared" si="0"/>
        <v>6.4676612684295683E-4</v>
      </c>
      <c r="H19" s="12">
        <f t="shared" si="0"/>
        <v>6.2516327406277332E-4</v>
      </c>
      <c r="I19" s="12">
        <f t="shared" si="0"/>
        <v>6.0373531131201565E-4</v>
      </c>
      <c r="J19" s="12">
        <f t="shared" si="0"/>
        <v>3.9128330108241581E-4</v>
      </c>
      <c r="K19" s="12">
        <f t="shared" si="0"/>
        <v>3.7256687100862353E-4</v>
      </c>
      <c r="L19" s="12">
        <f t="shared" si="0"/>
        <v>3.5416316298025131E-4</v>
      </c>
      <c r="M19" s="12">
        <f t="shared" si="0"/>
        <v>3.3608754932112585E-4</v>
      </c>
      <c r="N19" s="12">
        <f t="shared" si="0"/>
        <v>1.5877314423947948E-4</v>
      </c>
      <c r="O19" s="12">
        <f t="shared" si="0"/>
        <v>1.4625660011290725E-4</v>
      </c>
      <c r="P19" s="12">
        <f t="shared" si="0"/>
        <v>1.3430998892791752E-4</v>
      </c>
      <c r="Q19" s="12">
        <f t="shared" si="0"/>
        <v>1.2294716502238946E-4</v>
      </c>
      <c r="S19" s="71" t="s">
        <v>38</v>
      </c>
      <c r="T19" s="71">
        <f>O23+((P23-O23)/(P18-O18))*(C7-O18)</f>
        <v>0.83151687976773669</v>
      </c>
      <c r="U19" s="71" t="s">
        <v>78</v>
      </c>
    </row>
    <row r="20" spans="1:21" x14ac:dyDescent="0.3">
      <c r="A20" s="45" t="s">
        <v>46</v>
      </c>
      <c r="B20" s="12">
        <f>($B$12*$B$15*B19)/($B$14+B19)</f>
        <v>1.6060547008547005E-5</v>
      </c>
      <c r="C20" s="12">
        <f>($B$12*$B$15*C19)/($B$14+C19)</f>
        <v>1.5992823698315097E-5</v>
      </c>
      <c r="D20" s="12">
        <f>($B$12*$B$15*D19)/($B$14+D19)</f>
        <v>1.5922576184608066E-5</v>
      </c>
      <c r="E20" s="12">
        <f>($B$12*$B$15*E19)/($B$14+E19)</f>
        <v>1.5850693927636126E-5</v>
      </c>
      <c r="F20" s="12">
        <f>($B$12*$B$15*F19)/($B$14+F19)</f>
        <v>1.4911162326814212E-5</v>
      </c>
      <c r="G20" s="12">
        <f t="shared" ref="G20:Q20" si="1">($B$12*$B$15*G19)/($B$14+G19)</f>
        <v>1.4796474506974986E-5</v>
      </c>
      <c r="H20" s="12">
        <f>($B$12*$B$15*H19)/($B$14+H19)</f>
        <v>1.4676686815587406E-5</v>
      </c>
      <c r="I20" s="12">
        <f t="shared" si="1"/>
        <v>1.4551507549972589E-5</v>
      </c>
      <c r="J20" s="12">
        <f t="shared" si="1"/>
        <v>1.2819472653282373E-5</v>
      </c>
      <c r="K20" s="12">
        <f t="shared" si="1"/>
        <v>1.2605279471487883E-5</v>
      </c>
      <c r="L20" s="12">
        <f t="shared" si="1"/>
        <v>1.2380557300770868E-5</v>
      </c>
      <c r="M20" s="12">
        <f t="shared" si="1"/>
        <v>1.2144822265866189E-5</v>
      </c>
      <c r="N20" s="12">
        <f t="shared" si="1"/>
        <v>8.5729754291590572E-6</v>
      </c>
      <c r="O20" s="12">
        <f t="shared" si="1"/>
        <v>8.1826104006778862E-6</v>
      </c>
      <c r="P20" s="12">
        <f t="shared" si="1"/>
        <v>7.7827560996767526E-6</v>
      </c>
      <c r="Q20" s="12">
        <f t="shared" si="1"/>
        <v>7.3749911402647115E-6</v>
      </c>
      <c r="S20">
        <f>C8-T19</f>
        <v>6.1451020232263343E-2</v>
      </c>
      <c r="T20" t="s">
        <v>58</v>
      </c>
    </row>
    <row r="21" spans="1:21" x14ac:dyDescent="0.3">
      <c r="A21" s="45" t="s">
        <v>50</v>
      </c>
      <c r="B21" s="12">
        <f>C18-B18</f>
        <v>1.46</v>
      </c>
      <c r="C21" s="12">
        <f t="shared" ref="C21:P21" si="2">D18-C18</f>
        <v>1.46</v>
      </c>
      <c r="D21" s="12">
        <f t="shared" si="2"/>
        <v>1.4399999999999995</v>
      </c>
      <c r="E21" s="12">
        <f t="shared" si="2"/>
        <v>14.620000000000001</v>
      </c>
      <c r="F21" s="12">
        <f t="shared" si="2"/>
        <v>1.4599999999999973</v>
      </c>
      <c r="G21" s="12">
        <f t="shared" si="2"/>
        <v>1.4600000000000009</v>
      </c>
      <c r="H21" s="12">
        <f t="shared" si="2"/>
        <v>1.4600000000000009</v>
      </c>
      <c r="I21" s="12">
        <f t="shared" si="2"/>
        <v>14.600000000000001</v>
      </c>
      <c r="J21" s="12">
        <f t="shared" si="2"/>
        <v>1.4600000000000009</v>
      </c>
      <c r="K21" s="12">
        <f t="shared" si="2"/>
        <v>1.4599999999999937</v>
      </c>
      <c r="L21" s="12">
        <f t="shared" si="2"/>
        <v>1.4600000000000009</v>
      </c>
      <c r="M21" s="12">
        <f t="shared" si="2"/>
        <v>14.600000000000001</v>
      </c>
      <c r="N21" s="12">
        <f t="shared" si="2"/>
        <v>1.4600000000000009</v>
      </c>
      <c r="O21" s="12">
        <f t="shared" si="2"/>
        <v>1.4600000000000009</v>
      </c>
      <c r="P21" s="12">
        <f t="shared" si="2"/>
        <v>1.4600000000000009</v>
      </c>
      <c r="Q21" s="12">
        <v>1.46</v>
      </c>
      <c r="S21">
        <f>(S20/T19)*100</f>
        <v>7.390231242140044</v>
      </c>
      <c r="T21" t="s">
        <v>59</v>
      </c>
    </row>
    <row r="22" spans="1:21" x14ac:dyDescent="0.3">
      <c r="A22" s="45" t="s">
        <v>51</v>
      </c>
      <c r="B22" s="12">
        <f>B20*B21</f>
        <v>2.3448398632478626E-5</v>
      </c>
      <c r="C22" s="12">
        <f>C20*C21</f>
        <v>2.3349522599540041E-5</v>
      </c>
      <c r="D22" s="12">
        <f>D20*D21</f>
        <v>2.2928509705835608E-5</v>
      </c>
      <c r="E22" s="12">
        <f>E20*E21</f>
        <v>2.3173714522204018E-4</v>
      </c>
      <c r="F22" s="12">
        <f>F20*F21</f>
        <v>2.177029699714871E-5</v>
      </c>
      <c r="G22" s="12">
        <f t="shared" ref="G22:Q22" si="3">G20*G21</f>
        <v>2.1602852780183492E-5</v>
      </c>
      <c r="H22" s="12">
        <f t="shared" si="3"/>
        <v>2.1427962750757625E-5</v>
      </c>
      <c r="I22" s="12">
        <f t="shared" si="3"/>
        <v>2.1245201022959982E-4</v>
      </c>
      <c r="J22" s="12">
        <f t="shared" si="3"/>
        <v>1.8716430073792275E-5</v>
      </c>
      <c r="K22" s="12">
        <f t="shared" si="3"/>
        <v>1.8403708028372232E-5</v>
      </c>
      <c r="L22" s="12">
        <f t="shared" si="3"/>
        <v>1.8075613659125477E-5</v>
      </c>
      <c r="M22" s="12">
        <f t="shared" si="3"/>
        <v>1.7731440508164637E-4</v>
      </c>
      <c r="N22" s="12">
        <f t="shared" si="3"/>
        <v>1.2516544126572231E-5</v>
      </c>
      <c r="O22" s="12">
        <f t="shared" si="3"/>
        <v>1.1946611184989721E-5</v>
      </c>
      <c r="P22" s="12">
        <f t="shared" si="3"/>
        <v>1.1362823905528065E-5</v>
      </c>
      <c r="Q22" s="12">
        <f t="shared" si="3"/>
        <v>1.0767487064786478E-5</v>
      </c>
    </row>
    <row r="23" spans="1:21" x14ac:dyDescent="0.3">
      <c r="A23" s="45" t="s">
        <v>38</v>
      </c>
      <c r="B23" s="12">
        <v>0</v>
      </c>
      <c r="C23" s="12">
        <f>($B$19-C19)*1000</f>
        <v>2.3448398632478613E-2</v>
      </c>
      <c r="D23" s="12">
        <f>($B$19-D19)*1000</f>
        <v>4.6797921232018626E-2</v>
      </c>
      <c r="E23" s="12">
        <f t="shared" ref="E23:Q23" si="4">($B$19-E19)*1000</f>
        <v>6.9726430937854189E-2</v>
      </c>
      <c r="F23" s="12">
        <f>($B$19-F19)*1000</f>
        <v>0.30146357615989439</v>
      </c>
      <c r="G23" s="12">
        <f t="shared" si="4"/>
        <v>0.32323387315704311</v>
      </c>
      <c r="H23" s="12">
        <f t="shared" si="4"/>
        <v>0.34483672593722664</v>
      </c>
      <c r="I23" s="12">
        <f t="shared" si="4"/>
        <v>0.36626468868798429</v>
      </c>
      <c r="J23" s="12">
        <f t="shared" si="4"/>
        <v>0.57871669891758415</v>
      </c>
      <c r="K23" s="12">
        <f t="shared" si="4"/>
        <v>0.59743312899137646</v>
      </c>
      <c r="L23" s="12">
        <f t="shared" si="4"/>
        <v>0.61583683701974867</v>
      </c>
      <c r="M23" s="12">
        <f t="shared" si="4"/>
        <v>0.63391245067887414</v>
      </c>
      <c r="N23" s="12">
        <f t="shared" si="4"/>
        <v>0.81122685576052045</v>
      </c>
      <c r="O23" s="12">
        <f t="shared" si="4"/>
        <v>0.82374339988709266</v>
      </c>
      <c r="P23" s="12">
        <f t="shared" si="4"/>
        <v>0.83569001107208241</v>
      </c>
      <c r="Q23" s="12">
        <f t="shared" si="4"/>
        <v>0.84705283497761052</v>
      </c>
      <c r="R23" s="51"/>
    </row>
    <row r="25" spans="1:21" x14ac:dyDescent="0.3">
      <c r="A25" s="45" t="s">
        <v>54</v>
      </c>
      <c r="B25" s="12">
        <f>SQRT((B23-B4)^2)</f>
        <v>0</v>
      </c>
      <c r="C25" s="12">
        <f t="shared" ref="C25:Q25" si="5">SQRT((C23-C4)^2)</f>
        <v>1.5642899697760407E-3</v>
      </c>
      <c r="D25" s="12">
        <f t="shared" si="5"/>
        <v>1.4572201283318605E-2</v>
      </c>
      <c r="E25" s="12">
        <f t="shared" si="5"/>
        <v>2.8345735797103082E-2</v>
      </c>
      <c r="F25" s="12">
        <f t="shared" si="5"/>
        <v>0.13863404498478785</v>
      </c>
      <c r="G25" s="12">
        <f t="shared" si="5"/>
        <v>0.15308502546359942</v>
      </c>
      <c r="H25" s="12">
        <f t="shared" si="5"/>
        <v>0.16607310747441267</v>
      </c>
      <c r="I25" s="12">
        <f t="shared" si="5"/>
        <v>0.17856243589304177</v>
      </c>
      <c r="J25" s="12">
        <f t="shared" si="5"/>
        <v>0.29417924085791547</v>
      </c>
      <c r="K25" s="12">
        <f t="shared" si="5"/>
        <v>0.30350362761171767</v>
      </c>
      <c r="L25" s="12">
        <f t="shared" si="5"/>
        <v>0.31413461013389116</v>
      </c>
      <c r="M25" s="12">
        <f t="shared" si="5"/>
        <v>0.32527954354998945</v>
      </c>
      <c r="N25" s="12">
        <f t="shared" si="5"/>
        <v>0.41871328587724094</v>
      </c>
      <c r="O25" s="12">
        <f t="shared" si="5"/>
        <v>0.42293892279720113</v>
      </c>
      <c r="P25" s="12">
        <f t="shared" si="5"/>
        <v>0.42873212628978347</v>
      </c>
      <c r="Q25" s="12">
        <f t="shared" si="5"/>
        <v>0.43141540671338952</v>
      </c>
      <c r="R25" s="56">
        <f>SUM(B25:Q25)</f>
        <v>3.6197336046971684</v>
      </c>
    </row>
    <row r="49" spans="1:18" x14ac:dyDescent="0.3">
      <c r="A49" s="62" t="s">
        <v>53</v>
      </c>
      <c r="B49" s="62"/>
      <c r="C49" s="62"/>
    </row>
    <row r="50" spans="1:18" x14ac:dyDescent="0.3">
      <c r="A50" s="64" t="s">
        <v>66</v>
      </c>
      <c r="B50" s="65">
        <v>2.0000000000000001E-4</v>
      </c>
      <c r="C50" s="68" t="s">
        <v>69</v>
      </c>
    </row>
    <row r="51" spans="1:18" x14ac:dyDescent="0.3">
      <c r="A51" s="30" t="s">
        <v>68</v>
      </c>
      <c r="B51" s="8" t="s">
        <v>62</v>
      </c>
      <c r="C51" s="8" t="s">
        <v>63</v>
      </c>
      <c r="D51" s="12" t="s">
        <v>64</v>
      </c>
      <c r="E51" s="12" t="s">
        <v>65</v>
      </c>
      <c r="F51" s="63" t="s">
        <v>60</v>
      </c>
    </row>
    <row r="52" spans="1:18" x14ac:dyDescent="0.3">
      <c r="A52" s="66" t="s">
        <v>67</v>
      </c>
      <c r="B52" s="67">
        <v>1.1492186918832463</v>
      </c>
      <c r="C52" s="12">
        <v>0.79833236689976439</v>
      </c>
      <c r="D52" s="12">
        <v>0.68865699653339341</v>
      </c>
      <c r="E52" s="12">
        <v>0.62142158560182725</v>
      </c>
      <c r="F52" s="36" t="s">
        <v>61</v>
      </c>
    </row>
    <row r="54" spans="1:18" x14ac:dyDescent="0.3">
      <c r="A54" s="49" t="s">
        <v>70</v>
      </c>
      <c r="B54" s="50"/>
      <c r="C54" s="50"/>
      <c r="D54" s="50"/>
      <c r="E54" s="50"/>
    </row>
    <row r="55" spans="1:18" x14ac:dyDescent="0.3">
      <c r="A55" s="45" t="s">
        <v>37</v>
      </c>
      <c r="B55" s="12">
        <v>0</v>
      </c>
      <c r="C55" s="12">
        <v>1.46</v>
      </c>
      <c r="D55" s="12">
        <v>2.92</v>
      </c>
      <c r="E55" s="12">
        <v>4.3599999999999994</v>
      </c>
      <c r="F55" s="12">
        <v>18.98</v>
      </c>
      <c r="G55" s="12">
        <v>20.439999999999998</v>
      </c>
      <c r="H55" s="12">
        <v>21.9</v>
      </c>
      <c r="I55" s="12">
        <v>23.36</v>
      </c>
      <c r="J55" s="12">
        <v>37.96</v>
      </c>
      <c r="K55" s="12">
        <v>39.42</v>
      </c>
      <c r="L55" s="12">
        <v>40.879999999999995</v>
      </c>
      <c r="M55" s="12">
        <v>42.339999999999996</v>
      </c>
      <c r="N55" s="12">
        <v>56.94</v>
      </c>
      <c r="O55" s="12">
        <v>58.4</v>
      </c>
      <c r="P55" s="12">
        <v>59.86</v>
      </c>
      <c r="Q55" s="12">
        <v>61.32</v>
      </c>
    </row>
    <row r="56" spans="1:18" x14ac:dyDescent="0.3">
      <c r="A56" s="45" t="s">
        <v>48</v>
      </c>
      <c r="B56" s="12">
        <v>9.6999999999999994E-4</v>
      </c>
      <c r="C56" s="12">
        <f>B56-B59</f>
        <v>9.5386386945917718E-4</v>
      </c>
      <c r="D56" s="12">
        <f t="shared" ref="D56:M56" si="6">C56-C59</f>
        <v>9.3777426564338353E-4</v>
      </c>
      <c r="E56" s="12">
        <f>D56-D59</f>
        <v>9.2195212041444206E-4</v>
      </c>
      <c r="F56" s="12">
        <f t="shared" si="6"/>
        <v>8.1069619693462211E-4</v>
      </c>
      <c r="G56" s="12">
        <f t="shared" si="6"/>
        <v>7.9985113375355161E-4</v>
      </c>
      <c r="H56" s="12">
        <f t="shared" si="6"/>
        <v>7.8903509079174836E-4</v>
      </c>
      <c r="I56" s="12">
        <f t="shared" si="6"/>
        <v>7.7824862427261184E-4</v>
      </c>
      <c r="J56" s="12">
        <f t="shared" si="6"/>
        <v>6.8546252337507501E-4</v>
      </c>
      <c r="K56" s="12">
        <f t="shared" si="6"/>
        <v>6.7643377936291225E-4</v>
      </c>
      <c r="L56" s="12">
        <f t="shared" si="6"/>
        <v>6.6743217360158377E-4</v>
      </c>
      <c r="M56" s="12">
        <f t="shared" si="6"/>
        <v>6.5845818691715027E-4</v>
      </c>
      <c r="N56" s="12">
        <f>M56-M59</f>
        <v>5.7773352499550842E-4</v>
      </c>
      <c r="O56" s="12">
        <f>N56-N59</f>
        <v>5.6991555625820892E-4</v>
      </c>
      <c r="P56" s="12">
        <f>O56-O59</f>
        <v>5.6212506944844343E-4</v>
      </c>
      <c r="Q56" s="12">
        <f>P56-P59</f>
        <v>5.5436252881724485E-4</v>
      </c>
    </row>
    <row r="57" spans="1:18" x14ac:dyDescent="0.3">
      <c r="A57" s="45" t="s">
        <v>46</v>
      </c>
      <c r="B57" s="12">
        <f>($B$12*$B$52*B56)/($B$50+B56)</f>
        <v>1.1052144206042979E-5</v>
      </c>
      <c r="C57" s="12">
        <f>($B$12*$B$52*C56)/($B$50+C56)</f>
        <v>1.1020276586160026E-5</v>
      </c>
      <c r="D57" s="12">
        <f>($B$12*$B$52*D56)/($B$50+D56)</f>
        <v>1.0987600853431595E-5</v>
      </c>
      <c r="E57" s="12">
        <f>($B$12*$C$52*E56)/($B$50+E56)</f>
        <v>7.6098442872653862E-6</v>
      </c>
      <c r="F57" s="12">
        <f>($B$12*$C$52*F56)/($B$50+F56)</f>
        <v>7.4281254664866475E-6</v>
      </c>
      <c r="G57" s="12">
        <f>($B$12*$C$52*G56)/($B$50+G56)</f>
        <v>7.4082486039748509E-6</v>
      </c>
      <c r="H57" s="12">
        <f>($B$12*$C$52*H56)/($B$50+H56)</f>
        <v>7.3879907665318884E-6</v>
      </c>
      <c r="I57" s="12">
        <f>($B$12*$D$52*I56)/($B$50+I56)</f>
        <v>6.3552123902422506E-6</v>
      </c>
      <c r="J57" s="12">
        <f>($B$12*$D$52*J56)/($B$50+J56)</f>
        <v>6.1840712412073469E-6</v>
      </c>
      <c r="K57" s="12">
        <f>($B$12*$D$52*K56)/($B$50+K56)</f>
        <v>6.1654833981702289E-6</v>
      </c>
      <c r="L57" s="12">
        <f>($B$12*$D$52*L56)/($B$50+L56)</f>
        <v>6.1465662222146909E-6</v>
      </c>
      <c r="M57" s="12">
        <f>($B$12*$E$52*M56)/($B$50+M56)</f>
        <v>5.5290864329891668E-6</v>
      </c>
      <c r="N57" s="12">
        <f>($B$12*$E$52*N56)/($B$50+N56)</f>
        <v>5.354773107739358E-6</v>
      </c>
      <c r="O57" s="12">
        <f>($B$12*$E$52*O56)/($B$50+O56)</f>
        <v>5.3359498697023906E-6</v>
      </c>
      <c r="P57" s="12">
        <f>($B$12*$E$52*P56)/($B$50+P56)</f>
        <v>5.3168086515058648E-6</v>
      </c>
      <c r="Q57" s="12">
        <f>($B$12*$E$52*Q56)/($B$50+Q56)</f>
        <v>5.2973428697119012E-6</v>
      </c>
    </row>
    <row r="58" spans="1:18" x14ac:dyDescent="0.3">
      <c r="A58" s="45" t="s">
        <v>50</v>
      </c>
      <c r="B58" s="12">
        <f>C55-B55</f>
        <v>1.46</v>
      </c>
      <c r="C58" s="12">
        <f t="shared" ref="C58:P58" si="7">D55-C55</f>
        <v>1.46</v>
      </c>
      <c r="D58" s="12">
        <f t="shared" si="7"/>
        <v>1.4399999999999995</v>
      </c>
      <c r="E58" s="12">
        <f t="shared" si="7"/>
        <v>14.620000000000001</v>
      </c>
      <c r="F58" s="12">
        <f t="shared" si="7"/>
        <v>1.4599999999999973</v>
      </c>
      <c r="G58" s="12">
        <f t="shared" si="7"/>
        <v>1.4600000000000009</v>
      </c>
      <c r="H58" s="12">
        <f t="shared" si="7"/>
        <v>1.4600000000000009</v>
      </c>
      <c r="I58" s="12">
        <f t="shared" si="7"/>
        <v>14.600000000000001</v>
      </c>
      <c r="J58" s="12">
        <f t="shared" si="7"/>
        <v>1.4600000000000009</v>
      </c>
      <c r="K58" s="12">
        <f t="shared" si="7"/>
        <v>1.4599999999999937</v>
      </c>
      <c r="L58" s="12">
        <f t="shared" si="7"/>
        <v>1.4600000000000009</v>
      </c>
      <c r="M58" s="12">
        <f t="shared" si="7"/>
        <v>14.600000000000001</v>
      </c>
      <c r="N58" s="12">
        <f t="shared" si="7"/>
        <v>1.4600000000000009</v>
      </c>
      <c r="O58" s="12">
        <f t="shared" si="7"/>
        <v>1.4600000000000009</v>
      </c>
      <c r="P58" s="12">
        <f t="shared" si="7"/>
        <v>1.4600000000000009</v>
      </c>
      <c r="Q58" s="12">
        <f>1.46</f>
        <v>1.46</v>
      </c>
    </row>
    <row r="59" spans="1:18" x14ac:dyDescent="0.3">
      <c r="A59" s="45" t="s">
        <v>51</v>
      </c>
      <c r="B59" s="12">
        <f>B57*B58</f>
        <v>1.6136130540822749E-5</v>
      </c>
      <c r="C59" s="12">
        <f>C57*C58</f>
        <v>1.6089603815793638E-5</v>
      </c>
      <c r="D59" s="12">
        <f>D57*D58</f>
        <v>1.5822145228941491E-5</v>
      </c>
      <c r="E59" s="12">
        <f t="shared" ref="E59" si="8">E57*E58</f>
        <v>1.1125592347981995E-4</v>
      </c>
      <c r="F59" s="12">
        <f>F57*F58</f>
        <v>1.0845063181070485E-5</v>
      </c>
      <c r="G59" s="12">
        <f t="shared" ref="G59" si="9">G57*G58</f>
        <v>1.0816042961803289E-5</v>
      </c>
      <c r="H59" s="12">
        <f t="shared" ref="H59" si="10">H57*H58</f>
        <v>1.0786466519136564E-5</v>
      </c>
      <c r="I59" s="12">
        <f t="shared" ref="I59" si="11">I57*I58</f>
        <v>9.2786100897536869E-5</v>
      </c>
      <c r="J59" s="12">
        <f t="shared" ref="J59" si="12">J57*J58</f>
        <v>9.0287440121627316E-6</v>
      </c>
      <c r="K59" s="12">
        <f t="shared" ref="K59" si="13">K57*K58</f>
        <v>9.0016057613284959E-6</v>
      </c>
      <c r="L59" s="12">
        <f t="shared" ref="L59" si="14">L57*L58</f>
        <v>8.9739866844334542E-6</v>
      </c>
      <c r="M59" s="12">
        <f t="shared" ref="M59" si="15">M57*M58</f>
        <v>8.0724661921641842E-5</v>
      </c>
      <c r="N59" s="12">
        <f t="shared" ref="N59" si="16">N57*N58</f>
        <v>7.8179687372994676E-6</v>
      </c>
      <c r="O59" s="12">
        <f t="shared" ref="O59" si="17">O57*O58</f>
        <v>7.7904868097654943E-6</v>
      </c>
      <c r="P59" s="12">
        <f t="shared" ref="P59" si="18">P57*P58</f>
        <v>7.7625406311985677E-6</v>
      </c>
      <c r="Q59" s="12">
        <f>Q57*Q58</f>
        <v>7.7341205897793756E-6</v>
      </c>
    </row>
    <row r="60" spans="1:18" x14ac:dyDescent="0.3">
      <c r="A60" s="45" t="s">
        <v>38</v>
      </c>
      <c r="B60" s="12">
        <v>0</v>
      </c>
      <c r="C60" s="12">
        <f>($B$56-C56)*1000</f>
        <v>1.6136130540822764E-2</v>
      </c>
      <c r="D60" s="12">
        <f>($B$56-D56)*1000</f>
        <v>3.2225734356616409E-2</v>
      </c>
      <c r="E60" s="12">
        <f>($B$56-E56)*1000</f>
        <v>4.8047879585557882E-2</v>
      </c>
      <c r="F60" s="12">
        <f>($B$56-F56)*1000</f>
        <v>0.15930380306537784</v>
      </c>
      <c r="G60" s="12">
        <f>($B$56-G56)*1000</f>
        <v>0.17014886624644834</v>
      </c>
      <c r="H60" s="12">
        <f>($B$56-H56)*1000</f>
        <v>0.18096490920825159</v>
      </c>
      <c r="I60" s="12">
        <f>($B$56-I56)*1000</f>
        <v>0.1917513757273881</v>
      </c>
      <c r="J60" s="12">
        <f>($B$56-J56)*1000</f>
        <v>0.2845374766249249</v>
      </c>
      <c r="K60" s="12">
        <f>($B$56-K56)*1000</f>
        <v>0.2935662206370877</v>
      </c>
      <c r="L60" s="12">
        <f>($B$56-L56)*1000</f>
        <v>0.30256782639841617</v>
      </c>
      <c r="M60" s="12">
        <f>($B$56-M56)*1000</f>
        <v>0.31154181308284967</v>
      </c>
      <c r="N60" s="12">
        <f>($B$56-N56)*1000</f>
        <v>0.39226647500449152</v>
      </c>
      <c r="O60" s="12">
        <f>($B$56-O56)*1000</f>
        <v>0.40008444374179103</v>
      </c>
      <c r="P60" s="12">
        <f>($B$56-P56)*1000</f>
        <v>0.40787493055155649</v>
      </c>
      <c r="Q60" s="12">
        <f>($B$56-Q56)*1000</f>
        <v>0.41563747118275507</v>
      </c>
      <c r="R60" s="51"/>
    </row>
    <row r="62" spans="1:18" x14ac:dyDescent="0.3">
      <c r="A62" s="45" t="s">
        <v>54</v>
      </c>
      <c r="B62" s="12">
        <f>SQRT((B60-B4)^2)</f>
        <v>0</v>
      </c>
      <c r="C62" s="12">
        <f>SQRT((C60-C4)^2)</f>
        <v>5.7479781218798091E-3</v>
      </c>
      <c r="D62" s="12">
        <f>SQRT((D60-D4)^2)</f>
        <v>1.4407916387737529E-8</v>
      </c>
      <c r="E62" s="12">
        <f>SQRT((E60-E4)^2)</f>
        <v>6.6671844448067744E-3</v>
      </c>
      <c r="F62" s="12">
        <f>SQRT((F60-F4)^2)</f>
        <v>3.5257281097287041E-3</v>
      </c>
      <c r="G62" s="12">
        <f>SQRT((G60-G4)^2)</f>
        <v>1.8553004660359917E-8</v>
      </c>
      <c r="H62" s="12">
        <f>SQRT((H60-H4)^2)</f>
        <v>2.2012907454376229E-3</v>
      </c>
      <c r="I62" s="12">
        <f>SQRT((I60-I4)^2)</f>
        <v>4.0491229324455813E-3</v>
      </c>
      <c r="J62" s="12">
        <f>SQRT((J60-J4)^2)</f>
        <v>1.8565256221236837E-8</v>
      </c>
      <c r="K62" s="12">
        <f>SQRT((K60-K4)^2)</f>
        <v>3.6328074257108156E-4</v>
      </c>
      <c r="L62" s="12">
        <f>SQRT((L60-L4)^2)</f>
        <v>8.6559951255865686E-4</v>
      </c>
      <c r="M62" s="12">
        <f>SQRT((M60-M4)^2)</f>
        <v>2.9089059539649798E-3</v>
      </c>
      <c r="N62" s="12">
        <f>SQRT((N60-N4)^2)</f>
        <v>2.4709487878799008E-4</v>
      </c>
      <c r="O62" s="12">
        <f>SQRT((O60-O4)^2)</f>
        <v>7.2003334810050168E-4</v>
      </c>
      <c r="P62" s="12">
        <f>SQRT((P60-P4)^2)</f>
        <v>9.1704576925755177E-4</v>
      </c>
      <c r="Q62" s="12">
        <f>SQRT((Q60-Q4)^2)</f>
        <v>4.2918534060021329E-8</v>
      </c>
      <c r="R62" s="56">
        <f>SUM(B62:Q62)</f>
        <v>2.8213359004250583E-2</v>
      </c>
    </row>
    <row r="63" spans="1:18" x14ac:dyDescent="0.3">
      <c r="D63" s="12">
        <f>SUM(B62:D62)</f>
        <v>5.7479925297961969E-3</v>
      </c>
      <c r="H63" s="12">
        <f>SUM(E62:H62)</f>
        <v>1.2394221852977762E-2</v>
      </c>
      <c r="L63" s="12">
        <f>SUM(I62:L62)</f>
        <v>5.278021752831541E-3</v>
      </c>
      <c r="Q63" s="12">
        <f>SUM(M62:Q62)</f>
        <v>4.7931228686450833E-3</v>
      </c>
    </row>
    <row r="65" spans="1:11" x14ac:dyDescent="0.3">
      <c r="A65" s="49" t="s">
        <v>71</v>
      </c>
      <c r="B65" s="50"/>
      <c r="C65" s="50"/>
      <c r="D65" s="50"/>
      <c r="E65" s="50"/>
    </row>
    <row r="66" spans="1:11" x14ac:dyDescent="0.3">
      <c r="A66" s="45" t="s">
        <v>48</v>
      </c>
      <c r="B66" s="12"/>
      <c r="C66" s="12">
        <v>9.377742789830933E-4</v>
      </c>
      <c r="D66" s="12">
        <v>7.8903511011994398E-4</v>
      </c>
      <c r="E66" s="12">
        <v>6.6743219229364295E-4</v>
      </c>
      <c r="F66" s="12">
        <v>5.5436254672694342E-4</v>
      </c>
    </row>
    <row r="67" spans="1:11" x14ac:dyDescent="0.3">
      <c r="A67" s="45" t="s">
        <v>72</v>
      </c>
      <c r="B67" s="12"/>
      <c r="C67" s="12">
        <f>C66*1000</f>
        <v>0.93777427898309329</v>
      </c>
      <c r="D67" s="12">
        <f t="shared" ref="D67:F67" si="19">D66*1000</f>
        <v>0.78903511011994398</v>
      </c>
      <c r="E67" s="12">
        <f t="shared" si="19"/>
        <v>0.66743219229364292</v>
      </c>
      <c r="F67" s="12">
        <f t="shared" si="19"/>
        <v>0.55436254672694341</v>
      </c>
    </row>
    <row r="68" spans="1:11" x14ac:dyDescent="0.3">
      <c r="A68" s="45" t="s">
        <v>1</v>
      </c>
      <c r="B68" s="12"/>
      <c r="C68" s="10">
        <v>1.1492182154714601</v>
      </c>
      <c r="D68" s="12">
        <v>0.79833236689976395</v>
      </c>
      <c r="E68" s="12">
        <v>0.68865699653339341</v>
      </c>
      <c r="F68" s="12">
        <v>0.62142158560182725</v>
      </c>
    </row>
    <row r="69" spans="1:11" ht="15" thickBot="1" x14ac:dyDescent="0.35"/>
    <row r="70" spans="1:11" x14ac:dyDescent="0.3">
      <c r="G70" s="1" t="s">
        <v>73</v>
      </c>
      <c r="H70" s="2"/>
      <c r="I70" s="2"/>
      <c r="J70" s="2"/>
      <c r="K70" s="3"/>
    </row>
    <row r="71" spans="1:11" ht="16.8" thickBot="1" x14ac:dyDescent="0.35">
      <c r="G71" s="69" t="s">
        <v>74</v>
      </c>
      <c r="H71" s="70"/>
      <c r="I71" s="70"/>
      <c r="J71" s="5"/>
      <c r="K71" s="6"/>
    </row>
    <row r="87" spans="1:7" x14ac:dyDescent="0.3">
      <c r="A87" s="61" t="s">
        <v>76</v>
      </c>
      <c r="B87" s="61"/>
      <c r="C87" s="61"/>
      <c r="D87" s="61"/>
      <c r="E87" s="61"/>
      <c r="F87" s="61"/>
    </row>
    <row r="88" spans="1:7" x14ac:dyDescent="0.3">
      <c r="A88" s="30" t="s">
        <v>37</v>
      </c>
      <c r="B88" s="12">
        <v>0</v>
      </c>
      <c r="C88" s="12">
        <v>59.35</v>
      </c>
      <c r="F88">
        <f>P6-C89</f>
        <v>8.0810866752759392E-2</v>
      </c>
      <c r="G88" t="s">
        <v>77</v>
      </c>
    </row>
    <row r="89" spans="1:7" x14ac:dyDescent="0.3">
      <c r="A89" s="30" t="s">
        <v>38</v>
      </c>
      <c r="B89" s="12">
        <v>0</v>
      </c>
      <c r="C89" s="12">
        <v>0.32399753999999997</v>
      </c>
      <c r="D89" s="36" t="s">
        <v>43</v>
      </c>
      <c r="F89">
        <f>F88/C89*100</f>
        <v>24.941814914014284</v>
      </c>
    </row>
  </sheetData>
  <mergeCells count="5">
    <mergeCell ref="A2:F2"/>
    <mergeCell ref="A6:F6"/>
    <mergeCell ref="A11:C11"/>
    <mergeCell ref="A49:C49"/>
    <mergeCell ref="A87:F87"/>
  </mergeCells>
  <dataValidations disablePrompts="1" count="1">
    <dataValidation type="decimal" allowBlank="1" showInputMessage="1" showErrorMessage="1" sqref="B12" xr:uid="{1F03A24D-E0C2-4072-8A53-436DB9A488A0}">
      <formula1>0</formula1>
      <formula2>10000000</formula2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DWSIM_Simulationen</vt:lpstr>
      <vt:lpstr>Vergleich_DWSIM_EnzymeML_MM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Elnaz Abbaspour</dc:creator>
  <cp:lastModifiedBy>Elnaz Abbaspour</cp:lastModifiedBy>
  <dcterms:created xsi:type="dcterms:W3CDTF">2023-06-02T19:04:35Z</dcterms:created>
  <dcterms:modified xsi:type="dcterms:W3CDTF">2023-06-05T15:50:44Z</dcterms:modified>
</cp:coreProperties>
</file>