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A4F358AD-06A6-40B5-AB58-20CFEA563BEB}"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s="1"/>
  <c r="A4" i="10"/>
  <c r="A6" i="10"/>
  <c r="A7" i="10"/>
  <c r="A8" i="10"/>
  <c r="J30" i="6"/>
  <c r="I30" i="6"/>
  <c r="A9" i="10" l="1"/>
  <c r="N30" i="6"/>
  <c r="O30" i="6" s="1"/>
  <c r="I37" i="4"/>
  <c r="C5" i="1"/>
  <c r="C6" i="1"/>
  <c r="C7" i="1"/>
  <c r="C4" i="1"/>
  <c r="C12" i="8"/>
  <c r="R12" i="8"/>
  <c r="N16" i="8"/>
  <c r="B34" i="8"/>
  <c r="C5" i="8"/>
  <c r="N5" i="8"/>
  <c r="C13" i="8"/>
  <c r="I31" i="8"/>
  <c r="B43" i="8"/>
  <c r="C24" i="8"/>
  <c r="C15" i="8"/>
  <c r="N6" i="8"/>
  <c r="B41" i="8"/>
  <c r="N8" i="8"/>
  <c r="S39" i="8"/>
  <c r="C8" i="8"/>
  <c r="B33" i="8"/>
  <c r="I37" i="8"/>
  <c r="N4" i="8"/>
  <c r="F1" i="8"/>
  <c r="B35" i="8"/>
  <c r="B36" i="8"/>
  <c r="N7" i="8"/>
  <c r="N9" i="8"/>
  <c r="N10" i="8"/>
  <c r="R11" i="8" l="1"/>
  <c r="P37" i="8"/>
  <c r="M37" i="8"/>
  <c r="R4" i="8"/>
  <c r="C21" i="8"/>
  <c r="C22" i="8" s="1"/>
  <c r="C14" i="8"/>
  <c r="P40" i="8"/>
  <c r="C9" i="8"/>
  <c r="S37" i="8"/>
  <c r="P36" i="8"/>
  <c r="C7" i="8"/>
  <c r="C6" i="8"/>
  <c r="J37" i="6"/>
  <c r="J32" i="6"/>
  <c r="J31" i="6"/>
  <c r="R8" i="8"/>
  <c r="C4" i="8"/>
  <c r="R5"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<sst xmlns="http://schemas.openxmlformats.org/spreadsheetml/2006/main" count="1050" uniqueCount="546">
  <si>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</si>
  <si>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</si>
  <si>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</si>
  <si>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</si>
  <si>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</si>
  <si>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</si>
  <si>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</si>
  <si>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</si>
  <si>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</si>
  <si>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</si>
  <si>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</si>
  <si>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</si>
  <si>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</si>
  <si>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</si>
  <si>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</si>
  <si>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</si>
  <si>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</si>
  <si>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</si>
  <si>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</si>
  <si>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</si>
  <si>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</si>
  <si>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</si>
  <si>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</si>
  <si>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</si>
  <si>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</si>
  <si>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</si>
  <si>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</si>
  <si>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</si>
  <si>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</si>
  <si>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</si>
  <si>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</si>
  <si>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</si>
  <si>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</si>
  <si>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</si>
  <si>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</si>
  <si>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</si>
  <si>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</si>
  <si>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</si>
  <si>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</si>
  <si>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</si>
  <si>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</si>
  <si>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</si>
  <si>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</si>
  <si>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</si>
  <si>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</si>
  <si>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</si>
  <si>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</si>
  <si>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</si>
  <si>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</si>
  <si>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</si>
  <si>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</si>
  <si>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</si>
  <si>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</si>
  <si>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</si>
  <si>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</si>
  <si>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</si>
  <si>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</si>
  <si>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</si>
  <si>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</si>
  <si>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</si>
  <si>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</si>
  <si>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</si>
  <si>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</si>
  <si>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</si>
  <si>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</si>
  <si>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</si>
  <si>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</si>
  <si>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</si>
  <si>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</si>
  <si>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</si>
  <si>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</si>
  <si>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</si>
  <si>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</si>
  <si>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</si>
  <si>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</si>
  <si>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</si>
  <si>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</si>
  <si>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</si>
  <si>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</si>
  <si>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</si>
  <si>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</si>
  <si>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</si>
  <si>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</si>
  <si>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</si>
  <si>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</si>
  <si>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</si>
  <si>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</si>
  <si>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</si>
  <si>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</si>
  <si>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</si>
  <si>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</si>
  <si>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</si>
  <si>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</si>
  <si>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</si>
  <si>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</si>
  <si>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</si>
  <si>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</si>
  <si>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</si>
  <si>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</si>
  <si>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</si>
  <si>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</si>
  <si>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</si>
  <si>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</si>
  <si>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</si>
  <si>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</si>
  <si>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</si>
  <si>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</si>
  <si>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</si>
  <si>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</si>
  <si>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</si>
  <si>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</si>
  <si>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</si>
  <si>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</si>
  <si>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</si>
  <si>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</si>
  <si>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</si>
  <si>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</si>
  <si>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</si>
  <si>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</si>
  <si>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</si>
  <si>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</si>
  <si>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</si>
  <si>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</si>
  <si>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</si>
  <si>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</si>
  <si>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</si>
  <si>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</si>
  <si>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</si>
  <si>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</si>
  <si>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</si>
  <si>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</si>
  <si>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</si>
  <si>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</si>
  <si>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</si>
  <si>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</si>
  <si>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</si>
  <si>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</si>
  <si>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</si>
  <si>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</si>
  <si>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</si>
  <si>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</si>
  <si>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</si>
  <si>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</si>
  <si>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</si>
  <si>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</si>
  <si>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</si>
  <si>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</si>
  <si>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</si>
  <si>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</si>
  <si>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</si>
  <si>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</si>
  <si>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</si>
  <si>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</si>
  <si>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</si>
  <si>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</si>
  <si>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</si>
  <si>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</si>
  <si>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</si>
  <si>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</si>
  <si>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</si>
  <si>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</si>
  <si>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</si>
  <si>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</si>
  <si>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</si>
  <si>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</si>
  <si>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</si>
  <si>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</si>
  <si>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</si>
  <si>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</si>
  <si>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</si>
  <si>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</si>
  <si>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</si>
  <si>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</si>
  <si>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</si>
  <si>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</si>
  <si>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</si>
  <si>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</si>
  <si>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</si>
  <si>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</si>
  <si>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</si>
  <si>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</si>
  <si>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</si>
  <si>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</si>
  <si>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</si>
  <si>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</si>
  <si>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</si>
  <si>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</si>
  <si>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</si>
  <si>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</si>
  <si>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</si>
  <si>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</si>
  <si>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</si>
  <si>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</si>
  <si>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</si>
  <si>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</si>
  <si>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</si>
  <si>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</si>
  <si>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</si>
  <si>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</si>
  <si>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</si>
  <si>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</si>
  <si>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</si>
  <si>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</si>
  <si>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</si>
  <si>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</si>
  <si>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</si>
  <si>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</si>
  <si>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</si>
  <si>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</si>
  <si>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</si>
  <si>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</si>
  <si>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</si>
  <si>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</si>
  <si>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</si>
  <si>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</si>
  <si>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</si>
  <si>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</si>
  <si>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</si>
  <si>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</si>
  <si>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</si>
  <si>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</si>
  <si>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</si>
  <si>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</si>
  <si>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</si>
  <si>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</si>
  <si>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</si>
  <si>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</si>
  <si>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</si>
  <si>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</si>
  <si>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</si>
  <si>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</si>
  <si>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</si>
  <si>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</si>
  <si>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</si>
  <si>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</si>
  <si>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</si>
  <si>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</si>
  <si>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</si>
  <si>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</si>
  <si>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</si>
  <si>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</si>
  <si>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</si>
  <si>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</si>
  <si>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</si>
  <si>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</si>
  <si>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</si>
  <si>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</si>
  <si>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</si>
  <si>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</si>
  <si>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</si>
  <si>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</si>
  <si>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</si>
  <si>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</si>
  <si>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</si>
  <si>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</si>
  <si>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</si>
  <si>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</si>
  <si>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</si>
  <si>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</si>
  <si>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</si>
  <si>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</si>
  <si>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</si>
  <si>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</si>
  <si>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</si>
  <si>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</si>
  <si>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</si>
  <si>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</si>
  <si>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</si>
  <si>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</si>
  <si>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</si>
  <si>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</si>
  <si>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</si>
  <si>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</si>
  <si>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</si>
  <si>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</si>
  <si>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</si>
  <si>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</si>
  <si>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</si>
  <si>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</si>
  <si>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</si>
  <si>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</si>
  <si>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</si>
  <si>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</si>
  <si>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</si>
  <si>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</si>
  <si>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</si>
  <si>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</si>
  <si>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</si>
  <si>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</si>
  <si>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</si>
  <si>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</si>
  <si>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</si>
  <si>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</si>
  <si>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</si>
  <si>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</si>
  <si>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</si>
  <si>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</si>
  <si>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</si>
  <si>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</si>
  <si>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</si>
  <si>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</si>
  <si>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</si>
  <si>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</si>
  <si>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</si>
  <si>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</si>
  <si>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</si>
  <si>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</si>
  <si>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</si>
  <si>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</si>
  <si>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</si>
  <si>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</si>
  <si>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</si>
  <si>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</si>
  <si>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</si>
  <si>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</si>
  <si>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</si>
  <si>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</si>
  <si>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</si>
  <si>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</si>
  <si>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</si>
  <si>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</si>
  <si>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</si>
  <si>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</si>
  <si>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</si>
  <si>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</si>
  <si>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</si>
  <si>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</si>
  <si>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</si>
  <si>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</si>
  <si>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</si>
  <si>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</si>
  <si>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</si>
  <si>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</si>
  <si>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</si>
  <si>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</si>
  <si>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</si>
  <si>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</si>
  <si>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</si>
  <si>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</si>
  <si>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</si>
  <si>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</si>
  <si>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</si>
  <si>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</si>
  <si>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</si>
  <si>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</si>
  <si>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</si>
  <si>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</si>
  <si>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</si>
  <si>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</si>
  <si>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</si>
  <si>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</si>
  <si>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</si>
  <si>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</si>
  <si>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</si>
  <si>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</si>
  <si>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</si>
  <si>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</si>
  <si>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</si>
  <si>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</si>
  <si>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</si>
  <si>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</si>
  <si>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</si>
  <si>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</si>
  <si>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</si>
  <si>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</si>
  <si>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</si>
  <si>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</si>
  <si>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</si>
  <si>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</si>
  <si>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</si>
  <si>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</si>
  <si>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</si>
  <si>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</si>
  <si>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</si>
  <si>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</si>
  <si>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</si>
  <si>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</si>
  <si>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</si>
  <si>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</si>
  <si>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</si>
  <si>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</si>
  <si>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</si>
  <si>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</si>
  <si>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</si>
  <si>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</si>
  <si>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</si>
  <si>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</si>
  <si>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</si>
  <si>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</si>
  <si>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</si>
  <si>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</si>
  <si>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</si>
  <si>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</si>
  <si>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</si>
  <si>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</si>
  <si>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</si>
  <si>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</si>
  <si>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</si>
  <si>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</si>
  <si>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</si>
  <si>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</si>
  <si>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</si>
  <si>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</si>
  <si>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</si>
  <si>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</si>
  <si>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</si>
  <si>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</si>
  <si>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</si>
  <si>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</si>
  <si>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</si>
  <si>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</si>
  <si>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</si>
  <si>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</si>
  <si>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</si>
  <si>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</si>
  <si>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</si>
  <si>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</si>
  <si>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</si>
  <si>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</si>
  <si>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</si>
  <si>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</si>
  <si>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</si>
  <si>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</si>
  <si>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</si>
  <si>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</si>
  <si>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</si>
  <si>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</si>
  <si>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</si>
  <si>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</si>
  <si>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</si>
  <si>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</si>
  <si>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</si>
  <si>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</si>
  <si>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</si>
  <si>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</si>
  <si>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</si>
  <si>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</si>
  <si>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</si>
  <si>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</si>
  <si>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</si>
  <si>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</si>
  <si>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</si>
  <si>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</si>
  <si>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</si>
  <si>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</si>
  <si>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</si>
  <si>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</si>
  <si>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</si>
  <si>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</si>
  <si>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</si>
  <si>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</si>
  <si>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</si>
  <si>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</si>
  <si>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</si>
  <si>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</si>
  <si>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</si>
  <si>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</si>
  <si>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</si>
  <si>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</si>
  <si>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</si>
  <si>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</si>
  <si>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</si>
  <si>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</si>
  <si>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</si>
  <si>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</si>
  <si>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</si>
  <si>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</si>
  <si>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</si>
  <si>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</si>
  <si>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</si>
  <si>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</si>
  <si>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</si>
  <si>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</si>
  <si>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</si>
  <si>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</si>
  <si>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</si>
  <si>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</si>
  <si>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</si>
  <si>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</si>
  <si>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</si>
  <si>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</si>
  <si>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</si>
  <si>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</si>
  <si>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</si>
  <si>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</si>
  <si>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</si>
  <si>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</si>
  <si>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</si>
  <si>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</si>
  <si>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</si>
  <si>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</si>
  <si>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</si>
  <si>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</si>
  <si>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</si>
  <si>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</si>
  <si>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</si>
  <si>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</si>
  <si>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</si>
  <si>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</si>
  <si>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</si>
  <si>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</si>
  <si>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</si>
  <si>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</si>
  <si>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</si>
  <si>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</si>
  <si>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</si>
  <si>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</si>
  <si>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</si>
  <si>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</si>
  <si>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</si>
  <si>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</si>
  <si>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</si>
  <si>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</si>
  <si>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</si>
  <si>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</si>
  <si>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</si>
  <si>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</si>
  <si>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</si>
  <si>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</si>
  <si>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</si>
  <si>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</si>
  <si>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</si>
  <si>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</si>
  <si>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</si>
  <si>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</si>
  <si>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</si>
  <si>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</si>
  <si>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</si>
  <si>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</si>
  <si>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</si>
  <si>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</si>
  <si>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</si>
  <si>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</si>
  <si>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</si>
  <si>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</si>
  <si>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</si>
  <si>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</si>
  <si>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</si>
  <si>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</si>
  <si>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</si>
  <si>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</si>
  <si>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</si>
  <si>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</si>
  <si>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DOI 10.1007/s11705-016-1563-5</t>
  </si>
  <si>
    <t>15% Ni/Al2O3</t>
  </si>
  <si>
    <t xml:space="preserve">Experiment 16 - CO2 methanation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</si>
</sst>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3" borderId="0" xfId="0" applyFill="1" applyAlignment="1">
      <alignment horizontal="center" vertical="center" wrapText="1"/>
    </xf>
    <xf numFmtId="0" fontId="0" fillId="13" borderId="0" xfId="0" applyFill="1" applyAlignment="1">
      <alignment horizont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18" fillId="15" borderId="35" xfId="3" applyFill="1" applyBorder="1" applyAlignment="1">
      <alignment horizontal="center"/>
    </xf>
    <xf numFmtId="0" fontId="0" fillId="15" borderId="35" xfId="0" applyFill="1" applyBorder="1" applyAlignment="1">
      <alignment horizontal="center"/>
    </xf>
    <xf numFmtId="0" fontId="0" fillId="15" borderId="17" xfId="0" applyFill="1" applyBorder="1" applyAlignment="1">
      <alignment horizont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0" xfId="0" applyNumberFormat="1"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19" xfId="0" applyNumberFormat="1"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xf>
    <xf numFmtId="0" fontId="0" fillId="16" borderId="0" xfId="0" applyFill="1" applyBorder="1" applyAlignment="1">
      <alignment horizontal="center"/>
    </xf>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5" fillId="10" borderId="0" xfId="1" applyAlignment="1">
      <alignment horizontal="center"/>
    </xf>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0" borderId="0" xfId="0" applyFont="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x.doi.org/10.1016/j.jechem.2015.09.004"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12" t="s">
        <v>1</v>
      </c>
      <c r="E1" s="212"/>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7" t="s">
        <v>72</v>
      </c>
      <c r="N15" s="207"/>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7" t="s">
        <v>84</v>
      </c>
      <c r="B19" s="207"/>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7" t="s">
        <v>102</v>
      </c>
      <c r="B26" s="207"/>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8" t="s">
        <v>120</v>
      </c>
      <c r="M33" s="208"/>
      <c r="N33" s="208"/>
      <c r="O33" s="208"/>
      <c r="P33" s="208"/>
      <c r="Q33" s="208"/>
      <c r="R33" s="208"/>
      <c r="S33" s="208"/>
      <c r="T33" s="208"/>
      <c r="U33" s="48" t="s">
        <v>121</v>
      </c>
      <c r="V33" s="209"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0" t="s">
        <v>86</v>
      </c>
      <c r="M34" s="210"/>
      <c r="N34" s="210"/>
      <c r="O34" s="210" t="s">
        <v>126</v>
      </c>
      <c r="P34" s="210"/>
      <c r="Q34" s="210"/>
      <c r="R34" s="211" t="s">
        <v>110</v>
      </c>
      <c r="S34" s="211"/>
      <c r="T34" s="211"/>
      <c r="U34" s="48">
        <v>1000</v>
      </c>
      <c r="V34" s="209"/>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D1:E1"/>
    <mergeCell ref="M15:N15"/>
    <mergeCell ref="A19:B19"/>
    <mergeCell ref="A26:B26"/>
    <mergeCell ref="L33:T33"/>
    <mergeCell ref="V33:V34"/>
    <mergeCell ref="L34:N34"/>
    <mergeCell ref="O34:Q34"/>
    <mergeCell ref="R34:T34"/>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77" t="s">
        <v>543</v>
      </c>
      <c r="E2" s="178"/>
      <c r="F2" s="178"/>
      <c r="G2" s="178"/>
      <c r="H2" s="178"/>
      <c r="I2" s="179"/>
      <c r="J2" s="84"/>
      <c r="K2" s="84"/>
      <c r="L2" s="84"/>
      <c r="M2" s="84"/>
      <c r="N2" s="84"/>
      <c r="O2" s="84"/>
      <c r="P2" s="84"/>
    </row>
    <row r="3" spans="1:16" s="131" customFormat="1" x14ac:dyDescent="0.35">
      <c r="A3" s="84"/>
      <c r="B3" s="84"/>
      <c r="C3" s="133" t="s">
        <v>450</v>
      </c>
      <c r="D3" s="180"/>
      <c r="E3" s="181"/>
      <c r="F3" s="181"/>
      <c r="G3" s="181"/>
      <c r="H3" s="181"/>
      <c r="I3" s="182"/>
      <c r="J3" s="84"/>
      <c r="K3" s="84"/>
      <c r="L3" s="84"/>
      <c r="M3" s="84"/>
      <c r="N3" s="84"/>
      <c r="O3" s="84"/>
      <c r="P3" s="84"/>
    </row>
    <row r="4" spans="1:16" s="131" customFormat="1" x14ac:dyDescent="0.35">
      <c r="A4" s="84"/>
      <c r="B4" s="84"/>
      <c r="C4" s="133" t="s">
        <v>517</v>
      </c>
      <c r="D4" s="180"/>
      <c r="E4" s="181"/>
      <c r="F4" s="181"/>
      <c r="G4" s="181"/>
      <c r="H4" s="181"/>
      <c r="I4" s="182"/>
      <c r="J4" s="84"/>
      <c r="K4" s="84"/>
      <c r="L4" s="84"/>
      <c r="M4" s="84"/>
      <c r="N4" s="84"/>
      <c r="O4" s="84"/>
      <c r="P4" s="84"/>
    </row>
    <row r="5" spans="1:16" s="131" customFormat="1" x14ac:dyDescent="0.35">
      <c r="A5" s="84"/>
      <c r="B5" s="84"/>
      <c r="C5" s="133" t="s">
        <v>492</v>
      </c>
      <c r="D5" s="183"/>
      <c r="E5" s="181"/>
      <c r="F5" s="181"/>
      <c r="G5" s="181"/>
      <c r="H5" s="181"/>
      <c r="I5" s="182"/>
      <c r="J5" s="84"/>
      <c r="K5" s="84"/>
      <c r="L5" s="84"/>
      <c r="M5" s="84"/>
      <c r="N5" s="84"/>
      <c r="O5" s="84"/>
      <c r="P5" s="84"/>
    </row>
    <row r="6" spans="1:16" s="131" customFormat="1" x14ac:dyDescent="0.35">
      <c r="A6" s="84"/>
      <c r="B6" s="84"/>
      <c r="C6" s="133" t="s">
        <v>491</v>
      </c>
      <c r="D6" s="181" t="s">
        <v>544</v>
      </c>
      <c r="E6" s="181"/>
      <c r="F6" s="181"/>
      <c r="G6" s="181"/>
      <c r="H6" s="181"/>
      <c r="I6" s="182"/>
      <c r="J6" s="84"/>
      <c r="K6" s="84"/>
      <c r="L6" s="84"/>
      <c r="M6" s="84"/>
      <c r="N6" s="84"/>
      <c r="O6" s="84"/>
      <c r="P6" s="84"/>
    </row>
    <row r="7" spans="1:16" s="155" customFormat="1" x14ac:dyDescent="0.35">
      <c r="A7" s="84"/>
      <c r="B7" s="84"/>
      <c r="C7" s="133" t="s">
        <v>333</v>
      </c>
      <c r="D7" s="180" t="s">
        <v>545</v>
      </c>
      <c r="E7" s="181"/>
      <c r="F7" s="181"/>
      <c r="G7" s="181"/>
      <c r="H7" s="181"/>
      <c r="I7" s="182"/>
      <c r="J7" s="84"/>
      <c r="K7" s="84"/>
      <c r="L7" s="84"/>
      <c r="M7" s="84"/>
      <c r="N7" s="84"/>
      <c r="O7" s="84"/>
      <c r="P7" s="84"/>
    </row>
    <row r="8" spans="1:16" s="155" customFormat="1" x14ac:dyDescent="0.35">
      <c r="A8" s="84"/>
      <c r="B8" s="84"/>
      <c r="C8" s="133" t="s">
        <v>451</v>
      </c>
      <c r="D8" s="180" t="s">
        <v>452</v>
      </c>
      <c r="E8" s="181"/>
      <c r="F8" s="181"/>
      <c r="G8" s="181"/>
      <c r="H8" s="181"/>
      <c r="I8" s="182"/>
      <c r="J8" s="84"/>
      <c r="K8" s="84"/>
      <c r="L8" s="84"/>
      <c r="M8" s="84"/>
      <c r="N8" s="84"/>
      <c r="O8" s="84"/>
      <c r="P8" s="84"/>
    </row>
    <row r="9" spans="1:16" s="155" customFormat="1" x14ac:dyDescent="0.35">
      <c r="A9" s="84"/>
      <c r="B9" s="84"/>
      <c r="C9" s="169" t="s">
        <v>493</v>
      </c>
      <c r="D9" s="184">
        <v>44320</v>
      </c>
      <c r="E9" s="185"/>
      <c r="F9" s="185"/>
      <c r="G9" s="185"/>
      <c r="H9" s="185"/>
      <c r="I9" s="186"/>
      <c r="J9" s="84"/>
      <c r="K9" s="84"/>
      <c r="L9" s="84"/>
      <c r="M9" s="84"/>
      <c r="N9" s="84"/>
      <c r="O9" s="84"/>
      <c r="P9" s="84"/>
    </row>
    <row r="10" spans="1:16" s="155" customFormat="1" x14ac:dyDescent="0.35">
      <c r="A10" s="84"/>
      <c r="B10" s="84"/>
      <c r="C10" s="133" t="s">
        <v>453</v>
      </c>
      <c r="D10" s="187" t="s">
        <v>540</v>
      </c>
      <c r="E10" s="183"/>
      <c r="F10" s="183"/>
      <c r="G10" s="183"/>
      <c r="H10" s="183"/>
      <c r="I10" s="188"/>
      <c r="J10" s="84"/>
      <c r="K10" s="84"/>
      <c r="L10" s="84"/>
      <c r="M10" s="84"/>
      <c r="N10" s="84"/>
      <c r="O10" s="84"/>
      <c r="P10" s="84"/>
    </row>
    <row r="11" spans="1:16" s="155" customFormat="1" x14ac:dyDescent="0.35">
      <c r="A11" s="84"/>
      <c r="B11" s="84"/>
      <c r="C11" s="133" t="s">
        <v>454</v>
      </c>
      <c r="D11" s="187" t="s">
        <v>455</v>
      </c>
      <c r="E11" s="183"/>
      <c r="F11" s="183"/>
      <c r="G11" s="183"/>
      <c r="H11" s="183"/>
      <c r="I11" s="188"/>
      <c r="J11" s="84"/>
      <c r="K11" s="84"/>
      <c r="L11" s="84"/>
      <c r="M11" s="84"/>
      <c r="N11" s="84"/>
      <c r="O11" s="84"/>
      <c r="P11" s="84"/>
    </row>
    <row r="12" spans="1:16" s="155" customFormat="1" ht="15" thickBot="1" x14ac:dyDescent="0.4">
      <c r="A12" s="84"/>
      <c r="B12" s="84"/>
      <c r="C12" s="134" t="s">
        <v>456</v>
      </c>
      <c r="D12" s="192" t="s">
        <v>541</v>
      </c>
      <c r="E12" s="190"/>
      <c r="F12" s="190"/>
      <c r="G12" s="190"/>
      <c r="H12" s="190"/>
      <c r="I12" s="191"/>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4"/>
      <c r="B18" s="88" t="s">
        <v>246</v>
      </c>
      <c r="C18" s="89" t="s">
        <v>5</v>
      </c>
      <c r="D18" s="90" t="s">
        <v>59</v>
      </c>
      <c r="E18" s="152">
        <v>9.6449990889740673E-3</v>
      </c>
      <c r="F18" s="89"/>
      <c r="G18" s="89" t="s">
        <v>7</v>
      </c>
      <c r="H18" s="89"/>
      <c r="I18" s="93" t="str">
        <f>IF(NOT(ISBLANK(E18)),IF(Checks!I11=FALSE,"Not a number",IF(Checks!J11=FALSE,"Must be positive number","")),"")</f>
        <v/>
      </c>
      <c r="J18" s="93"/>
      <c r="K18" s="84"/>
      <c r="L18" s="84"/>
      <c r="M18" s="84"/>
      <c r="N18" s="84"/>
      <c r="O18" s="84"/>
      <c r="P18" s="84"/>
    </row>
    <row r="19" spans="1:16" x14ac:dyDescent="0.35">
      <c r="A19" s="174"/>
      <c r="B19" s="89"/>
      <c r="C19" s="89" t="s">
        <v>15</v>
      </c>
      <c r="D19" s="90" t="s">
        <v>59</v>
      </c>
      <c r="E19" s="152">
        <v>8.0000000000000002E-3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4"/>
      <c r="B20" s="89"/>
      <c r="C20" s="89" t="s">
        <v>460</v>
      </c>
      <c r="D20" s="90" t="s">
        <v>59</v>
      </c>
      <c r="E20" s="108">
        <v>0.3</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4"/>
      <c r="B21" s="89"/>
      <c r="C21" s="89" t="s">
        <v>368</v>
      </c>
      <c r="D21" s="141" t="s">
        <v>59</v>
      </c>
      <c r="E21" s="108">
        <v>38.1</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4"/>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4"/>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4"/>
      <c r="B24" s="89"/>
      <c r="C24" s="89" t="s">
        <v>151</v>
      </c>
      <c r="D24" s="90" t="s">
        <v>59</v>
      </c>
      <c r="E24" s="152">
        <v>6.3000000000000003E-4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4"/>
      <c r="B25" s="89"/>
      <c r="C25" s="89" t="s">
        <v>253</v>
      </c>
      <c r="D25" s="175" t="s">
        <v>397</v>
      </c>
      <c r="E25" s="108"/>
      <c r="F25" s="89"/>
      <c r="G25" s="96" t="s">
        <v>520</v>
      </c>
      <c r="H25" s="89"/>
      <c r="I25" s="93" t="str">
        <f>IF(ISBLANK(E25),"",IF(Checks!I18=FALSE,"Not a number",IF(Checks!J18=FALSE,"Must be positive number","")))</f>
        <v/>
      </c>
      <c r="J25" s="173"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4"/>
      <c r="B26" s="89"/>
      <c r="C26" s="89" t="s">
        <v>381</v>
      </c>
      <c r="D26" s="176"/>
      <c r="E26" s="108"/>
      <c r="F26" s="89"/>
      <c r="G26" s="96" t="s">
        <v>520</v>
      </c>
      <c r="H26" s="89"/>
      <c r="I26" s="93" t="str">
        <f>IF(ISBLANK(E26),"",IF(Checks!I19=FALSE,"Not a number",IF(Checks!J19=FALSE,"Must be positive number","")))</f>
        <v/>
      </c>
      <c r="J26" s="173"/>
      <c r="K26" s="84"/>
      <c r="L26" s="84"/>
      <c r="M26" s="84"/>
      <c r="N26" s="84"/>
      <c r="O26" s="84"/>
      <c r="P26" s="84"/>
    </row>
    <row r="27" spans="1:16" s="142" customFormat="1" x14ac:dyDescent="0.35">
      <c r="A27" s="174"/>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4"/>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4"/>
      <c r="B30" s="88" t="s">
        <v>390</v>
      </c>
      <c r="C30" s="89" t="s">
        <v>197</v>
      </c>
      <c r="D30" s="90" t="str">
        <f>IF(Checks!H23,"*","")</f>
        <v/>
      </c>
      <c r="E30" s="108"/>
      <c r="F30" s="89"/>
      <c r="G30" s="96" t="s">
        <v>198</v>
      </c>
      <c r="H30" s="93"/>
      <c r="I30" s="93" t="str">
        <f>IF(ISBLANK(E30),"",IF(Checks!I23=FALSE,"Not a number",IF(Checks!J23=FALSE,"Must be positive number","")))</f>
        <v/>
      </c>
      <c r="J30" s="173"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4"/>
      <c r="B31" s="88"/>
      <c r="C31" s="89" t="s">
        <v>251</v>
      </c>
      <c r="D31" s="193" t="s">
        <v>397</v>
      </c>
      <c r="E31" s="108"/>
      <c r="F31" s="89"/>
      <c r="G31" s="96" t="s">
        <v>7</v>
      </c>
      <c r="H31" s="93"/>
      <c r="I31" s="93" t="str">
        <f>IF(ISBLANK(E31),"",IF(Checks!I24=FALSE,"Not a number",IF(Checks!J24=FALSE,"Must be positive number","")))</f>
        <v/>
      </c>
      <c r="J31" s="173"/>
      <c r="K31" s="84"/>
      <c r="L31" s="84"/>
      <c r="M31" s="84"/>
      <c r="N31" s="84"/>
      <c r="O31" s="84"/>
      <c r="P31" s="84"/>
    </row>
    <row r="32" spans="1:16" s="142" customFormat="1" x14ac:dyDescent="0.35">
      <c r="A32" s="174"/>
      <c r="B32" s="88"/>
      <c r="C32" s="89" t="s">
        <v>252</v>
      </c>
      <c r="D32" s="194"/>
      <c r="E32" s="108"/>
      <c r="F32" s="89"/>
      <c r="G32" s="96" t="s">
        <v>520</v>
      </c>
      <c r="H32" s="93"/>
      <c r="I32" s="93" t="str">
        <f>IF(ISBLANK(E32),"",IF(Checks!I25=FALSE,"Not a number",IF(Checks!J25=FALSE,"Must be positive number","")))</f>
        <v/>
      </c>
      <c r="J32" s="173"/>
      <c r="K32" s="84"/>
      <c r="L32" s="84"/>
      <c r="M32" s="84"/>
      <c r="N32" s="84"/>
      <c r="O32" s="84"/>
      <c r="P32" s="84"/>
    </row>
    <row r="33" spans="1:16" s="142" customFormat="1" ht="16.5" x14ac:dyDescent="0.35">
      <c r="A33" s="174"/>
      <c r="B33" s="88"/>
      <c r="C33" s="89" t="s">
        <v>383</v>
      </c>
      <c r="D33" s="176"/>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4"/>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4"/>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4"/>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4"/>
      <c r="B38" s="89"/>
      <c r="C38" s="89" t="s">
        <v>199</v>
      </c>
      <c r="D38" s="90" t="s">
        <v>59</v>
      </c>
      <c r="E38" s="108">
        <v>15</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4"/>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4"/>
      <c r="B41" s="88" t="s">
        <v>200</v>
      </c>
      <c r="C41" s="89" t="s">
        <v>48</v>
      </c>
      <c r="D41" s="196" t="s">
        <v>59</v>
      </c>
      <c r="E41" s="108"/>
      <c r="F41" s="89"/>
      <c r="G41" s="97" t="s">
        <v>36</v>
      </c>
      <c r="H41" s="89"/>
      <c r="I41" s="93" t="str">
        <f>IF(ISBLANK(E41),"",IF(Checks!I34=FALSE,"Not a number",IF(Checks!J34=FALSE,"Must be positive number","")))</f>
        <v/>
      </c>
      <c r="J41" s="173" t="str">
        <f>IF(Checks!P34=FALSE,"Only one of the values under 'SURFACE' should be provided","")</f>
        <v/>
      </c>
      <c r="K41" s="84"/>
      <c r="L41" s="84"/>
      <c r="M41" s="84"/>
      <c r="N41" s="84"/>
      <c r="O41" s="84"/>
      <c r="P41" s="84"/>
    </row>
    <row r="42" spans="1:16" x14ac:dyDescent="0.35">
      <c r="A42" s="174"/>
      <c r="B42" s="89"/>
      <c r="C42" s="89" t="s">
        <v>52</v>
      </c>
      <c r="D42" s="196"/>
      <c r="E42" s="108"/>
      <c r="F42" s="89"/>
      <c r="G42" s="97" t="s">
        <v>36</v>
      </c>
      <c r="H42" s="89"/>
      <c r="I42" s="93" t="str">
        <f>IF(ISBLANK(E42),"",IF(Checks!I35=FALSE,"Not a number",IF(Checks!J35=FALSE,"Must be positive number","")))</f>
        <v/>
      </c>
      <c r="J42" s="173"/>
      <c r="K42" s="84"/>
      <c r="L42" s="84"/>
      <c r="M42" s="84"/>
      <c r="N42" s="84"/>
      <c r="O42" s="84"/>
      <c r="P42" s="84"/>
    </row>
    <row r="43" spans="1:16" x14ac:dyDescent="0.35">
      <c r="A43" s="174"/>
      <c r="B43" s="89"/>
      <c r="C43" s="89" t="s">
        <v>11</v>
      </c>
      <c r="D43" s="196"/>
      <c r="E43" s="152"/>
      <c r="F43" s="89"/>
      <c r="G43" s="97" t="s">
        <v>7</v>
      </c>
      <c r="H43" s="89"/>
      <c r="I43" s="93" t="str">
        <f>IF(ISBLANK(E43),"",IF(Checks!I36=FALSE,"Not a number",IF(Checks!J36=FALSE,"Must be positive number","")))</f>
        <v/>
      </c>
      <c r="J43" s="173"/>
      <c r="K43" s="84"/>
      <c r="L43" s="84"/>
      <c r="M43" s="84"/>
      <c r="N43" s="84"/>
      <c r="O43" s="84"/>
      <c r="P43" s="84"/>
    </row>
    <row r="44" spans="1:16" x14ac:dyDescent="0.35">
      <c r="A44" s="174"/>
      <c r="B44" s="89"/>
      <c r="C44" s="89" t="s">
        <v>33</v>
      </c>
      <c r="D44" s="196"/>
      <c r="E44" s="108">
        <v>10.5</v>
      </c>
      <c r="F44" s="89"/>
      <c r="G44" s="97" t="s">
        <v>34</v>
      </c>
      <c r="H44" s="89"/>
      <c r="I44" s="93" t="str">
        <f>IF(ISBLANK(E44),"",IF(Checks!I37=FALSE,"Not a number",IF(Checks!J37=FALSE,"Number must be between 0 and 100","")))</f>
        <v/>
      </c>
      <c r="J44" s="173"/>
      <c r="K44" s="84"/>
      <c r="L44" s="84"/>
      <c r="M44" s="84"/>
      <c r="N44" s="84"/>
      <c r="O44" s="84"/>
      <c r="P44" s="84"/>
    </row>
    <row r="45" spans="1:16" ht="15" customHeight="1" x14ac:dyDescent="0.35">
      <c r="A45" s="174"/>
      <c r="B45" s="89"/>
      <c r="C45" s="89" t="s">
        <v>329</v>
      </c>
      <c r="D45" s="196"/>
      <c r="E45" s="108"/>
      <c r="F45" s="89"/>
      <c r="G45" s="97" t="s">
        <v>332</v>
      </c>
      <c r="H45" s="89"/>
      <c r="I45" s="93" t="str">
        <f>IF(ISBLANK(E45),"",IF(Checks!I38=FALSE,"Not a number",IF(Checks!J38=FALSE,"Must be positive number","")))</f>
        <v/>
      </c>
      <c r="J45" s="173"/>
      <c r="K45" s="84"/>
      <c r="L45" s="84"/>
      <c r="M45" s="84"/>
      <c r="N45" s="84"/>
      <c r="O45" s="84"/>
      <c r="P45" s="84"/>
    </row>
    <row r="46" spans="1:16" s="157" customFormat="1" ht="15" customHeight="1" x14ac:dyDescent="0.35">
      <c r="A46" s="174"/>
      <c r="B46" s="89"/>
      <c r="C46" s="89" t="s">
        <v>462</v>
      </c>
      <c r="D46" s="196"/>
      <c r="E46" s="108"/>
      <c r="F46" s="89"/>
      <c r="G46" s="97" t="s">
        <v>463</v>
      </c>
      <c r="H46" s="89"/>
      <c r="I46" s="93"/>
      <c r="J46" s="173"/>
      <c r="K46" s="84"/>
      <c r="L46" s="84"/>
      <c r="M46" s="84"/>
      <c r="N46" s="84"/>
      <c r="O46" s="84"/>
      <c r="P46" s="84"/>
    </row>
    <row r="47" spans="1:16" s="142" customFormat="1" ht="15" customHeight="1" x14ac:dyDescent="0.35">
      <c r="A47" s="174"/>
      <c r="B47" s="89"/>
      <c r="C47" s="89" t="s">
        <v>391</v>
      </c>
      <c r="D47" s="196"/>
      <c r="E47" s="108"/>
      <c r="F47" s="89"/>
      <c r="G47" s="97"/>
      <c r="H47" s="89"/>
      <c r="I47" s="93" t="str">
        <f>IF(ISBLANK(E47),"",IF(Checks!I40=FALSE,"Not a number",IF(Checks!J40=FALSE,"Must be positive number","")))</f>
        <v/>
      </c>
      <c r="J47" s="173"/>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4"/>
      <c r="B49" s="88" t="s">
        <v>202</v>
      </c>
      <c r="C49" s="89" t="s">
        <v>76</v>
      </c>
      <c r="D49" s="196"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4"/>
      <c r="B50" s="173" t="s">
        <v>468</v>
      </c>
      <c r="C50" s="89" t="s">
        <v>203</v>
      </c>
      <c r="D50" s="194"/>
      <c r="E50" s="108">
        <v>48000</v>
      </c>
      <c r="F50" s="89"/>
      <c r="G50" s="89" t="s">
        <v>522</v>
      </c>
      <c r="H50" s="89"/>
      <c r="I50" s="93" t="str">
        <f>IF(ISBLANK(E50),"",IF(Checks!I43=FALSE,"Not a number",IF(Checks!J43=FALSE,"Must be positive number","")))</f>
        <v/>
      </c>
      <c r="J50" s="93"/>
      <c r="K50" s="84"/>
      <c r="L50" s="84"/>
      <c r="M50" s="84"/>
      <c r="N50" s="84"/>
      <c r="O50" s="84"/>
      <c r="P50" s="84"/>
    </row>
    <row r="51" spans="1:16" x14ac:dyDescent="0.35">
      <c r="A51" s="174"/>
      <c r="B51" s="173"/>
      <c r="C51" s="89" t="s">
        <v>244</v>
      </c>
      <c r="D51" s="194"/>
      <c r="E51" s="108"/>
      <c r="F51" s="89"/>
      <c r="G51" s="89" t="s">
        <v>467</v>
      </c>
      <c r="H51" s="89"/>
      <c r="I51" s="93" t="str">
        <f>IF(ISBLANK(E51),"",IF(Checks!I44=FALSE,"Not a number",IF(Checks!J44=FALSE,"Must be positive number","")))</f>
        <v/>
      </c>
      <c r="J51" s="93"/>
      <c r="K51" s="84"/>
      <c r="L51" s="84"/>
      <c r="M51" s="84"/>
      <c r="N51" s="84"/>
      <c r="O51" s="84"/>
      <c r="P51" s="84"/>
    </row>
    <row r="52" spans="1:16" x14ac:dyDescent="0.35">
      <c r="A52" s="174"/>
      <c r="B52" s="173"/>
      <c r="C52" s="89" t="s">
        <v>82</v>
      </c>
      <c r="D52" s="197"/>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4"/>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74"/>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4"/>
      <c r="B57" s="88" t="s">
        <v>248</v>
      </c>
      <c r="C57" s="92" t="s">
        <v>249</v>
      </c>
      <c r="D57" s="90" t="s">
        <v>59</v>
      </c>
      <c r="E57" s="108">
        <v>0.72</v>
      </c>
      <c r="F57" s="89"/>
      <c r="G57" s="173"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4"/>
      <c r="B58" s="89"/>
      <c r="C58" s="92" t="s">
        <v>208</v>
      </c>
      <c r="D58" s="90"/>
      <c r="E58" s="108">
        <v>0</v>
      </c>
      <c r="F58" s="89"/>
      <c r="G58" s="198"/>
      <c r="H58" s="89"/>
      <c r="I58" s="93" t="str">
        <f>IF(ISBLANK(E58),"",IF(Checks!I51=FALSE,"Not a number",IF(Checks!J51=FALSE,"Number must be between 0 and 1","")))</f>
        <v/>
      </c>
      <c r="J58" s="93"/>
      <c r="K58" s="84"/>
      <c r="L58" s="84"/>
      <c r="M58" s="84"/>
      <c r="N58" s="84"/>
      <c r="O58" s="84"/>
      <c r="P58" s="84"/>
    </row>
    <row r="59" spans="1:16" x14ac:dyDescent="0.35">
      <c r="A59" s="174"/>
      <c r="B59" s="89"/>
      <c r="C59" s="92" t="s">
        <v>209</v>
      </c>
      <c r="D59" s="90"/>
      <c r="E59" s="108">
        <v>0.18</v>
      </c>
      <c r="F59" s="89"/>
      <c r="G59" s="198"/>
      <c r="H59" s="89"/>
      <c r="I59" s="93" t="str">
        <f>IF(ISBLANK(E59),"",IF(Checks!I52=FALSE,"Not a number",IF(Checks!J52=FALSE,"Number must be between 0 and 1","")))</f>
        <v/>
      </c>
      <c r="J59" s="93"/>
      <c r="K59" s="84"/>
      <c r="L59" s="84"/>
      <c r="M59" s="84"/>
      <c r="N59" s="84"/>
      <c r="O59" s="84"/>
      <c r="P59" s="84"/>
    </row>
    <row r="60" spans="1:16" x14ac:dyDescent="0.35">
      <c r="A60" s="174"/>
      <c r="B60" s="89"/>
      <c r="C60" s="92"/>
      <c r="D60" s="90"/>
      <c r="E60" s="108"/>
      <c r="F60" s="89"/>
      <c r="G60" s="198"/>
      <c r="H60" s="89"/>
      <c r="I60" s="93" t="str">
        <f>IF(ISBLANK(E60),"",IF(Checks!I53=FALSE,"Not a number",IF(Checks!J53=FALSE,"Number must be between 0 and 1","")))</f>
        <v/>
      </c>
      <c r="J60" s="93"/>
      <c r="K60" s="84"/>
      <c r="L60" s="84"/>
      <c r="M60" s="84"/>
      <c r="N60" s="84"/>
      <c r="O60" s="84"/>
      <c r="P60" s="84"/>
    </row>
    <row r="61" spans="1:16" x14ac:dyDescent="0.35">
      <c r="A61" s="174"/>
      <c r="B61" s="89"/>
      <c r="C61" s="92"/>
      <c r="D61" s="90"/>
      <c r="E61" s="108"/>
      <c r="F61" s="89"/>
      <c r="G61" s="198"/>
      <c r="H61" s="89"/>
      <c r="I61" s="93" t="str">
        <f>IF(ISBLANK(E61),"",IF(Checks!I54=FALSE,"Not a number",IF(Checks!J54=FALSE,"Number must be between 0 and 1","")))</f>
        <v/>
      </c>
      <c r="J61" s="93"/>
      <c r="K61" s="84"/>
      <c r="L61" s="84"/>
      <c r="M61" s="84"/>
      <c r="N61" s="84"/>
      <c r="O61" s="84"/>
      <c r="P61" s="84"/>
    </row>
    <row r="62" spans="1:16" x14ac:dyDescent="0.35">
      <c r="A62" s="174"/>
      <c r="B62" s="89"/>
      <c r="C62" s="92"/>
      <c r="D62" s="90"/>
      <c r="E62" s="108"/>
      <c r="F62" s="89"/>
      <c r="G62" s="198"/>
      <c r="H62" s="89"/>
      <c r="I62" s="93" t="str">
        <f>IF(ISBLANK(E62),"",IF(Checks!I55=FALSE,"Not a number",IF(Checks!J55=FALSE,"Number must be between 0 and 1","")))</f>
        <v/>
      </c>
      <c r="J62" s="93"/>
      <c r="K62" s="84"/>
      <c r="L62" s="84"/>
      <c r="M62" s="84"/>
      <c r="N62" s="84"/>
      <c r="O62" s="84"/>
      <c r="P62" s="84"/>
    </row>
    <row r="63" spans="1:16" x14ac:dyDescent="0.35">
      <c r="A63" s="174"/>
      <c r="B63" s="89"/>
      <c r="C63" s="92" t="s">
        <v>247</v>
      </c>
      <c r="D63" s="90"/>
      <c r="E63" s="108">
        <v>0.1</v>
      </c>
      <c r="F63" s="89"/>
      <c r="G63" s="198"/>
      <c r="H63" s="89"/>
      <c r="I63" s="93" t="str">
        <f>IF(ISBLANK(E63),"",IF(Checks!I56=FALSE,"Not a number",IF(Checks!J56=FALSE,"Number must be between 0 and 1","")))</f>
        <v/>
      </c>
      <c r="J63" s="93"/>
      <c r="K63" s="84"/>
      <c r="L63" s="84"/>
      <c r="M63" s="84"/>
      <c r="N63" s="84"/>
      <c r="O63" s="84"/>
      <c r="P63" s="84"/>
    </row>
    <row r="64" spans="1:16" x14ac:dyDescent="0.35">
      <c r="A64" s="174"/>
      <c r="B64" s="89"/>
      <c r="C64" s="92"/>
      <c r="D64" s="90"/>
      <c r="E64" s="108"/>
      <c r="F64" s="89"/>
      <c r="G64" s="198"/>
      <c r="H64" s="89"/>
      <c r="I64" s="93" t="str">
        <f>IF(ISBLANK(E64),"",IF(Checks!I57=FALSE,"Not a number",IF(Checks!J57=FALSE,"Number must be between 0 and 1","")))</f>
        <v/>
      </c>
      <c r="J64" s="93"/>
      <c r="K64" s="84"/>
      <c r="L64" s="84"/>
      <c r="M64" s="84"/>
      <c r="N64" s="84"/>
      <c r="O64" s="84"/>
      <c r="P64" s="84"/>
    </row>
    <row r="65" spans="1:16" x14ac:dyDescent="0.35">
      <c r="A65" s="174"/>
      <c r="B65" s="89"/>
      <c r="C65" s="92"/>
      <c r="D65" s="90"/>
      <c r="E65" s="108"/>
      <c r="F65" s="89"/>
      <c r="G65" s="198"/>
      <c r="H65" s="89"/>
      <c r="I65" s="93" t="str">
        <f>IF(ISBLANK(E65),"",IF(Checks!I58=FALSE,"Not a number",IF(Checks!J58=FALSE,"Number must be between 0 and 1","")))</f>
        <v/>
      </c>
      <c r="J65" s="93"/>
      <c r="K65" s="84"/>
      <c r="L65" s="84"/>
      <c r="M65" s="84"/>
      <c r="N65" s="84"/>
      <c r="O65" s="84"/>
      <c r="P65" s="84"/>
    </row>
    <row r="66" spans="1:16" x14ac:dyDescent="0.35">
      <c r="A66" s="174"/>
      <c r="B66" s="89"/>
      <c r="C66" s="92"/>
      <c r="D66" s="90"/>
      <c r="E66" s="108"/>
      <c r="F66" s="89"/>
      <c r="G66" s="19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4"/>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4"/>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4"/>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95" t="s">
        <v>240</v>
      </c>
      <c r="B72" s="195"/>
      <c r="C72" s="195"/>
      <c r="D72" s="195"/>
      <c r="E72" s="195"/>
      <c r="F72" s="84"/>
      <c r="G72" s="94"/>
      <c r="H72" s="84"/>
      <c r="I72" s="195" t="str">
        <f>IF(AND(Checks!P23,Checks!P11,Checks!P30,Checks!P34,Checks!P42,Checks!P50,Checks!P61,Checks!P9),"YES","NO")</f>
        <v>YES</v>
      </c>
      <c r="J72" s="84"/>
      <c r="K72" s="84"/>
      <c r="L72" s="84"/>
      <c r="M72" s="84"/>
      <c r="N72" s="84"/>
      <c r="O72" s="84"/>
      <c r="P72" s="84"/>
    </row>
    <row r="73" spans="1:16" x14ac:dyDescent="0.35">
      <c r="A73" s="195"/>
      <c r="B73" s="195"/>
      <c r="C73" s="195"/>
      <c r="D73" s="195"/>
      <c r="E73" s="195"/>
      <c r="F73" s="84"/>
      <c r="G73" s="94"/>
      <c r="H73" s="84"/>
      <c r="I73" s="195"/>
      <c r="J73" s="84"/>
      <c r="K73" s="84"/>
      <c r="L73" s="84"/>
      <c r="M73" s="84"/>
      <c r="N73" s="84"/>
      <c r="O73" s="84"/>
      <c r="P73" s="84"/>
    </row>
    <row r="74" spans="1:16" x14ac:dyDescent="0.35">
      <c r="A74" s="195"/>
      <c r="B74" s="195"/>
      <c r="C74" s="195"/>
      <c r="D74" s="195"/>
      <c r="E74" s="195"/>
      <c r="F74" s="84"/>
      <c r="G74" s="94"/>
      <c r="H74" s="84"/>
      <c r="I74" s="195"/>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8"/>
      <c r="E77" s="178"/>
      <c r="F77" s="178"/>
      <c r="G77" s="178"/>
      <c r="H77" s="178"/>
      <c r="I77" s="179"/>
      <c r="J77" s="84"/>
      <c r="K77" s="84"/>
      <c r="L77" s="84"/>
      <c r="M77" s="84"/>
      <c r="N77" s="84"/>
      <c r="O77" s="84"/>
      <c r="P77" s="84"/>
    </row>
    <row r="78" spans="1:16" ht="15" thickBot="1" x14ac:dyDescent="0.4">
      <c r="A78" s="84"/>
      <c r="B78" s="84"/>
      <c r="C78" s="134" t="s">
        <v>519</v>
      </c>
      <c r="D78" s="189"/>
      <c r="E78" s="190"/>
      <c r="F78" s="190"/>
      <c r="G78" s="190"/>
      <c r="H78" s="190"/>
      <c r="I78" s="191"/>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 ref="D7:I7"/>
    <mergeCell ref="D8:I8"/>
    <mergeCell ref="D9:I9"/>
    <mergeCell ref="D10:I10"/>
    <mergeCell ref="D11:I11"/>
    <mergeCell ref="D2:I2"/>
    <mergeCell ref="D3:I3"/>
    <mergeCell ref="D4:I4"/>
    <mergeCell ref="D5:I5"/>
    <mergeCell ref="D6:I6"/>
    <mergeCell ref="J41:J47"/>
    <mergeCell ref="A18:A28"/>
    <mergeCell ref="B50:B52"/>
    <mergeCell ref="J30:J32"/>
    <mergeCell ref="D25:D26"/>
    <mergeCell ref="J25:J26"/>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display="http://dx.doi.org/10.1016/j.jechem.2015.09.004"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9"/>
  <sheetViews>
    <sheetView workbookViewId="0">
      <selection activeCell="D7" sqref="D7"/>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209</v>
      </c>
    </row>
    <row r="4" spans="1:7" x14ac:dyDescent="0.35">
      <c r="A4" s="128">
        <f>B4/273*Calculations!$B$14/pressure</f>
        <v>0.15223986485935134</v>
      </c>
      <c r="B4" s="130">
        <v>522.27700000000004</v>
      </c>
      <c r="C4" s="105">
        <v>2.8184499999999973E-2</v>
      </c>
      <c r="D4" s="105"/>
      <c r="E4" s="24"/>
      <c r="F4" s="24"/>
      <c r="G4" s="24"/>
    </row>
    <row r="5" spans="1:7" x14ac:dyDescent="0.35">
      <c r="A5" s="128">
        <f>B5/273*Calculations!$B$14/pressure</f>
        <v>0.16702407650528142</v>
      </c>
      <c r="B5" s="130">
        <v>572.99599999999998</v>
      </c>
      <c r="C5" s="105">
        <v>0.19572818333333339</v>
      </c>
      <c r="D5" s="105"/>
      <c r="E5" s="105"/>
      <c r="F5" s="105"/>
      <c r="G5" s="105"/>
    </row>
    <row r="6" spans="1:7" x14ac:dyDescent="0.35">
      <c r="A6" s="128">
        <f>B6/273*Calculations!$B$14/pressure</f>
        <v>0.1822143373008947</v>
      </c>
      <c r="B6" s="130">
        <v>625.10799999999995</v>
      </c>
      <c r="C6" s="105">
        <v>0.62301638333333331</v>
      </c>
      <c r="D6" s="105"/>
      <c r="E6" s="105"/>
      <c r="F6" s="105"/>
      <c r="G6" s="105"/>
    </row>
    <row r="7" spans="1:7" x14ac:dyDescent="0.35">
      <c r="A7" s="128">
        <f>B7/273*Calculations!$B$14/pressure</f>
        <v>0.19676185698017534</v>
      </c>
      <c r="B7" s="130">
        <v>675.01499999999999</v>
      </c>
      <c r="C7" s="105">
        <v>0.75414036111111116</v>
      </c>
      <c r="D7" s="105"/>
      <c r="E7" s="105"/>
      <c r="F7" s="105"/>
      <c r="G7" s="105"/>
    </row>
    <row r="8" spans="1:7" x14ac:dyDescent="0.35">
      <c r="A8" s="128">
        <f>B8/273*Calculations!$B$14/pressure</f>
        <v>0.21130733621146761</v>
      </c>
      <c r="B8" s="130">
        <v>724.91499999999996</v>
      </c>
      <c r="C8" s="105">
        <v>0.79504586666666666</v>
      </c>
      <c r="D8" s="105"/>
      <c r="E8" s="105"/>
      <c r="F8" s="105"/>
      <c r="G8" s="105"/>
    </row>
    <row r="9" spans="1:7" x14ac:dyDescent="0.35">
      <c r="A9" s="128">
        <f>B9/273*Calculations!$B$14/pressure</f>
        <v>0.22602741949204933</v>
      </c>
      <c r="B9" s="130">
        <v>775.41399999999999</v>
      </c>
      <c r="C9" s="105">
        <v>0.75668140555555552</v>
      </c>
      <c r="D9" s="105"/>
      <c r="E9" s="105"/>
      <c r="F9" s="105"/>
      <c r="G9" s="105"/>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topLeftCell="A14" workbookViewId="0">
      <selection activeCell="B43" sqref="B43"/>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0.72</v>
      </c>
      <c r="C4" s="168"/>
    </row>
    <row r="5" spans="1:4" x14ac:dyDescent="0.35">
      <c r="A5" s="171" t="str">
        <f>IF(ISBLANK('User questionnaire'!C58),"",_xlfn.CONCAT("initial.mole_fractions.",UPPER('User questionnaire'!C58)))</f>
        <v>initial.mole_fractions.CO</v>
      </c>
      <c r="B5" s="83">
        <f>IF(ISBLANK(species_2),"",species_2)</f>
        <v>0</v>
      </c>
      <c r="C5" s="168"/>
    </row>
    <row r="6" spans="1:4" x14ac:dyDescent="0.35">
      <c r="A6" s="171" t="str">
        <f>IF(ISBLANK('User questionnaire'!C59),"",_xlfn.CONCAT("initial.mole_fractions.",UPPER('User questionnaire'!C59)))</f>
        <v>initial.mole_fractions.CO2</v>
      </c>
      <c r="B6" s="83">
        <f>IF(ISBLANK(species_3),"",species_3)</f>
        <v>0.18</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0.1</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8.0000000000000002E-3</v>
      </c>
      <c r="C18" s="168" t="str">
        <f>'User questionnaire'!G19</f>
        <v>m</v>
      </c>
    </row>
    <row r="19" spans="1:4" x14ac:dyDescent="0.35">
      <c r="A19" s="171" t="s">
        <v>500</v>
      </c>
      <c r="B19" s="83" t="str">
        <f>'User questionnaire'!E22</f>
        <v>sphere</v>
      </c>
      <c r="C19" s="168"/>
    </row>
    <row r="20" spans="1:4" x14ac:dyDescent="0.35">
      <c r="A20" s="171" t="s">
        <v>501</v>
      </c>
      <c r="B20" s="83">
        <f>bed_length</f>
        <v>9.6449990889740673E-3</v>
      </c>
      <c r="C20" s="168" t="str">
        <f>'User questionnaire'!G18</f>
        <v>m</v>
      </c>
    </row>
    <row r="21" spans="1:4" x14ac:dyDescent="0.35">
      <c r="A21" s="171" t="s">
        <v>502</v>
      </c>
      <c r="B21" s="83">
        <f>bed_porosity</f>
        <v>38.1</v>
      </c>
      <c r="C21" s="168" t="str">
        <f>'User questionnaire'!G21</f>
        <v>%</v>
      </c>
    </row>
    <row r="22" spans="1:4" x14ac:dyDescent="0.35">
      <c r="A22" s="171" t="s">
        <v>503</v>
      </c>
      <c r="B22" s="83">
        <f>cat_diameter</f>
        <v>6.3000000000000003E-4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5895.2380952380954</v>
      </c>
      <c r="C25" s="168" t="s">
        <v>13</v>
      </c>
    </row>
    <row r="26" spans="1:4" s="157" customFormat="1" x14ac:dyDescent="0.35">
      <c r="A26" s="171" t="s">
        <v>507</v>
      </c>
      <c r="B26" s="83">
        <f>f_cat_geo</f>
        <v>1101.133758692331</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15% Ni/Al2O3</v>
      </c>
      <c r="C44" s="168"/>
    </row>
    <row r="45" spans="1:4" x14ac:dyDescent="0.35">
      <c r="A45" s="171" t="s">
        <v>337</v>
      </c>
      <c r="B45" s="83" t="str">
        <f>experiment_name</f>
        <v xml:space="preserve">Experiment 16 - CO2 methanation </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8" workbookViewId="0">
      <selection activeCell="F37" sqref="F3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5.0265482457436686E-5</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4.8481053250881881E-7</v>
      </c>
      <c r="H4" s="114" t="s">
        <v>285</v>
      </c>
      <c r="L4" s="102" t="s">
        <v>326</v>
      </c>
      <c r="M4" s="102" t="s">
        <v>325</v>
      </c>
      <c r="N4" s="103" t="s">
        <v>324</v>
      </c>
    </row>
    <row r="5" spans="1:16" x14ac:dyDescent="0.35">
      <c r="A5" s="112" t="s">
        <v>203</v>
      </c>
      <c r="B5" s="113">
        <f>WHSV</f>
        <v>48000</v>
      </c>
      <c r="C5" s="114" t="str">
        <f>'User questionnaire'!G50</f>
        <v>ml/g h</v>
      </c>
      <c r="F5" s="112" t="s">
        <v>284</v>
      </c>
      <c r="G5" s="113">
        <f>IF('User questionnaire'!E22="sphere",4/3*PI()*(cat_diameter/2)^3,PI()*(cat_diameter/2)^2*'User questionnaire'!E23)</f>
        <v>1.3092430304202781E-10</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0.61899999999999999</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3.0009771962295883E-7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2292.1467798581666</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1.2468981242097889E-6</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2.858073520218656E-3</v>
      </c>
      <c r="H10" s="114" t="s">
        <v>292</v>
      </c>
      <c r="K10" s="101" t="s">
        <v>342</v>
      </c>
      <c r="L10" s="102">
        <v>2.7242524916943521E-5</v>
      </c>
      <c r="M10" s="104">
        <v>7860</v>
      </c>
      <c r="N10" s="103">
        <v>5.5844999999999999E-2</v>
      </c>
      <c r="P10" s="131"/>
    </row>
    <row r="11" spans="1:16" ht="15" thickBot="1" x14ac:dyDescent="0.4">
      <c r="A11" s="112" t="s">
        <v>314</v>
      </c>
      <c r="B11" s="113">
        <f>WHSV*cat_mass/1000000/3600</f>
        <v>3.9999999999999998E-6</v>
      </c>
      <c r="C11" s="114" t="s">
        <v>310</v>
      </c>
      <c r="F11" s="117" t="s">
        <v>153</v>
      </c>
      <c r="G11" s="118">
        <f>IF(ISNUMBER('User questionnaire'!E27),'User questionnaire'!E27,geometric_area/v_reactor)</f>
        <v>5895.2380952380954</v>
      </c>
      <c r="H11" s="119" t="s">
        <v>13</v>
      </c>
      <c r="K11" s="101" t="s">
        <v>343</v>
      </c>
      <c r="L11" s="102">
        <v>2.1428571428571428E-5</v>
      </c>
      <c r="M11" s="104">
        <v>22420</v>
      </c>
      <c r="N11" s="103">
        <v>0.19221700000000003</v>
      </c>
      <c r="P11" s="131"/>
    </row>
    <row r="12" spans="1:16" x14ac:dyDescent="0.35">
      <c r="A12" s="112" t="s">
        <v>315</v>
      </c>
      <c r="B12" s="115">
        <f>flow_rate_whsv/bed_crosssection</f>
        <v>7.9577471545947673E-2</v>
      </c>
      <c r="C12" s="114" t="s">
        <v>83</v>
      </c>
      <c r="K12" s="101" t="s">
        <v>344</v>
      </c>
      <c r="L12" s="102">
        <v>2.2591362126245847E-5</v>
      </c>
      <c r="M12" s="104">
        <v>10200</v>
      </c>
      <c r="N12" s="103">
        <v>9.5950000000000008E-2</v>
      </c>
      <c r="P12" s="131"/>
    </row>
    <row r="13" spans="1:16" ht="15" thickBot="1" x14ac:dyDescent="0.4">
      <c r="A13" s="112" t="s">
        <v>316</v>
      </c>
      <c r="B13" s="116">
        <f>flow_rate/bed_crosssection/1000/60</f>
        <v>0</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7.9577471545947673E-2</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4.4999999999999998E-2</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5.051638976201167E-9</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10.5</v>
      </c>
      <c r="H21" s="114"/>
      <c r="J21" s="102"/>
      <c r="P21" s="131"/>
    </row>
    <row r="22" spans="5:16" x14ac:dyDescent="0.35">
      <c r="E22" s="112"/>
      <c r="F22" s="113" t="s">
        <v>301</v>
      </c>
      <c r="G22" s="113">
        <f>G16/1000/VLOOKUP(active_species,Calculations!K:N,4,FALSE)</f>
        <v>7.667405009371272E-4</v>
      </c>
      <c r="H22" s="114" t="s">
        <v>45</v>
      </c>
      <c r="J22" s="102"/>
      <c r="P22" s="131"/>
    </row>
    <row r="23" spans="5:16" x14ac:dyDescent="0.35">
      <c r="E23" s="112"/>
      <c r="F23" s="113" t="s">
        <v>302</v>
      </c>
      <c r="G23" s="113">
        <f>NP_dispersion*no_metal_atoms/100</f>
        <v>8.0507752598398349E-5</v>
      </c>
      <c r="H23" s="114" t="s">
        <v>45</v>
      </c>
      <c r="J23" s="102"/>
      <c r="P23" s="131"/>
    </row>
    <row r="24" spans="5:16" x14ac:dyDescent="0.35">
      <c r="E24" s="112"/>
      <c r="F24" s="113" t="s">
        <v>300</v>
      </c>
      <c r="G24" s="122">
        <f>G23/VLOOKUP(active_species,Calculations!K:N,2,FALSE)</f>
        <v>3.1471212379373901</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3.1471212379373901</v>
      </c>
      <c r="H33" s="114" t="s">
        <v>292</v>
      </c>
      <c r="J33" s="104"/>
    </row>
    <row r="34" spans="1:10" ht="15" thickBot="1" x14ac:dyDescent="0.4">
      <c r="A34" s="107"/>
      <c r="B34" s="200"/>
      <c r="C34" s="200"/>
      <c r="D34" s="200"/>
      <c r="E34" s="123"/>
      <c r="F34" s="124" t="s">
        <v>141</v>
      </c>
      <c r="G34" s="124">
        <f>IF(ISNUMBER('User questionnaire'!E47),'User questionnaire'!E47,catalytic_area/geometric_area)</f>
        <v>1101.133758692331</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3"/>
      <c r="I24" s="82" t="b">
        <f>ISNUMBER('User questionnaire'!E31)</f>
        <v>0</v>
      </c>
      <c r="J24" s="82" t="b">
        <f>IF('User questionnaire'!E31&gt;0,TRUE,FALSE)</f>
        <v>0</v>
      </c>
      <c r="N24" s="82" t="b">
        <f>IF(AND(I24=TRUE,J24=TRUE),TRUE,FALSE)</f>
        <v>0</v>
      </c>
      <c r="O24" s="204" t="b">
        <f>AND(COUNTIF(N24:N26,TRUE)&gt;0,COUNTIF(N24:N26,TRUE)=4)</f>
        <v>0</v>
      </c>
      <c r="P24" s="142"/>
    </row>
    <row r="25" spans="1:16" x14ac:dyDescent="0.35">
      <c r="A25" s="153" t="str">
        <f>'User questionnaire'!C32</f>
        <v>wall thermal conductivity</v>
      </c>
      <c r="B25" s="153" t="s">
        <v>412</v>
      </c>
      <c r="C25" t="s">
        <v>232</v>
      </c>
      <c r="D25" t="s">
        <v>228</v>
      </c>
      <c r="H25" s="203"/>
      <c r="I25" s="82" t="b">
        <f>ISNUMBER('User questionnaire'!E32)</f>
        <v>0</v>
      </c>
      <c r="J25" s="82" t="b">
        <f>IF('User questionnaire'!E32&gt;0,TRUE,FALSE)</f>
        <v>0</v>
      </c>
      <c r="N25" s="82" t="b">
        <f>IF(AND(I25=TRUE,J25=TRUE),TRUE,FALSE)</f>
        <v>0</v>
      </c>
      <c r="O25" s="204"/>
      <c r="P25" s="142"/>
    </row>
    <row r="26" spans="1:16" x14ac:dyDescent="0.35">
      <c r="A26" s="153" t="str">
        <f>'User questionnaire'!C33</f>
        <v>outside heat transfer coeff</v>
      </c>
      <c r="B26" s="153" t="s">
        <v>412</v>
      </c>
      <c r="C26" t="s">
        <v>232</v>
      </c>
      <c r="D26" t="s">
        <v>228</v>
      </c>
      <c r="H26" s="203"/>
      <c r="I26" s="82" t="b">
        <f>ISNUMBER('User questionnaire'!E33)</f>
        <v>0</v>
      </c>
      <c r="J26" s="82" t="b">
        <f>IF('User questionnaire'!E33&gt;0,TRUE,FALSE)</f>
        <v>0</v>
      </c>
      <c r="N26" s="82" t="b">
        <f t="shared" ref="N26" si="8">IF(AND(I26=TRUE,J26=TRUE),TRUE,FALSE)</f>
        <v>0</v>
      </c>
      <c r="O26" s="204"/>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1" t="s">
        <v>417</v>
      </c>
      <c r="C34" t="s">
        <v>232</v>
      </c>
      <c r="D34" t="s">
        <v>228</v>
      </c>
      <c r="H34" s="203" t="b">
        <v>1</v>
      </c>
      <c r="I34" s="82" t="b">
        <f>ISNUMBER('User questionnaire'!E41)</f>
        <v>0</v>
      </c>
      <c r="J34" s="82" t="b">
        <f>IF('User questionnaire'!E41&gt;=0,TRUE,FALSE)</f>
        <v>1</v>
      </c>
      <c r="N34" s="82" t="b">
        <f t="shared" ref="N34:N40" si="11">IF(AND(I34=TRUE,J34=TRUE),TRUE,FALSE)</f>
        <v>0</v>
      </c>
      <c r="O34" s="204" t="b">
        <f>IF(AND(COUNTIF(N34:N40,TRUE)=1,COUNTA('User questionnaire'!E41:E47)=1),TRUE,FALSE)</f>
        <v>1</v>
      </c>
      <c r="P34" t="b">
        <f>O34</f>
        <v>1</v>
      </c>
    </row>
    <row r="35" spans="1:16" x14ac:dyDescent="0.35">
      <c r="A35" s="153" t="str">
        <f>'User questionnaire'!C42</f>
        <v>CO uptake</v>
      </c>
      <c r="B35" s="202"/>
      <c r="C35" t="s">
        <v>232</v>
      </c>
      <c r="D35" t="s">
        <v>228</v>
      </c>
      <c r="H35" s="203"/>
      <c r="I35" s="82" t="b">
        <f>ISNUMBER('User questionnaire'!E42)</f>
        <v>0</v>
      </c>
      <c r="J35" s="82" t="b">
        <f>IF('User questionnaire'!E42&gt;=0,TRUE,FALSE)</f>
        <v>1</v>
      </c>
      <c r="N35" s="82" t="b">
        <f t="shared" si="11"/>
        <v>0</v>
      </c>
      <c r="O35" s="204"/>
    </row>
    <row r="36" spans="1:16" x14ac:dyDescent="0.35">
      <c r="A36" s="153" t="str">
        <f>'User questionnaire'!C43</f>
        <v>NP diameter</v>
      </c>
      <c r="B36" s="202"/>
      <c r="C36" t="s">
        <v>232</v>
      </c>
      <c r="D36" t="s">
        <v>228</v>
      </c>
      <c r="H36" s="203"/>
      <c r="I36" s="82" t="b">
        <f>ISNUMBER('User questionnaire'!E43)</f>
        <v>0</v>
      </c>
      <c r="J36" s="82" t="b">
        <f>IF('User questionnaire'!E43&gt;=0,TRUE,FALSE)</f>
        <v>1</v>
      </c>
      <c r="N36" s="82" t="b">
        <f t="shared" si="11"/>
        <v>0</v>
      </c>
      <c r="O36" s="204"/>
    </row>
    <row r="37" spans="1:16" x14ac:dyDescent="0.35">
      <c r="A37" s="153" t="str">
        <f>'User questionnaire'!C44</f>
        <v>dispersion</v>
      </c>
      <c r="B37" s="202"/>
      <c r="C37" t="s">
        <v>232</v>
      </c>
      <c r="D37" t="s">
        <v>231</v>
      </c>
      <c r="H37" s="203"/>
      <c r="I37" s="82" t="b">
        <f>ISNUMBER('User questionnaire'!E44)</f>
        <v>1</v>
      </c>
      <c r="J37" s="82" t="b">
        <f>IF(AND('User questionnaire'!E44&gt;0,'User questionnaire'!E44&lt;100),TRUE,FALSE)</f>
        <v>1</v>
      </c>
      <c r="N37" s="82" t="b">
        <f t="shared" si="11"/>
        <v>1</v>
      </c>
      <c r="O37" s="204"/>
    </row>
    <row r="38" spans="1:16" x14ac:dyDescent="0.35">
      <c r="A38" s="153" t="str">
        <f>'User questionnaire'!C45</f>
        <v>SSA (only metal)</v>
      </c>
      <c r="B38" s="202"/>
      <c r="C38" t="s">
        <v>232</v>
      </c>
      <c r="D38" t="s">
        <v>228</v>
      </c>
      <c r="H38" s="203"/>
      <c r="I38" s="82" t="b">
        <f>ISNUMBER('User questionnaire'!E45)</f>
        <v>0</v>
      </c>
      <c r="J38" s="82" t="b">
        <f>IF('User questionnaire'!E45&gt;=0,TRUE,FALSE)</f>
        <v>1</v>
      </c>
      <c r="N38" s="82" t="b">
        <f t="shared" si="11"/>
        <v>0</v>
      </c>
      <c r="O38" s="204"/>
    </row>
    <row r="39" spans="1:16" s="157" customFormat="1" x14ac:dyDescent="0.35">
      <c r="A39" s="157" t="str">
        <f>'User questionnaire'!C46</f>
        <v>volume-specific surface area</v>
      </c>
      <c r="B39" s="202"/>
      <c r="C39" s="157" t="s">
        <v>232</v>
      </c>
      <c r="D39" s="157" t="s">
        <v>228</v>
      </c>
      <c r="H39" s="203"/>
      <c r="I39" s="82" t="b">
        <f>ISNUMBER('User questionnaire'!E46)</f>
        <v>0</v>
      </c>
      <c r="J39" s="82" t="b">
        <f>IF('User questionnaire'!E46&gt;=0,TRUE,FALSE)</f>
        <v>1</v>
      </c>
      <c r="N39" s="82" t="b">
        <f t="shared" si="11"/>
        <v>0</v>
      </c>
      <c r="O39" s="204"/>
    </row>
    <row r="40" spans="1:16" s="142" customFormat="1" x14ac:dyDescent="0.35">
      <c r="A40" s="153" t="str">
        <f>'User questionnaire'!C47</f>
        <v>ratio catalytic / geometric area</v>
      </c>
      <c r="B40" s="202"/>
      <c r="C40" s="142" t="s">
        <v>232</v>
      </c>
      <c r="D40" s="142" t="s">
        <v>228</v>
      </c>
      <c r="H40" s="203"/>
      <c r="I40" s="82" t="b">
        <f>ISNUMBER('User questionnaire'!E47)</f>
        <v>0</v>
      </c>
      <c r="J40" s="82" t="b">
        <f>IF('User questionnaire'!E47&gt;0,TRUE,FALSE)</f>
        <v>0</v>
      </c>
      <c r="N40" s="82" t="b">
        <f t="shared" si="11"/>
        <v>0</v>
      </c>
      <c r="O40" s="204"/>
    </row>
    <row r="42" spans="1:16" x14ac:dyDescent="0.35">
      <c r="A42" s="153" t="str">
        <f>'User questionnaire'!C49</f>
        <v>GHSV</v>
      </c>
      <c r="B42" s="201" t="s">
        <v>418</v>
      </c>
      <c r="C42" t="s">
        <v>232</v>
      </c>
      <c r="D42" t="s">
        <v>228</v>
      </c>
      <c r="H42" s="203" t="b">
        <v>1</v>
      </c>
      <c r="I42" s="82" t="b">
        <f>ISNUMBER('User questionnaire'!E49)</f>
        <v>0</v>
      </c>
      <c r="J42" s="82" t="b">
        <f>IF('User questionnaire'!E49&gt;=0,TRUE,FALSE)</f>
        <v>1</v>
      </c>
      <c r="N42" s="82" t="b">
        <f t="shared" ref="N42:N48" si="12">IF(AND(I42=TRUE,J42=TRUE),TRUE,FALSE)</f>
        <v>0</v>
      </c>
      <c r="O42" s="204" t="b">
        <f>OR(IF(AND(COUNTIF(N42:N45,TRUE)=1,COUNTA('User questionnaire'!E49:E52)=1),TRUE,FALSE),AND(O23,IF('User questionnaire'!E68="no",TRUE,FALSE),IF('User questionnaire'!E69="no",TRUE,FALSE)))</f>
        <v>1</v>
      </c>
      <c r="P42" t="b">
        <f>AND(O42:O45)</f>
        <v>1</v>
      </c>
    </row>
    <row r="43" spans="1:16" x14ac:dyDescent="0.35">
      <c r="A43" s="153" t="str">
        <f>'User questionnaire'!C50</f>
        <v>WHSV</v>
      </c>
      <c r="B43" s="202"/>
      <c r="C43" t="s">
        <v>232</v>
      </c>
      <c r="D43" t="s">
        <v>228</v>
      </c>
      <c r="H43" s="203"/>
      <c r="I43" s="82" t="b">
        <f>ISNUMBER('User questionnaire'!E50)</f>
        <v>1</v>
      </c>
      <c r="J43" s="82" t="b">
        <f>IF('User questionnaire'!E50&gt;=0,TRUE,FALSE)</f>
        <v>1</v>
      </c>
      <c r="N43" s="82" t="b">
        <f t="shared" si="12"/>
        <v>1</v>
      </c>
      <c r="O43" s="204"/>
    </row>
    <row r="44" spans="1:16" x14ac:dyDescent="0.35">
      <c r="A44" s="153" t="str">
        <f>'User questionnaire'!C51</f>
        <v>volumetric flow rate</v>
      </c>
      <c r="B44" s="202"/>
      <c r="C44" t="s">
        <v>232</v>
      </c>
      <c r="D44" t="s">
        <v>228</v>
      </c>
      <c r="H44" s="203"/>
      <c r="I44" s="82" t="b">
        <f>ISNUMBER('User questionnaire'!E51)</f>
        <v>0</v>
      </c>
      <c r="J44" s="82" t="b">
        <f>IF('User questionnaire'!E51&gt;=0,TRUE,FALSE)</f>
        <v>1</v>
      </c>
      <c r="N44" s="82" t="b">
        <f t="shared" si="12"/>
        <v>0</v>
      </c>
      <c r="O44" s="204"/>
    </row>
    <row r="45" spans="1:16" x14ac:dyDescent="0.35">
      <c r="A45" s="153" t="str">
        <f>'User questionnaire'!C52</f>
        <v>linear velocity</v>
      </c>
      <c r="B45" s="202"/>
      <c r="C45" t="s">
        <v>232</v>
      </c>
      <c r="D45" t="s">
        <v>228</v>
      </c>
      <c r="H45" s="203"/>
      <c r="I45" s="82" t="b">
        <f>ISNUMBER('User questionnaire'!E52)</f>
        <v>0</v>
      </c>
      <c r="J45" s="82" t="b">
        <f>IF('User questionnaire'!E52&gt;=0,TRUE,FALSE)</f>
        <v>1</v>
      </c>
      <c r="N45" s="82" t="b">
        <f t="shared" si="12"/>
        <v>0</v>
      </c>
      <c r="O45" s="204"/>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5" t="s">
        <v>229</v>
      </c>
      <c r="H50" s="82" t="b">
        <v>1</v>
      </c>
      <c r="I50" s="82" t="b">
        <f>ISNUMBER('User questionnaire'!E57)</f>
        <v>1</v>
      </c>
      <c r="J50" s="82" t="b">
        <f>IF(AND('User questionnaire'!E57&gt;=0,'User questionnaire'!E57&lt;=1),TRUE,FALSE)</f>
        <v>1</v>
      </c>
      <c r="K50" s="206" t="b">
        <f>IF(SUM('User questionnaire'!E57:E66)=1,TRUE,FALSE)</f>
        <v>1</v>
      </c>
      <c r="N50" s="82" t="b">
        <f t="shared" ref="N50:N59" si="13">IF(AND(I50=TRUE,J50=TRUE),TRUE,FALSE)</f>
        <v>1</v>
      </c>
      <c r="O50" s="202" t="b">
        <f>AND(COUNTIF(N50:N59,TRUE)&gt;0,COUNTIF(N50:N59,TRUE)=COUNTA('User questionnaire'!E57:E66),K50)</f>
        <v>1</v>
      </c>
      <c r="P50" t="b">
        <f>O50</f>
        <v>1</v>
      </c>
    </row>
    <row r="51" spans="1:16" x14ac:dyDescent="0.35">
      <c r="A51" s="153" t="str">
        <f>'User questionnaire'!C58</f>
        <v>CO</v>
      </c>
      <c r="B51" s="153" t="s">
        <v>414</v>
      </c>
      <c r="C51" t="s">
        <v>232</v>
      </c>
      <c r="D51" t="s">
        <v>238</v>
      </c>
      <c r="E51" s="205"/>
      <c r="H51" s="82" t="b">
        <v>0</v>
      </c>
      <c r="I51" s="82" t="b">
        <f>ISNUMBER('User questionnaire'!E58)</f>
        <v>1</v>
      </c>
      <c r="J51" s="82" t="b">
        <f>IF(AND('User questionnaire'!E58&gt;=0,'User questionnaire'!E58&lt;=1),TRUE,FALSE)</f>
        <v>1</v>
      </c>
      <c r="K51" s="206"/>
      <c r="N51" s="82" t="b">
        <f t="shared" si="13"/>
        <v>1</v>
      </c>
      <c r="O51" s="202"/>
    </row>
    <row r="52" spans="1:16" x14ac:dyDescent="0.35">
      <c r="A52" s="153" t="str">
        <f>'User questionnaire'!C59</f>
        <v>CO2</v>
      </c>
      <c r="B52" s="153" t="s">
        <v>414</v>
      </c>
      <c r="C52" t="s">
        <v>232</v>
      </c>
      <c r="D52" t="s">
        <v>238</v>
      </c>
      <c r="E52" s="205"/>
      <c r="H52" s="82" t="b">
        <v>0</v>
      </c>
      <c r="I52" s="82" t="b">
        <f>ISNUMBER('User questionnaire'!E59)</f>
        <v>1</v>
      </c>
      <c r="J52" s="82" t="b">
        <f>IF(AND('User questionnaire'!E59&gt;=0,'User questionnaire'!E59&lt;=1),TRUE,FALSE)</f>
        <v>1</v>
      </c>
      <c r="K52" s="206"/>
      <c r="N52" s="82" t="b">
        <f t="shared" si="13"/>
        <v>1</v>
      </c>
      <c r="O52" s="202"/>
    </row>
    <row r="53" spans="1:16" x14ac:dyDescent="0.35">
      <c r="A53" s="153">
        <f>'User questionnaire'!C60</f>
        <v>0</v>
      </c>
      <c r="B53" s="153" t="s">
        <v>414</v>
      </c>
      <c r="C53" t="s">
        <v>232</v>
      </c>
      <c r="D53" t="s">
        <v>238</v>
      </c>
      <c r="E53" s="205"/>
      <c r="H53" s="82" t="b">
        <v>0</v>
      </c>
      <c r="I53" s="82" t="b">
        <f>ISNUMBER('User questionnaire'!E60)</f>
        <v>0</v>
      </c>
      <c r="J53" s="82" t="b">
        <f>IF(AND('User questionnaire'!E60&gt;=0,'User questionnaire'!E60&lt;=1),TRUE,FALSE)</f>
        <v>1</v>
      </c>
      <c r="K53" s="206"/>
      <c r="N53" s="82" t="b">
        <f t="shared" si="13"/>
        <v>0</v>
      </c>
      <c r="O53" s="202"/>
    </row>
    <row r="54" spans="1:16" x14ac:dyDescent="0.35">
      <c r="A54" s="153">
        <f>'User questionnaire'!C61</f>
        <v>0</v>
      </c>
      <c r="B54" s="153" t="s">
        <v>414</v>
      </c>
      <c r="C54" t="s">
        <v>232</v>
      </c>
      <c r="D54" t="s">
        <v>238</v>
      </c>
      <c r="E54" s="205"/>
      <c r="H54" s="82" t="b">
        <v>0</v>
      </c>
      <c r="I54" s="82" t="b">
        <f>ISNUMBER('User questionnaire'!E61)</f>
        <v>0</v>
      </c>
      <c r="J54" s="82" t="b">
        <f>IF(AND('User questionnaire'!E61&gt;=0,'User questionnaire'!E61&lt;=1),TRUE,FALSE)</f>
        <v>1</v>
      </c>
      <c r="K54" s="206"/>
      <c r="N54" s="82" t="b">
        <f t="shared" si="13"/>
        <v>0</v>
      </c>
      <c r="O54" s="202"/>
    </row>
    <row r="55" spans="1:16" x14ac:dyDescent="0.35">
      <c r="A55" s="153">
        <f>'User questionnaire'!C62</f>
        <v>0</v>
      </c>
      <c r="B55" s="153" t="s">
        <v>414</v>
      </c>
      <c r="C55" t="s">
        <v>232</v>
      </c>
      <c r="D55" t="s">
        <v>238</v>
      </c>
      <c r="E55" s="205"/>
      <c r="H55" s="82" t="b">
        <v>0</v>
      </c>
      <c r="I55" s="82" t="b">
        <f>ISNUMBER('User questionnaire'!E62)</f>
        <v>0</v>
      </c>
      <c r="J55" s="82" t="b">
        <f>IF(AND('User questionnaire'!E62&gt;=0,'User questionnaire'!E62&lt;=1),TRUE,FALSE)</f>
        <v>1</v>
      </c>
      <c r="K55" s="206"/>
      <c r="N55" s="82" t="b">
        <f t="shared" si="13"/>
        <v>0</v>
      </c>
      <c r="O55" s="202"/>
    </row>
    <row r="56" spans="1:16" x14ac:dyDescent="0.35">
      <c r="A56" s="153" t="str">
        <f>'User questionnaire'!C63</f>
        <v>Ar</v>
      </c>
      <c r="B56" s="153" t="s">
        <v>414</v>
      </c>
      <c r="C56" t="s">
        <v>232</v>
      </c>
      <c r="D56" t="s">
        <v>238</v>
      </c>
      <c r="E56" s="205"/>
      <c r="H56" s="82" t="b">
        <v>0</v>
      </c>
      <c r="I56" s="82" t="b">
        <f>ISNUMBER('User questionnaire'!E63)</f>
        <v>1</v>
      </c>
      <c r="J56" s="82" t="b">
        <f>IF(AND('User questionnaire'!E63&gt;=0,'User questionnaire'!E63&lt;=1),TRUE,FALSE)</f>
        <v>1</v>
      </c>
      <c r="K56" s="206"/>
      <c r="N56" s="82" t="b">
        <f t="shared" si="13"/>
        <v>1</v>
      </c>
      <c r="O56" s="202"/>
    </row>
    <row r="57" spans="1:16" x14ac:dyDescent="0.35">
      <c r="A57" s="153">
        <f>'User questionnaire'!C64</f>
        <v>0</v>
      </c>
      <c r="B57" s="153" t="s">
        <v>414</v>
      </c>
      <c r="C57" t="s">
        <v>232</v>
      </c>
      <c r="D57" t="s">
        <v>238</v>
      </c>
      <c r="E57" s="205"/>
      <c r="H57" s="82" t="b">
        <v>0</v>
      </c>
      <c r="I57" s="82" t="b">
        <f>ISNUMBER('User questionnaire'!E64)</f>
        <v>0</v>
      </c>
      <c r="J57" s="82" t="b">
        <f>IF(AND('User questionnaire'!E64&gt;=0,'User questionnaire'!E64&lt;=1),TRUE,FALSE)</f>
        <v>1</v>
      </c>
      <c r="K57" s="206"/>
      <c r="N57" s="82" t="b">
        <f t="shared" si="13"/>
        <v>0</v>
      </c>
      <c r="O57" s="202"/>
    </row>
    <row r="58" spans="1:16" x14ac:dyDescent="0.35">
      <c r="A58" s="153">
        <f>'User questionnaire'!C65</f>
        <v>0</v>
      </c>
      <c r="B58" s="153" t="s">
        <v>414</v>
      </c>
      <c r="C58" t="s">
        <v>232</v>
      </c>
      <c r="D58" t="s">
        <v>238</v>
      </c>
      <c r="E58" s="205"/>
      <c r="H58" s="82" t="b">
        <v>0</v>
      </c>
      <c r="I58" s="82" t="b">
        <f>ISNUMBER('User questionnaire'!E65)</f>
        <v>0</v>
      </c>
      <c r="J58" s="82" t="b">
        <f>IF(AND('User questionnaire'!E65&gt;=0,'User questionnaire'!E65&lt;=1),TRUE,FALSE)</f>
        <v>1</v>
      </c>
      <c r="K58" s="206"/>
      <c r="N58" s="82" t="b">
        <f t="shared" si="13"/>
        <v>0</v>
      </c>
      <c r="O58" s="202"/>
    </row>
    <row r="59" spans="1:16" x14ac:dyDescent="0.35">
      <c r="A59" s="153">
        <f>'User questionnaire'!C66</f>
        <v>0</v>
      </c>
      <c r="B59" s="153" t="s">
        <v>414</v>
      </c>
      <c r="C59" t="s">
        <v>232</v>
      </c>
      <c r="D59" t="s">
        <v>238</v>
      </c>
      <c r="E59" s="205"/>
      <c r="H59" s="82" t="b">
        <v>0</v>
      </c>
      <c r="I59" s="82" t="b">
        <f>ISNUMBER('User questionnaire'!E66)</f>
        <v>0</v>
      </c>
      <c r="J59" s="82" t="b">
        <f>IF(AND('User questionnaire'!E66&gt;=0,'User questionnaire'!E66&lt;=1),TRUE,FALSE)</f>
        <v>1</v>
      </c>
      <c r="K59" s="206"/>
      <c r="N59" s="82" t="b">
        <f t="shared" si="13"/>
        <v>0</v>
      </c>
      <c r="O59" s="202"/>
    </row>
    <row r="61" spans="1:16" x14ac:dyDescent="0.35">
      <c r="A61" s="153" t="str">
        <f>'User questionnaire'!C68</f>
        <v>isothermal</v>
      </c>
      <c r="B61" s="153" t="s">
        <v>411</v>
      </c>
      <c r="C61" t="s">
        <v>395</v>
      </c>
      <c r="H61" s="82" t="b">
        <v>1</v>
      </c>
      <c r="I61" s="82" t="b">
        <f>OR('User questionnaire'!E68="yes",'User questionnaire'!E68="no")</f>
        <v>1</v>
      </c>
      <c r="N61" s="82" t="b">
        <f>I61</f>
        <v>1</v>
      </c>
      <c r="O61" s="204"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4"/>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O24:O26"/>
    <mergeCell ref="O61:O62"/>
    <mergeCell ref="O34:O40"/>
    <mergeCell ref="O42:O45"/>
    <mergeCell ref="E50:E59"/>
    <mergeCell ref="K50:K59"/>
    <mergeCell ref="O50:O59"/>
    <mergeCell ref="B34:B40"/>
    <mergeCell ref="B42:B45"/>
    <mergeCell ref="H34:H40"/>
    <mergeCell ref="H42:H45"/>
    <mergeCell ref="H24:H26"/>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2021-05-05T08:38:02Z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