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at4991\Methanation\Excel_carmen_conversions\data\"/>
    </mc:Choice>
  </mc:AlternateContent>
  <xr:revisionPtr revIDLastSave="0" documentId="13_ncr:1_{05B78C4F-F25F-4926-A32D-52CE2B2EB446}" xr6:coauthVersionLast="36" xr6:coauthVersionMax="36" xr10:uidLastSave="{00000000-0000-0000-0000-000000000000}"/>
  <bookViews>
    <workbookView xWindow="3800" yWindow="1900" windowWidth="31200" windowHeight="22920" firstSheet="1" activeTab="1" xr2:uid="{D71D9082-2C33-4142-A7A8-FC02546FB003}"/>
  </bookViews>
  <sheets>
    <sheet name="README" sheetId="12" r:id="rId1"/>
    <sheet name="User questionnaire" sheetId="4" r:id="rId2"/>
    <sheet name="Experimental data" sheetId="10" r:id="rId3"/>
    <sheet name="Normalized parameters" sheetId="5" r:id="rId4"/>
    <sheet name="Calculations" sheetId="1" r:id="rId5"/>
    <sheet name="Checks" sheetId="6" r:id="rId6"/>
    <sheet name="Changelog" sheetId="11" r:id="rId7"/>
    <sheet name="TODO" sheetId="7" r:id="rId8"/>
    <sheet name="User feedback" sheetId="13" r:id="rId9"/>
    <sheet name="Dropdowns" sheetId="14" r:id="rId10"/>
    <sheet name="Old input (for Testing)" sheetId="2" state="hidden" r:id="rId11"/>
    <sheet name="Calculations old" sheetId="8" state="hidden" r:id="rId12"/>
  </sheets>
  <definedNames>
    <definedName name="A_exposed_CO">Calculations!$G$32</definedName>
    <definedName name="A_exposed_disp">Calculations!$G$24</definedName>
    <definedName name="A_exposed_H2">Calculations!$G$31</definedName>
    <definedName name="A_exposed_NP">Calculations!$G$20</definedName>
    <definedName name="A_exposed_SSA">Calculations!$G$26</definedName>
    <definedName name="a_metal_NP">Calculations!$G$19</definedName>
    <definedName name="a_particle">Calculations!$G$9</definedName>
    <definedName name="A_V_ratio">Calculations!$G$11</definedName>
    <definedName name="active_species">'User questionnaire'!$E$37</definedName>
    <definedName name="bed_crosssection">Calculations!$B$3</definedName>
    <definedName name="bed_diameter">'User questionnaire'!$E$19</definedName>
    <definedName name="bed_length">'User questionnaire'!$E$18</definedName>
    <definedName name="bed_porosity">'User questionnaire'!$E$21</definedName>
    <definedName name="cat_diameter">'User questionnaire'!$E$24</definedName>
    <definedName name="cat_loading">'User questionnaire'!$E$38</definedName>
    <definedName name="cat_mass">'User questionnaire'!$E$20</definedName>
    <definedName name="cat_therm_cond">'User questionnaire'!$E$25</definedName>
    <definedName name="catalyst_id">'User questionnaire'!$D$6</definedName>
    <definedName name="catalytic_area">Calculations!$G$33</definedName>
    <definedName name="CO_uptake">'User questionnaire'!$E$42</definedName>
    <definedName name="experiment_date">'User questionnaire'!$D$5</definedName>
    <definedName name="experiment_name">'User questionnaire'!$D$7</definedName>
    <definedName name="experiment_operators">'User questionnaire'!$D$4</definedName>
    <definedName name="experiment_source">'User questionnaire'!$D$2</definedName>
    <definedName name="f_cat_geo">Calculations!$G$34</definedName>
    <definedName name="flow_rate">'User questionnaire'!$E$51</definedName>
    <definedName name="flow_rate_ghsv">Calculations!$B$9</definedName>
    <definedName name="flow_rate_whsv">Calculations!$B$11</definedName>
    <definedName name="geometric_area">Calculations!$G$10</definedName>
    <definedName name="GHSV">'User questionnaire'!$E$49</definedName>
    <definedName name="H2_uptake">'User questionnaire'!$E$41</definedName>
    <definedName name="inlet_temp">'User questionnaire'!$E$55</definedName>
    <definedName name="length">'User questionnaire'!$E$18</definedName>
    <definedName name="lin_vel">'User questionnaire'!$E$52</definedName>
    <definedName name="lin_vel_flow_rate">Calculations!$B$13</definedName>
    <definedName name="lin_vel_ghsv">Calculations!$B$10</definedName>
    <definedName name="lin_vel_whsv">Calculations!$B$12</definedName>
    <definedName name="linear_velocity_calc">Calculations!$B$14</definedName>
    <definedName name="m_metal">Calculations!$G$16</definedName>
    <definedName name="mass_transfer">'User questionnaire'!$E$70</definedName>
    <definedName name="no_exposed_atoms">Calculations!$G$23</definedName>
    <definedName name="no_metal_atoms">Calculations!$G$22</definedName>
    <definedName name="no_particles">Calculations!$G$8</definedName>
    <definedName name="no_sites_CO">Calculations!$G$30</definedName>
    <definedName name="no_sites_H2">Calculations!$G$29</definedName>
    <definedName name="NP_A_V_ratio">Calculations!$G$18</definedName>
    <definedName name="NP_diameter">'User questionnaire'!$E$43</definedName>
    <definedName name="NP_dispersion">'User questionnaire'!$E$44</definedName>
    <definedName name="NP_SSA">'User questionnaire'!$E$45</definedName>
    <definedName name="particle_fraction">Calculations!$G$6</definedName>
    <definedName name="particle_porosity">'User questionnaire'!$E$39</definedName>
    <definedName name="pressure">'User questionnaire'!$E$54</definedName>
    <definedName name="solid_volume">Calculations!$G$7</definedName>
    <definedName name="source">'User questionnaire'!$D$2</definedName>
    <definedName name="species_1">'User questionnaire'!$E$57</definedName>
    <definedName name="species_10">'User questionnaire'!$E$66</definedName>
    <definedName name="species_2">'User questionnaire'!$E$58</definedName>
    <definedName name="species_3">'User questionnaire'!$E$59</definedName>
    <definedName name="species_4">'User questionnaire'!$E$60</definedName>
    <definedName name="species_5">'User questionnaire'!$E$61</definedName>
    <definedName name="species_6">'User questionnaire'!$E$62</definedName>
    <definedName name="species_7">'User questionnaire'!$E$63</definedName>
    <definedName name="species_8">'User questionnaire'!$E$64</definedName>
    <definedName name="species_9">'User questionnaire'!$E$65</definedName>
    <definedName name="test">'User questionnaire'!$E$70</definedName>
    <definedName name="thermal_mode">'User questionnaire'!$E$68</definedName>
    <definedName name="v_metal">Calculations!$G$17</definedName>
    <definedName name="v_particle">Calculations!$G$5</definedName>
    <definedName name="v_reactor">Calculations!$G$4</definedName>
    <definedName name="wall_temperature">'User questionnaire'!$E$30</definedName>
    <definedName name="wall_therm_cond">'User questionnaire'!$E$32</definedName>
    <definedName name="wall_thickness">'User questionnaire'!$E$31</definedName>
    <definedName name="WHSV">'User questionnaire'!$E$50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B45" i="5" l="1"/>
  <c r="B44" i="5"/>
  <c r="B43" i="5"/>
  <c r="B42" i="5"/>
  <c r="B48" i="5"/>
  <c r="B38" i="5" l="1"/>
  <c r="A5" i="5" l="1"/>
  <c r="A6" i="5"/>
  <c r="A7" i="5"/>
  <c r="A8" i="5"/>
  <c r="A9" i="5"/>
  <c r="A10" i="5"/>
  <c r="A11" i="5"/>
  <c r="A12" i="5"/>
  <c r="A13" i="5"/>
  <c r="A4" i="5"/>
  <c r="C33" i="5" l="1"/>
  <c r="C34" i="5"/>
  <c r="C32" i="5"/>
  <c r="C30" i="5"/>
  <c r="C29" i="5"/>
  <c r="C27" i="5"/>
  <c r="C24" i="5"/>
  <c r="C23" i="5"/>
  <c r="C22" i="5"/>
  <c r="C21" i="5"/>
  <c r="C20" i="5"/>
  <c r="C18" i="5"/>
  <c r="C15" i="5"/>
  <c r="C2" i="5"/>
  <c r="B27" i="5" l="1"/>
  <c r="B47" i="5"/>
  <c r="B3" i="5" s="1"/>
  <c r="B33" i="5"/>
  <c r="B34" i="5"/>
  <c r="B32" i="5"/>
  <c r="B24" i="5"/>
  <c r="B19" i="5"/>
  <c r="B39" i="5" l="1"/>
  <c r="B37" i="5"/>
  <c r="B30" i="5"/>
  <c r="B29" i="5"/>
  <c r="B23" i="5"/>
  <c r="B22" i="5"/>
  <c r="B21" i="5"/>
  <c r="B2" i="5" s="1"/>
  <c r="B20" i="5"/>
  <c r="B18" i="5"/>
  <c r="B15" i="5"/>
  <c r="B13" i="5"/>
  <c r="B12" i="5"/>
  <c r="B11" i="5"/>
  <c r="B10" i="5"/>
  <c r="B9" i="5"/>
  <c r="B8" i="5"/>
  <c r="B7" i="5"/>
  <c r="B6" i="5"/>
  <c r="B5" i="5"/>
  <c r="B4" i="5"/>
  <c r="H23" i="6" l="1"/>
  <c r="J21" i="6" l="1"/>
  <c r="I21" i="6"/>
  <c r="A21" i="6"/>
  <c r="N21" i="6" l="1"/>
  <c r="O21" i="6" s="1"/>
  <c r="J39" i="6"/>
  <c r="I39" i="6"/>
  <c r="A39" i="6"/>
  <c r="B3" i="1"/>
  <c r="G4" i="1"/>
  <c r="K17" i="6"/>
  <c r="N39" i="6" l="1"/>
  <c r="I9" i="6"/>
  <c r="O19" i="6" l="1"/>
  <c r="H16" i="6"/>
  <c r="D23" i="4" s="1"/>
  <c r="N9" i="6"/>
  <c r="O9" i="6" s="1"/>
  <c r="P9" i="6" s="1"/>
  <c r="D30" i="4"/>
  <c r="A23" i="6"/>
  <c r="A24" i="6"/>
  <c r="A25" i="6"/>
  <c r="A26" i="6"/>
  <c r="A27" i="6"/>
  <c r="A28" i="6"/>
  <c r="A11" i="6"/>
  <c r="A12" i="6"/>
  <c r="A13" i="6"/>
  <c r="A14" i="6"/>
  <c r="A15" i="6"/>
  <c r="A16" i="6"/>
  <c r="A17" i="6"/>
  <c r="A18" i="6"/>
  <c r="A19" i="6"/>
  <c r="A20" i="6"/>
  <c r="A30" i="6"/>
  <c r="A31" i="6"/>
  <c r="A32" i="6"/>
  <c r="A34" i="6"/>
  <c r="A35" i="6"/>
  <c r="A36" i="6"/>
  <c r="A37" i="6"/>
  <c r="A38" i="6"/>
  <c r="A40" i="6"/>
  <c r="A42" i="6"/>
  <c r="A43" i="6"/>
  <c r="A44" i="6"/>
  <c r="A45" i="6"/>
  <c r="A47" i="6"/>
  <c r="A48" i="6"/>
  <c r="A50" i="6"/>
  <c r="A51" i="6"/>
  <c r="A52" i="6"/>
  <c r="A53" i="6"/>
  <c r="A54" i="6"/>
  <c r="A55" i="6"/>
  <c r="A56" i="6"/>
  <c r="A57" i="6"/>
  <c r="A58" i="6"/>
  <c r="A59" i="6"/>
  <c r="A61" i="6"/>
  <c r="A62" i="6"/>
  <c r="A63" i="6"/>
  <c r="A9" i="6"/>
  <c r="G9" i="1" l="1"/>
  <c r="G5" i="1"/>
  <c r="J25" i="4"/>
  <c r="J23" i="4"/>
  <c r="J68" i="4"/>
  <c r="I15" i="6"/>
  <c r="J27" i="6" l="1"/>
  <c r="I27" i="6"/>
  <c r="N15" i="6"/>
  <c r="I22" i="4" s="1"/>
  <c r="I28" i="6"/>
  <c r="I62" i="6"/>
  <c r="I61" i="6"/>
  <c r="I68" i="4" s="1"/>
  <c r="J40" i="6"/>
  <c r="I40" i="6"/>
  <c r="I47" i="4" s="1"/>
  <c r="J20" i="6"/>
  <c r="I20" i="6"/>
  <c r="J19" i="6"/>
  <c r="I19" i="6"/>
  <c r="J16" i="6"/>
  <c r="I16" i="6"/>
  <c r="J26" i="6"/>
  <c r="I26" i="6"/>
  <c r="I33" i="4" s="1"/>
  <c r="I23" i="4" l="1"/>
  <c r="N20" i="6"/>
  <c r="O20" i="6" s="1"/>
  <c r="I27" i="4"/>
  <c r="I26" i="4"/>
  <c r="N62" i="6"/>
  <c r="I69" i="4"/>
  <c r="O15" i="6"/>
  <c r="N27" i="6"/>
  <c r="O27" i="6" s="1"/>
  <c r="I34" i="4"/>
  <c r="N28" i="6"/>
  <c r="O28" i="6" s="1"/>
  <c r="I35" i="4"/>
  <c r="N16" i="6"/>
  <c r="N26" i="6"/>
  <c r="N19" i="6"/>
  <c r="N40" i="6"/>
  <c r="J14" i="6"/>
  <c r="I14" i="6"/>
  <c r="G6" i="1"/>
  <c r="B11" i="1"/>
  <c r="O16" i="6" l="1"/>
  <c r="N14" i="6"/>
  <c r="O14" i="6" s="1"/>
  <c r="I21" i="4"/>
  <c r="G30" i="1"/>
  <c r="G29" i="1"/>
  <c r="G28" i="1"/>
  <c r="G27" i="1"/>
  <c r="G25" i="1"/>
  <c r="G26" i="1" s="1"/>
  <c r="G21" i="1"/>
  <c r="G18" i="1"/>
  <c r="G16" i="1"/>
  <c r="G17" i="1" s="1"/>
  <c r="G15" i="1"/>
  <c r="B9" i="1"/>
  <c r="G31" i="1" l="1"/>
  <c r="G32" i="1"/>
  <c r="G22" i="1"/>
  <c r="G23" i="1" s="1"/>
  <c r="G24" i="1" s="1"/>
  <c r="G19" i="1"/>
  <c r="G20" i="1" s="1"/>
  <c r="G7" i="1"/>
  <c r="G8" i="1" s="1"/>
  <c r="G10" i="1" s="1"/>
  <c r="B7" i="1"/>
  <c r="B6" i="1"/>
  <c r="B5" i="1"/>
  <c r="B4" i="1"/>
  <c r="B13" i="1"/>
  <c r="G33" i="1" l="1"/>
  <c r="G34" i="1" s="1"/>
  <c r="B26" i="5" s="1"/>
  <c r="G11" i="1"/>
  <c r="B25" i="5" s="1"/>
  <c r="B10" i="1"/>
  <c r="B12" i="1"/>
  <c r="B14" i="1" l="1"/>
  <c r="A5" i="10"/>
  <c r="A9" i="10"/>
  <c r="A4" i="10"/>
  <c r="A6" i="10"/>
  <c r="A7" i="10"/>
  <c r="A8" i="10"/>
  <c r="J30" i="6"/>
  <c r="I30" i="6"/>
  <c r="N30" i="6" l="1"/>
  <c r="O30" i="6" s="1"/>
  <c r="I37" i="4"/>
  <c r="C5" i="1"/>
  <c r="C6" i="1"/>
  <c r="C7" i="1"/>
  <c r="C4" i="1"/>
  <c r="C24" i="8"/>
  <c r="C15" i="8"/>
  <c r="F1" i="8"/>
  <c r="I31" i="8"/>
  <c r="B34" i="8"/>
  <c r="N7" i="8"/>
  <c r="B35" i="8"/>
  <c r="N8" i="8"/>
  <c r="C8" i="8"/>
  <c r="B43" i="8"/>
  <c r="C12" i="8"/>
  <c r="N16" i="8"/>
  <c r="C13" i="8"/>
  <c r="N10" i="8"/>
  <c r="N5" i="8"/>
  <c r="C5" i="8"/>
  <c r="I37" i="8"/>
  <c r="S39" i="8"/>
  <c r="N6" i="8"/>
  <c r="R12" i="8"/>
  <c r="B41" i="8"/>
  <c r="B33" i="8"/>
  <c r="B36" i="8"/>
  <c r="N4" i="8"/>
  <c r="N9" i="8"/>
  <c r="R11" i="8" l="1"/>
  <c r="P37" i="8"/>
  <c r="M37" i="8"/>
  <c r="R4" i="8"/>
  <c r="C21" i="8"/>
  <c r="C22" i="8" s="1"/>
  <c r="C14" i="8"/>
  <c r="P40" i="8"/>
  <c r="C9" i="8"/>
  <c r="S37" i="8"/>
  <c r="P36" i="8"/>
  <c r="C7" i="8"/>
  <c r="C6" i="8"/>
  <c r="J37" i="6"/>
  <c r="J32" i="6"/>
  <c r="J31" i="6"/>
  <c r="R5" i="8"/>
  <c r="R8" i="8"/>
  <c r="C4" i="8"/>
  <c r="R9" i="8" l="1"/>
  <c r="R10" i="8" s="1"/>
  <c r="P35" i="8"/>
  <c r="I45" i="8"/>
  <c r="M35" i="8"/>
  <c r="C20" i="8"/>
  <c r="I26" i="8" s="1"/>
  <c r="I21" i="8"/>
  <c r="I6" i="8"/>
  <c r="R16" i="8" s="1"/>
  <c r="R6" i="8"/>
  <c r="R7" i="8" s="1"/>
  <c r="I4" i="8"/>
  <c r="P39" i="8"/>
  <c r="M36" i="8"/>
  <c r="I40" i="8" s="1"/>
  <c r="I13" i="8"/>
  <c r="I10" i="8"/>
  <c r="J18" i="6"/>
  <c r="I18" i="6"/>
  <c r="I25" i="4" s="1"/>
  <c r="J13" i="6"/>
  <c r="J12" i="6"/>
  <c r="J23" i="6"/>
  <c r="J24" i="6"/>
  <c r="J25" i="6"/>
  <c r="J11" i="6"/>
  <c r="I24" i="6"/>
  <c r="I25" i="6"/>
  <c r="C16" i="8"/>
  <c r="I29" i="8"/>
  <c r="I32" i="4" l="1"/>
  <c r="I31" i="4"/>
  <c r="R17" i="8"/>
  <c r="I47" i="8"/>
  <c r="P38" i="8"/>
  <c r="M38" i="8"/>
  <c r="C17" i="8"/>
  <c r="I22" i="8"/>
  <c r="I23" i="8" s="1"/>
  <c r="I24" i="8" s="1"/>
  <c r="I39" i="8" s="1"/>
  <c r="I7" i="8"/>
  <c r="I11" i="8" s="1"/>
  <c r="I14" i="8" s="1"/>
  <c r="I8" i="8"/>
  <c r="I33" i="8" s="1"/>
  <c r="I46" i="8"/>
  <c r="N18" i="6"/>
  <c r="N24" i="6"/>
  <c r="N25" i="6"/>
  <c r="C23" i="8"/>
  <c r="I34" i="8"/>
  <c r="O24" i="6" l="1"/>
  <c r="S35" i="8"/>
  <c r="I38" i="8"/>
  <c r="I17" i="8"/>
  <c r="P41" i="8" s="1"/>
  <c r="I16" i="8"/>
  <c r="I32" i="8"/>
  <c r="S36" i="8" s="1"/>
  <c r="I19" i="8"/>
  <c r="P42" i="8" s="1"/>
  <c r="I25" i="8"/>
  <c r="I28" i="8" s="1"/>
  <c r="M39" i="8" s="1"/>
  <c r="J51" i="6"/>
  <c r="J52" i="6"/>
  <c r="J53" i="6"/>
  <c r="J54" i="6"/>
  <c r="J55" i="6"/>
  <c r="J56" i="6"/>
  <c r="J57" i="6"/>
  <c r="J58" i="6"/>
  <c r="J59" i="6"/>
  <c r="I51" i="6"/>
  <c r="I52" i="6"/>
  <c r="I53" i="6"/>
  <c r="I60" i="4" s="1"/>
  <c r="I54" i="6"/>
  <c r="I61" i="4" s="1"/>
  <c r="I55" i="6"/>
  <c r="I62" i="4" s="1"/>
  <c r="I56" i="6"/>
  <c r="I57" i="6"/>
  <c r="I64" i="4" s="1"/>
  <c r="I58" i="6"/>
  <c r="I65" i="4" s="1"/>
  <c r="I59" i="6"/>
  <c r="I66" i="4" s="1"/>
  <c r="I58" i="4" l="1"/>
  <c r="I63" i="4"/>
  <c r="I59" i="4"/>
  <c r="N59" i="6"/>
  <c r="N57" i="6"/>
  <c r="N56" i="6"/>
  <c r="N58" i="6"/>
  <c r="J17" i="6"/>
  <c r="I11" i="6" l="1"/>
  <c r="I18" i="4" s="1"/>
  <c r="I12" i="6"/>
  <c r="I19" i="4" s="1"/>
  <c r="I23" i="6"/>
  <c r="I30" i="4" s="1"/>
  <c r="I13" i="6"/>
  <c r="I20" i="4" s="1"/>
  <c r="I31" i="6"/>
  <c r="I38" i="4" s="1"/>
  <c r="I17" i="6"/>
  <c r="I24" i="4" s="1"/>
  <c r="I32" i="6"/>
  <c r="I39" i="4" s="1"/>
  <c r="I34" i="6"/>
  <c r="J34" i="6"/>
  <c r="I35" i="6"/>
  <c r="J35" i="6"/>
  <c r="I36" i="6"/>
  <c r="J36" i="6"/>
  <c r="I37" i="6"/>
  <c r="I38" i="6"/>
  <c r="J38" i="6"/>
  <c r="I42" i="6"/>
  <c r="J42" i="6"/>
  <c r="I43" i="6"/>
  <c r="J43" i="6"/>
  <c r="I44" i="6"/>
  <c r="J44" i="6"/>
  <c r="I45" i="6"/>
  <c r="I52" i="4" s="1"/>
  <c r="J45" i="6"/>
  <c r="I47" i="6"/>
  <c r="J47" i="6"/>
  <c r="I48" i="6"/>
  <c r="J48" i="6"/>
  <c r="I50" i="6"/>
  <c r="J50" i="6"/>
  <c r="K50" i="6"/>
  <c r="I63" i="6"/>
  <c r="I70" i="4" s="1"/>
  <c r="I50" i="4" l="1"/>
  <c r="I51" i="4"/>
  <c r="I45" i="4"/>
  <c r="I41" i="4"/>
  <c r="I43" i="4"/>
  <c r="I57" i="4"/>
  <c r="I49" i="4"/>
  <c r="I44" i="4"/>
  <c r="N37" i="6"/>
  <c r="I42" i="4"/>
  <c r="N63" i="6"/>
  <c r="O63" i="6" s="1"/>
  <c r="N61" i="6"/>
  <c r="O61" i="6" s="1"/>
  <c r="N17" i="6"/>
  <c r="O17" i="6" s="1"/>
  <c r="N32" i="6"/>
  <c r="O32" i="6" s="1"/>
  <c r="N31" i="6"/>
  <c r="O31" i="6" s="1"/>
  <c r="P30" i="6" s="1"/>
  <c r="N11" i="6"/>
  <c r="O11" i="6" s="1"/>
  <c r="N50" i="6"/>
  <c r="N53" i="6"/>
  <c r="N13" i="6"/>
  <c r="O13" i="6" s="1"/>
  <c r="N34" i="6"/>
  <c r="N54" i="6"/>
  <c r="N48" i="6"/>
  <c r="O48" i="6" s="1"/>
  <c r="N23" i="6"/>
  <c r="O23" i="6" s="1"/>
  <c r="P23" i="6" s="1"/>
  <c r="N47" i="6"/>
  <c r="O47" i="6" s="1"/>
  <c r="N44" i="6"/>
  <c r="N42" i="6"/>
  <c r="N45" i="6"/>
  <c r="N12" i="6"/>
  <c r="O12" i="6" s="1"/>
  <c r="N36" i="6"/>
  <c r="N55" i="6"/>
  <c r="N51" i="6"/>
  <c r="N43" i="6"/>
  <c r="N38" i="6"/>
  <c r="N35" i="6"/>
  <c r="N52" i="6"/>
  <c r="O50" i="6" l="1"/>
  <c r="P50" i="6" s="1"/>
  <c r="J57" i="4" s="1"/>
  <c r="P11" i="6"/>
  <c r="O34" i="6"/>
  <c r="P34" i="6" s="1"/>
  <c r="J41" i="4" s="1"/>
  <c r="O42" i="6"/>
  <c r="P61" i="6"/>
  <c r="J49" i="4" l="1"/>
  <c r="P42" i="6"/>
  <c r="I72" i="4" s="1"/>
  <c r="J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C2" authorId="0" shapeId="0" xr:uid="{B3EA3FA6-436B-4C75-A17C-7CDD00E6AEFF}">
      <text>
        <r>
          <rPr>
            <b/>
            <sz val="9"/>
            <color indexed="81"/>
            <rFont val="Tahoma"/>
            <family val="2"/>
          </rPr>
          <t>Here you may input your working group, project, or doi for published experiments.</t>
        </r>
      </text>
    </comment>
    <comment ref="C3" authorId="0" shapeId="0" xr:uid="{73904AF4-255F-4CE3-83A9-460D69E6BD90}">
      <text>
        <r>
          <rPr>
            <b/>
            <sz val="9"/>
            <color indexed="81"/>
            <rFont val="Tahoma"/>
            <family val="2"/>
          </rPr>
          <t>If you need further details (e.g. the figure in a reference) to specify the experiment, input this here.</t>
        </r>
      </text>
    </comment>
    <comment ref="C4" authorId="0" shapeId="0" xr:uid="{BA4F25F8-DA4B-41E1-AE49-ED485BC54989}">
      <text>
        <r>
          <rPr>
            <b/>
            <sz val="9"/>
            <color indexed="81"/>
            <rFont val="Tahoma"/>
            <family val="2"/>
          </rPr>
          <t>Operator who conducted the experiment.</t>
        </r>
      </text>
    </comment>
    <comment ref="C5" authorId="0" shapeId="0" xr:uid="{62ECBD78-B349-4907-80C7-B7FF270BEE6B}">
      <text>
        <r>
          <rPr>
            <b/>
            <sz val="9"/>
            <color indexed="81"/>
            <rFont val="Tahoma"/>
            <family val="2"/>
          </rPr>
          <t>Date when the experiment was conducted.</t>
        </r>
      </text>
    </comment>
    <comment ref="C8" authorId="0" shapeId="0" xr:uid="{7B38940D-74A2-40CA-8DA6-C6616F827127}">
      <text>
        <r>
          <rPr>
            <b/>
            <sz val="9"/>
            <color indexed="81"/>
            <rFont val="Tahoma"/>
            <family val="2"/>
          </rPr>
          <t>Refers to the species available in the reaction, e.g. CH4/CO2/CO/H2O/H2 for a methanation experiment.</t>
        </r>
      </text>
    </comment>
    <comment ref="C9" authorId="0" shapeId="0" xr:uid="{61424FEE-7446-4AA0-B428-EFFA5936A777}">
      <text>
        <r>
          <rPr>
            <b/>
            <sz val="9"/>
            <color indexed="81"/>
            <rFont val="Tahoma"/>
            <family val="2"/>
          </rPr>
          <t>Date of entry into this Excel sheet.</t>
        </r>
      </text>
    </comment>
    <comment ref="C16" authorId="0" shapeId="0" xr:uid="{7F5A71A3-5EE7-4D04-BA7A-2D56C7C2505D}">
      <text>
        <r>
          <rPr>
            <b/>
            <sz val="9"/>
            <color indexed="81"/>
            <rFont val="Tahoma"/>
            <family val="2"/>
          </rPr>
          <t>What is the type of experiment? Either "end-of-pipe" (function of temperature) or "spaci" (function of axial reactor position)</t>
        </r>
        <r>
          <rPr>
            <sz val="9"/>
            <color indexed="81"/>
            <rFont val="Tahoma"/>
            <family val="2"/>
          </rPr>
          <t xml:space="preserve">.
</t>
        </r>
      </text>
    </comment>
    <comment ref="C18" authorId="0" shapeId="0" xr:uid="{9D09579B-B2CE-4F21-9424-1CDB6597AF49}">
      <text>
        <r>
          <rPr>
            <b/>
            <sz val="9"/>
            <color indexed="81"/>
            <rFont val="Tahoma"/>
            <family val="2"/>
          </rPr>
          <t>Length of the particle bed without heat shields</t>
        </r>
      </text>
    </comment>
    <comment ref="C19" authorId="0" shapeId="0" xr:uid="{66BC4928-C262-4C33-9619-63DCF27095B9}">
      <text>
        <r>
          <rPr>
            <b/>
            <sz val="9"/>
            <color indexed="81"/>
            <rFont val="Tahoma"/>
            <family val="2"/>
          </rPr>
          <t>Radius of the catalyst bed, e.g. inner radius of the containing glass tube</t>
        </r>
      </text>
    </comment>
    <comment ref="C20" authorId="0" shapeId="0" xr:uid="{16DB349E-8E9A-46FF-9492-0DE4CFF84372}">
      <text>
        <r>
          <rPr>
            <b/>
            <sz val="9"/>
            <color indexed="81"/>
            <rFont val="Tahoma"/>
            <family val="2"/>
          </rPr>
          <t>Mass of the powder bed (catalyst+support)</t>
        </r>
      </text>
    </comment>
    <comment ref="C21" authorId="0" shapeId="0" xr:uid="{84AFA1E4-580B-449A-AFB2-8CFC6D82196E}">
      <text>
        <r>
          <rPr>
            <b/>
            <sz val="9"/>
            <color indexed="81"/>
            <rFont val="Tahoma"/>
            <family val="2"/>
          </rPr>
          <t>Void fraction of the fixed bed (outer porosity)</t>
        </r>
      </text>
    </comment>
    <comment ref="C22" authorId="0" shapeId="0" xr:uid="{5DF6BD6C-44F2-43DB-97FF-EA20D5784099}">
      <text>
        <r>
          <rPr>
            <b/>
            <sz val="9"/>
            <color indexed="81"/>
            <rFont val="Tahoma"/>
            <family val="2"/>
          </rPr>
          <t>Shape of the fixed bed particles. "sphere" and "cylinder" are possible.</t>
        </r>
      </text>
    </comment>
    <comment ref="C23" authorId="0" shapeId="0" xr:uid="{945D6F5D-72C4-45C2-8C39-CFFD318D4124}">
      <text>
        <r>
          <rPr>
            <b/>
            <sz val="9"/>
            <color indexed="81"/>
            <rFont val="Tahoma"/>
            <family val="2"/>
          </rPr>
          <t>Particle length in the case of cylindrical particles.</t>
        </r>
      </text>
    </comment>
    <comment ref="C24" authorId="0" shapeId="0" xr:uid="{532C0701-5F45-48BE-AD5A-8B12471D4A36}">
      <text>
        <r>
          <rPr>
            <b/>
            <sz val="9"/>
            <color indexed="81"/>
            <rFont val="Tahoma"/>
            <family val="2"/>
          </rPr>
          <t>Average diameter of the powder bed particles (support, not active species)</t>
        </r>
      </text>
    </comment>
    <comment ref="C25" authorId="0" shapeId="0" xr:uid="{D37DDCDA-098F-4AAB-B8E8-615F4E36EFB2}">
      <text>
        <r>
          <rPr>
            <b/>
            <sz val="9"/>
            <color indexed="81"/>
            <rFont val="Tahoma"/>
            <family val="2"/>
          </rPr>
          <t>Thermal conductivity of the support particles</t>
        </r>
      </text>
    </comment>
    <comment ref="D25" authorId="0" shapeId="0" xr:uid="{A197657D-9745-4764-99FA-664B7D2B6576}">
      <text>
        <r>
          <rPr>
            <b/>
            <sz val="9"/>
            <color indexed="81"/>
            <rFont val="Tahoma"/>
            <family val="2"/>
          </rPr>
          <t>Parameters only required if both "adiabatic" and "isothermal" are set to "no" and neither 2* nor 3* are provided</t>
        </r>
      </text>
    </comment>
    <comment ref="G25" authorId="0" shapeId="0" xr:uid="{35BB5BEF-9FD3-4CF5-8DA4-3106E7B89388}">
      <text>
        <r>
          <rPr>
            <b/>
            <sz val="9"/>
            <color indexed="81"/>
            <rFont val="Tahoma"/>
            <family val="2"/>
          </rPr>
          <t>Here you may enter your own units. You must separate multiplicative units with a space, e.g. "W/m K", not "W/mK".</t>
        </r>
      </text>
    </comment>
    <comment ref="C26" authorId="0" shapeId="0" xr:uid="{D0EA56CA-8F25-474C-9C29-D1F71A1AD74A}">
      <text>
        <r>
          <rPr>
            <b/>
            <sz val="9"/>
            <color indexed="81"/>
            <rFont val="Tahoma"/>
            <family val="2"/>
          </rPr>
          <t>Radial thermal conductivity of the fixed bed particles.</t>
        </r>
      </text>
    </comment>
    <comment ref="G26" authorId="0" shapeId="0" xr:uid="{288220C1-64D2-47BA-A195-853DE8B7C148}">
      <text>
        <r>
          <rPr>
            <b/>
            <sz val="9"/>
            <color indexed="81"/>
            <rFont val="Tahoma"/>
            <family val="2"/>
          </rPr>
          <t>Dimension: mass*length/time</t>
        </r>
        <r>
          <rPr>
            <b/>
            <vertAlign val="superscript"/>
            <sz val="9"/>
            <color indexed="81"/>
            <rFont val="Tahoma"/>
            <family val="2"/>
          </rPr>
          <t>3</t>
        </r>
        <r>
          <rPr>
            <b/>
            <sz val="9"/>
            <color indexed="81"/>
            <rFont val="Tahoma"/>
            <family val="2"/>
          </rPr>
          <t>/temperature
Example:
W/m K</t>
        </r>
      </text>
    </comment>
    <comment ref="C27" authorId="0" shapeId="0" xr:uid="{477385E9-B92B-489D-A75B-9A97C53DFDA5}">
      <text>
        <r>
          <rPr>
            <b/>
            <sz val="9"/>
            <color indexed="81"/>
            <rFont val="Tahoma"/>
            <family val="2"/>
          </rPr>
          <t>Ratio of the area of the fixed bed particles (only outer surface, no internal pores) to the volume of the bed.</t>
        </r>
      </text>
    </comment>
    <comment ref="C28" authorId="0" shapeId="0" xr:uid="{97B94656-25C1-485D-B926-3E3A74C74C91}">
      <text>
        <r>
          <rPr>
            <b/>
            <sz val="9"/>
            <color indexed="81"/>
            <rFont val="Tahoma"/>
            <family val="2"/>
          </rPr>
          <t>The density of the fixed bed material (not including void volume).</t>
        </r>
      </text>
    </comment>
    <comment ref="C30" authorId="0" shapeId="0" xr:uid="{BC66259F-A58B-4DD1-9EFB-59EA595642ED}">
      <text>
        <r>
          <rPr>
            <b/>
            <sz val="9"/>
            <color indexed="81"/>
            <rFont val="Tahoma"/>
            <family val="2"/>
          </rPr>
          <t>Temperature of reactor, e.g. the oven/tube/fixed bed. If this is a spatially resolved experiment, please provide the temperature in front of the catalyst bed here and the spatially resolved values in the sheet for experimental data. In case of a light-off exp, this field is not required.</t>
        </r>
      </text>
    </comment>
    <comment ref="G30" authorId="0" shapeId="0" xr:uid="{4470EAF8-7263-4F07-A056-BE090C57BB63}">
      <text>
        <r>
          <rPr>
            <b/>
            <sz val="9"/>
            <color indexed="81"/>
            <rFont val="Tahoma"/>
            <family val="2"/>
          </rPr>
          <t>Dimension: Temperature
Examples:
K, °C</t>
        </r>
      </text>
    </comment>
    <comment ref="C31" authorId="0" shapeId="0" xr:uid="{9CA2BA5F-446B-4D3F-AB42-80EE5709737F}">
      <text>
        <r>
          <rPr>
            <b/>
            <sz val="9"/>
            <color indexed="81"/>
            <rFont val="Tahoma"/>
            <family val="2"/>
          </rPr>
          <t>Thickness of the reactor housing (e.g. glass tube between fixed bed and oven)</t>
        </r>
        <r>
          <rPr>
            <sz val="9"/>
            <color indexed="81"/>
            <rFont val="Tahoma"/>
            <family val="2"/>
          </rPr>
          <t xml:space="preserve">
</t>
        </r>
      </text>
    </comment>
    <comment ref="D31" authorId="0" shapeId="0" xr:uid="{0185ED88-8D5D-4010-BD7F-89537AAF0F83}">
      <text>
        <r>
          <rPr>
            <b/>
            <sz val="9"/>
            <color indexed="81"/>
            <rFont val="Tahoma"/>
            <family val="2"/>
          </rPr>
          <t>Parameters only required if both "adiabatic" and "isothermal" are set to "no".
In that case, you must provide either all parameters in 1*, 2*, or 3*;
3 will overwrite 2, which will overwrite 1.</t>
        </r>
        <r>
          <rPr>
            <sz val="9"/>
            <color indexed="81"/>
            <rFont val="Tahoma"/>
            <family val="2"/>
          </rPr>
          <t xml:space="preserve">
</t>
        </r>
      </text>
    </comment>
    <comment ref="G31" authorId="0" shapeId="0" xr:uid="{0809EB28-0C54-4634-9A7A-AC33178EC140}">
      <text>
        <r>
          <rPr>
            <b/>
            <sz val="9"/>
            <color indexed="81"/>
            <rFont val="Tahoma"/>
            <family val="2"/>
          </rPr>
          <t>Dimension:
Length
Example:
m</t>
        </r>
      </text>
    </comment>
    <comment ref="C32" authorId="0" shapeId="0" xr:uid="{43B5B34E-4CF9-4234-9436-0D2990FFD327}">
      <text>
        <r>
          <rPr>
            <b/>
            <sz val="9"/>
            <color indexed="81"/>
            <rFont val="Tahoma"/>
            <family val="2"/>
          </rPr>
          <t>Thermal conductivity of the reactor housing (e.g. glass tube between fixed bed and oven)</t>
        </r>
      </text>
    </comment>
    <comment ref="G32" authorId="0" shapeId="0" xr:uid="{028AA3D5-1C87-40AF-B578-F49BB29EF304}">
      <text>
        <r>
          <rPr>
            <b/>
            <sz val="9"/>
            <color indexed="81"/>
            <rFont val="Tahoma"/>
            <family val="2"/>
          </rPr>
          <t>Dimension: mass*length/time3/temperature
Example:
W/m K</t>
        </r>
        <r>
          <rPr>
            <sz val="9"/>
            <color indexed="81"/>
            <rFont val="Tahoma"/>
            <family val="2"/>
          </rPr>
          <t xml:space="preserve">
</t>
        </r>
      </text>
    </comment>
    <comment ref="C33" authorId="0" shapeId="0" xr:uid="{F9250FC0-8282-47B9-B8AC-8031A24D8000}">
      <text>
        <r>
          <rPr>
            <b/>
            <sz val="9"/>
            <color indexed="81"/>
            <rFont val="Tahoma"/>
            <family val="2"/>
          </rPr>
          <t>Heat transfer coefficient outside of the wall.</t>
        </r>
      </text>
    </comment>
    <comment ref="G33" authorId="0" shapeId="0" xr:uid="{8FF68555-0831-4FF8-AD39-560574FEF521}">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text>
    </comment>
    <comment ref="C34" authorId="0" shapeId="0" xr:uid="{CC7BC7A1-73F4-4C9D-9A5B-131F8FB91FA4}">
      <text>
        <r>
          <rPr>
            <b/>
            <sz val="9"/>
            <color indexed="81"/>
            <rFont val="Tahoma"/>
            <family val="2"/>
          </rPr>
          <t>Heat transfer coefficient on the outside and through the wall. Overwrites section 1*.</t>
        </r>
      </text>
    </comment>
    <comment ref="G34" authorId="0" shapeId="0" xr:uid="{19D282E9-DCDF-4090-8730-8407BA4C611E}">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r>
          <rPr>
            <sz val="9"/>
            <color indexed="81"/>
            <rFont val="Tahoma"/>
            <family val="2"/>
          </rPr>
          <t xml:space="preserve">
</t>
        </r>
      </text>
    </comment>
    <comment ref="C35" authorId="0" shapeId="0" xr:uid="{652DAB2C-0ED1-441B-83FC-8498AD689A52}">
      <text>
        <r>
          <rPr>
            <b/>
            <sz val="9"/>
            <color indexed="81"/>
            <rFont val="Tahoma"/>
            <family val="2"/>
          </rPr>
          <t>Heat flux towards the reactor (positive values) or away from the reactor (negative) from/towards the outside. Overwrites sections 2* and 1*.</t>
        </r>
      </text>
    </comment>
    <comment ref="G35" authorId="0" shapeId="0" xr:uid="{0359582C-11A1-494D-BD0A-A0C5D0310F30}">
      <text>
        <r>
          <rPr>
            <b/>
            <sz val="9"/>
            <color indexed="81"/>
            <rFont val="Tahoma"/>
            <family val="2"/>
          </rPr>
          <t>Dimension: 
mass*length2/time3/temperature
Example:
W/m2 K</t>
        </r>
        <r>
          <rPr>
            <sz val="9"/>
            <color indexed="81"/>
            <rFont val="Tahoma"/>
            <family val="2"/>
          </rPr>
          <t xml:space="preserve">
</t>
        </r>
      </text>
    </comment>
    <comment ref="C37" authorId="0" shapeId="0" xr:uid="{ADE262AE-52DE-4FF7-BE90-F540161F3EA8}">
      <text>
        <r>
          <rPr>
            <b/>
            <sz val="9"/>
            <color indexed="81"/>
            <rFont val="Tahoma"/>
            <family val="2"/>
          </rPr>
          <t>Species of the used catalyst/active component (e.g. Pd,Ni)</t>
        </r>
      </text>
    </comment>
    <comment ref="E37" authorId="0" shapeId="0" xr:uid="{81D4992C-3FD8-4AAA-9DF2-F202ED28D988}">
      <text>
        <r>
          <rPr>
            <b/>
            <sz val="9"/>
            <color indexed="81"/>
            <rFont val="Tahoma"/>
            <family val="2"/>
          </rPr>
          <t>If your catalyst does not appear in this list, please note its name, density, surface site density and molar mass in the "extra info" field below.</t>
        </r>
      </text>
    </comment>
    <comment ref="C38" authorId="0" shapeId="0" xr:uid="{102CEB81-5512-4284-8AF4-37E104BCAEE5}">
      <text>
        <r>
          <rPr>
            <b/>
            <sz val="9"/>
            <color indexed="81"/>
            <rFont val="Tahoma"/>
            <family val="2"/>
          </rPr>
          <t>Weight percentage of the active species, relative to the mass of the powder bed</t>
        </r>
      </text>
    </comment>
    <comment ref="C39" authorId="0" shapeId="0" xr:uid="{7BA4D5AD-FC5D-4E3E-B932-48BE9DA99797}">
      <text>
        <r>
          <rPr>
            <b/>
            <sz val="9"/>
            <color indexed="81"/>
            <rFont val="Tahoma"/>
            <family val="2"/>
          </rPr>
          <t>Internal porosity of the support particles</t>
        </r>
      </text>
    </comment>
    <comment ref="C41" authorId="0" shapeId="0" xr:uid="{3A549995-3E3D-49AC-97EB-F7BB55493DAD}">
      <text>
        <r>
          <rPr>
            <b/>
            <sz val="9"/>
            <color indexed="81"/>
            <rFont val="Tahoma"/>
            <family val="2"/>
          </rPr>
          <t>Amount of H2 adsorbed in chemisorption measurement, per g of catalyst+support</t>
        </r>
      </text>
    </comment>
    <comment ref="C42" authorId="0" shapeId="0" xr:uid="{A6EA2044-8F85-4596-9190-AE05E8668260}">
      <text>
        <r>
          <rPr>
            <b/>
            <sz val="9"/>
            <color indexed="81"/>
            <rFont val="Tahoma"/>
            <family val="2"/>
          </rPr>
          <t>Amount of CO adsorbed in chemisorption measurement, per g of catalyst+support</t>
        </r>
        <r>
          <rPr>
            <sz val="9"/>
            <color indexed="81"/>
            <rFont val="Tahoma"/>
            <family val="2"/>
          </rPr>
          <t xml:space="preserve">
</t>
        </r>
      </text>
    </comment>
    <comment ref="C43" authorId="0" shapeId="0" xr:uid="{07387A37-FCD9-4BD2-B6F0-64316AB7BB0A}">
      <text>
        <r>
          <rPr>
            <b/>
            <sz val="9"/>
            <color indexed="81"/>
            <rFont val="Tahoma"/>
            <family val="2"/>
          </rPr>
          <t>Average nanoparticle diameter of the active species</t>
        </r>
      </text>
    </comment>
    <comment ref="C44" authorId="0" shapeId="0" xr:uid="{3F92FD35-87FC-42D8-AEF7-62C2701DFF6B}">
      <text>
        <r>
          <rPr>
            <b/>
            <sz val="9"/>
            <color indexed="81"/>
            <rFont val="Tahoma"/>
            <family val="2"/>
          </rPr>
          <t>Percentage of the atoms of the active species that are available for catalytic reactions</t>
        </r>
      </text>
    </comment>
    <comment ref="C45" authorId="0" shapeId="0" xr:uid="{1C189861-79EA-418E-A21D-91DA586E6608}">
      <text>
        <r>
          <rPr>
            <b/>
            <sz val="9"/>
            <color indexed="81"/>
            <rFont val="Tahoma"/>
            <family val="2"/>
          </rPr>
          <t>Specific surface area of the active species/metal, per gram of catalyst+support</t>
        </r>
        <r>
          <rPr>
            <sz val="9"/>
            <color indexed="81"/>
            <rFont val="Tahoma"/>
            <family val="2"/>
          </rPr>
          <t xml:space="preserve">
</t>
        </r>
      </text>
    </comment>
    <comment ref="C46" authorId="0" shapeId="0" xr:uid="{0F05852D-4ADF-4CDB-ADD2-CD4FB911F374}">
      <text>
        <r>
          <rPr>
            <b/>
            <sz val="9"/>
            <color indexed="81"/>
            <rFont val="Tahoma"/>
            <family val="2"/>
          </rPr>
          <t>The specific surface area of the catalyst, normalized with the volume of the fixed bed.</t>
        </r>
      </text>
    </comment>
    <comment ref="C47" authorId="0" shapeId="0" xr:uid="{ADBF1E55-071B-4E63-870E-37145ED8DEA6}">
      <text>
        <r>
          <rPr>
            <b/>
            <sz val="9"/>
            <color indexed="81"/>
            <rFont val="Tahoma"/>
            <family val="2"/>
          </rPr>
          <t>Ratio of the catalytic surface area to the geometric area of the bed particles.</t>
        </r>
      </text>
    </comment>
    <comment ref="C49" authorId="0" shapeId="0" xr:uid="{30AED83B-79D2-45CE-9B77-E39BC5F20790}">
      <text>
        <r>
          <rPr>
            <b/>
            <sz val="9"/>
            <color indexed="81"/>
            <rFont val="Tahoma"/>
            <family val="2"/>
          </rPr>
          <t>Gas hourly space velocity, the ratio of ratio of volume flux to reactor volume, at the temperature specified below</t>
        </r>
      </text>
    </comment>
    <comment ref="C50" authorId="0" shapeId="0" xr:uid="{08F2105B-4977-47A0-B966-737332FD2A87}">
      <text>
        <r>
          <rPr>
            <b/>
            <sz val="9"/>
            <color indexed="81"/>
            <rFont val="Tahoma"/>
            <family val="2"/>
          </rPr>
          <t>Weight hourly space velocity, volume flux normalized by the mass of catalyst+support, at the temperature specified below</t>
        </r>
      </text>
    </comment>
    <comment ref="C51" authorId="0" shapeId="0" xr:uid="{627D0A24-A8A7-46A7-B4C7-63CCD24654D5}">
      <text>
        <r>
          <rPr>
            <b/>
            <sz val="9"/>
            <color indexed="81"/>
            <rFont val="Tahoma"/>
            <family val="2"/>
          </rPr>
          <t>Combined flux of all gases at the reference temperature specified below</t>
        </r>
        <r>
          <rPr>
            <sz val="9"/>
            <color indexed="81"/>
            <rFont val="Tahoma"/>
            <family val="2"/>
          </rPr>
          <t xml:space="preserve">
</t>
        </r>
      </text>
    </comment>
    <comment ref="C52" authorId="0" shapeId="0" xr:uid="{1EBFE11C-50A7-4E9B-9045-E0C178F6753E}">
      <text>
        <r>
          <rPr>
            <b/>
            <sz val="9"/>
            <color indexed="81"/>
            <rFont val="Tahoma"/>
            <family val="2"/>
          </rPr>
          <t>Linear velocity of the combined gas flow at the temperature specified below</t>
        </r>
        <r>
          <rPr>
            <sz val="9"/>
            <color indexed="81"/>
            <rFont val="Tahoma"/>
            <family val="2"/>
          </rPr>
          <t xml:space="preserve">
</t>
        </r>
      </text>
    </comment>
    <comment ref="C54" authorId="0" shapeId="0" xr:uid="{028C823F-E865-487D-889C-93DC26D5078D}">
      <text>
        <r>
          <rPr>
            <b/>
            <sz val="9"/>
            <color indexed="81"/>
            <rFont val="Tahoma"/>
            <family val="2"/>
          </rPr>
          <t>Pressure inside the reactor</t>
        </r>
        <r>
          <rPr>
            <sz val="9"/>
            <color indexed="81"/>
            <rFont val="Tahoma"/>
            <family val="2"/>
          </rPr>
          <t xml:space="preserve">
</t>
        </r>
      </text>
    </comment>
    <comment ref="G54" authorId="0" shapeId="0" xr:uid="{497205F1-DD39-4D03-A735-A3C0A7A2FD38}">
      <text>
        <r>
          <rPr>
            <b/>
            <sz val="9"/>
            <color indexed="81"/>
            <rFont val="Tahoma"/>
            <family val="2"/>
          </rPr>
          <t>Dimension:
mass/length/time</t>
        </r>
        <r>
          <rPr>
            <b/>
            <vertAlign val="superscript"/>
            <sz val="9"/>
            <color indexed="81"/>
            <rFont val="Tahoma"/>
            <family val="2"/>
          </rPr>
          <t xml:space="preserve">2
</t>
        </r>
        <r>
          <rPr>
            <b/>
            <sz val="9"/>
            <color indexed="81"/>
            <rFont val="Tahoma"/>
            <family val="2"/>
          </rPr>
          <t>Example:
bar</t>
        </r>
        <r>
          <rPr>
            <sz val="9"/>
            <color indexed="81"/>
            <rFont val="Tahoma"/>
            <family val="2"/>
          </rPr>
          <t xml:space="preserve">
</t>
        </r>
      </text>
    </comment>
    <comment ref="C55" authorId="0" shapeId="0" xr:uid="{3233FF06-CF17-482D-B696-52F4A0FEB816}">
      <text>
        <r>
          <rPr>
            <b/>
            <sz val="9"/>
            <color indexed="81"/>
            <rFont val="Tahoma"/>
            <family val="2"/>
          </rPr>
          <t>The temperature of the gas directly in front of the reactor.</t>
        </r>
      </text>
    </comment>
    <comment ref="G55" authorId="0" shapeId="0" xr:uid="{9FE1B678-3781-461E-9DCA-9A851C99D937}">
      <text>
        <r>
          <rPr>
            <b/>
            <sz val="9"/>
            <color indexed="81"/>
            <rFont val="Tahoma"/>
            <family val="2"/>
          </rPr>
          <t>Dimension:
temperature
Examples:
K, °C</t>
        </r>
        <r>
          <rPr>
            <sz val="9"/>
            <color indexed="81"/>
            <rFont val="Tahoma"/>
            <family val="2"/>
          </rPr>
          <t xml:space="preserve">
</t>
        </r>
      </text>
    </comment>
    <comment ref="C57" authorId="0" shapeId="0" xr:uid="{E413027D-FB9E-4CF8-9A46-66F39F8CFF68}">
      <text>
        <r>
          <rPr>
            <b/>
            <sz val="9"/>
            <color indexed="81"/>
            <rFont val="Tahoma"/>
            <family val="2"/>
          </rPr>
          <t>Customizable list of reactants, e.g. H2, CO</t>
        </r>
        <r>
          <rPr>
            <b/>
            <vertAlign val="subscript"/>
            <sz val="9"/>
            <color indexed="81"/>
            <rFont val="Tahoma"/>
            <family val="2"/>
          </rPr>
          <t>2</t>
        </r>
        <r>
          <rPr>
            <b/>
            <sz val="9"/>
            <color indexed="81"/>
            <rFont val="Tahoma"/>
            <family val="2"/>
          </rPr>
          <t>, HE, Ar, with mole fractions (as fractions, not %). Only element symbols and molecular formulas are permitted, not names (e.g. methane).</t>
        </r>
      </text>
    </comment>
    <comment ref="C68" authorId="0" shapeId="0" xr:uid="{7322823B-5A1F-4F88-A52A-1A254B97DDD6}">
      <text>
        <r>
          <rPr>
            <b/>
            <sz val="9"/>
            <color indexed="81"/>
            <rFont val="Tahoma"/>
            <family val="2"/>
          </rPr>
          <t>Is the experiment isothermal (constant temperature)? "yes" or "no"</t>
        </r>
      </text>
    </comment>
    <comment ref="C69" authorId="0" shapeId="0" xr:uid="{A40004D4-070D-4249-B5AB-3CA08215151A}">
      <text>
        <r>
          <rPr>
            <b/>
            <sz val="9"/>
            <color indexed="81"/>
            <rFont val="Tahoma"/>
            <family val="2"/>
          </rPr>
          <t>Is the experiment adiabatic (no heat exchange with the outside of the reactor)? "yes" or "no"</t>
        </r>
        <r>
          <rPr>
            <sz val="9"/>
            <color indexed="81"/>
            <rFont val="Tahoma"/>
            <family val="2"/>
          </rPr>
          <t xml:space="preserve">
</t>
        </r>
      </text>
    </comment>
    <comment ref="C70" authorId="0" shapeId="0" xr:uid="{1F4F2F38-2898-42FE-8EA5-EC85990D0991}">
      <text>
        <r>
          <rPr>
            <b/>
            <sz val="9"/>
            <color indexed="81"/>
            <rFont val="Tahoma"/>
            <family val="2"/>
          </rPr>
          <t>Should mass transfer resistance be accounted for? (yes or no)</t>
        </r>
      </text>
    </comment>
    <comment ref="C77" authorId="0" shapeId="0" xr:uid="{60E38A84-5DA2-423A-8C76-F7F06E59BAB8}">
      <text>
        <r>
          <rPr>
            <b/>
            <sz val="9"/>
            <color indexed="81"/>
            <rFont val="Tahoma"/>
            <family val="2"/>
          </rPr>
          <t>If you have any more information stored online, e.g. tomographic data, paste the link here.</t>
        </r>
      </text>
    </comment>
    <comment ref="C78" authorId="0" shapeId="0" xr:uid="{5051ED0F-F1EC-4A0F-8B68-504F5500789C}">
      <text>
        <r>
          <rPr>
            <b/>
            <sz val="9"/>
            <color indexed="81"/>
            <rFont val="Tahoma"/>
            <family val="2"/>
          </rPr>
          <t>If you have any further data you want to make available in the database, include it in this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A3" authorId="0" shapeId="0" xr:uid="{5E991A46-1BCE-44F7-88ED-ECD8FE290AB6}">
      <text>
        <r>
          <rPr>
            <b/>
            <sz val="9"/>
            <color indexed="81"/>
            <rFont val="Tahoma"/>
            <family val="2"/>
          </rPr>
          <t>Do not change anything in this column!</t>
        </r>
      </text>
    </comment>
    <comment ref="B3" authorId="0" shapeId="0" xr:uid="{9B8CDF99-D116-4408-BB58-129AE95708ED}">
      <text>
        <r>
          <rPr>
            <b/>
            <sz val="9"/>
            <color indexed="81"/>
            <rFont val="Tahoma"/>
            <family val="2"/>
          </rPr>
          <t>This is your independent variable: Temperature (in K) for light-off expeirments, axial coordinate (in m) for spatially resolved expeirments.</t>
        </r>
        <r>
          <rPr>
            <sz val="9"/>
            <color indexed="81"/>
            <rFont val="Tahoma"/>
            <family val="2"/>
          </rPr>
          <t xml:space="preserve">
</t>
        </r>
      </text>
    </comment>
    <comment ref="C3" authorId="0" shapeId="0" xr:uid="{0ABBAE1B-E106-4743-965A-3D049D48A5E5}">
      <text>
        <r>
          <rPr>
            <b/>
            <sz val="9"/>
            <color indexed="81"/>
            <rFont val="Tahoma"/>
            <family val="2"/>
          </rPr>
          <t>In the remaining columns, enter your species concentrations as mole fractions (not %). The order is not relevant.</t>
        </r>
        <r>
          <rPr>
            <sz val="9"/>
            <color indexed="81"/>
            <rFont val="Tahoma"/>
            <family val="2"/>
          </rPr>
          <t xml:space="preserve">
</t>
        </r>
      </text>
    </comment>
  </commentList>
</comments>
</file>

<file path=xl/sharedStrings.xml><?xml version="1.0" encoding="utf-8"?>
<sst xmlns="http://schemas.openxmlformats.org/spreadsheetml/2006/main" count="1050" uniqueCount="546">
  <si>
    <t>DETCHEM conversion sheet</t>
  </si>
  <si>
    <t>Experiment:</t>
  </si>
  <si>
    <t>PACKED BED</t>
  </si>
  <si>
    <t>CALCULATIONS</t>
  </si>
  <si>
    <t>CATALYST</t>
  </si>
  <si>
    <t>length</t>
  </si>
  <si>
    <t>l</t>
  </si>
  <si>
    <t>m</t>
  </si>
  <si>
    <t>PACKEDBED</t>
  </si>
  <si>
    <t>Effective radius</t>
  </si>
  <si>
    <t>r'</t>
  </si>
  <si>
    <t>NP diameter</t>
  </si>
  <si>
    <t>A/V</t>
  </si>
  <si>
    <t>1/m</t>
  </si>
  <si>
    <t>NP</t>
  </si>
  <si>
    <t>diameter</t>
  </si>
  <si>
    <t>D</t>
  </si>
  <si>
    <t>cat density</t>
  </si>
  <si>
    <t>g/m^3</t>
  </si>
  <si>
    <t>V_cat</t>
  </si>
  <si>
    <r>
      <rPr>
        <sz val="11"/>
        <color rgb="FF3F3F76"/>
        <rFont val="Calibri"/>
        <family val="2"/>
        <charset val="1"/>
      </rPr>
      <t>m</t>
    </r>
    <r>
      <rPr>
        <vertAlign val="superscript"/>
        <sz val="11"/>
        <color rgb="FF3F3F76"/>
        <rFont val="Calibri"/>
        <family val="2"/>
        <charset val="1"/>
      </rPr>
      <t>3</t>
    </r>
  </si>
  <si>
    <t>radius</t>
  </si>
  <si>
    <t>r</t>
  </si>
  <si>
    <t>Reactor volume</t>
  </si>
  <si>
    <t>V</t>
  </si>
  <si>
    <t>cat molar mass</t>
  </si>
  <si>
    <t>g/mol</t>
  </si>
  <si>
    <t>A_cat</t>
  </si>
  <si>
    <r>
      <rPr>
        <sz val="11"/>
        <color rgb="FF3F3F76"/>
        <rFont val="Calibri"/>
        <family val="2"/>
        <charset val="1"/>
      </rPr>
      <t>m</t>
    </r>
    <r>
      <rPr>
        <vertAlign val="superscript"/>
        <sz val="11"/>
        <color rgb="FF3F3F76"/>
        <rFont val="Calibri"/>
        <family val="2"/>
        <charset val="1"/>
      </rPr>
      <t>2</t>
    </r>
  </si>
  <si>
    <t>Porosity</t>
  </si>
  <si>
    <t>e</t>
  </si>
  <si>
    <t>Solid Volume</t>
  </si>
  <si>
    <t>V_solid</t>
  </si>
  <si>
    <t>dispersion</t>
  </si>
  <si>
    <t>%</t>
  </si>
  <si>
    <t>sites (NP)</t>
  </si>
  <si>
    <t>mol/g</t>
  </si>
  <si>
    <t>total flow</t>
  </si>
  <si>
    <t>V_total</t>
  </si>
  <si>
    <t>l/min</t>
  </si>
  <si>
    <t>Effective Volume</t>
  </si>
  <si>
    <t>V'</t>
  </si>
  <si>
    <t>SSA</t>
  </si>
  <si>
    <t>m^2/g</t>
  </si>
  <si>
    <t>n_cat</t>
  </si>
  <si>
    <t>mol</t>
  </si>
  <si>
    <t>DISPERSION</t>
  </si>
  <si>
    <r>
      <rPr>
        <sz val="11"/>
        <color rgb="FF3F3F76"/>
        <rFont val="Calibri"/>
        <family val="2"/>
        <charset val="1"/>
      </rPr>
      <t>m</t>
    </r>
    <r>
      <rPr>
        <vertAlign val="superscript"/>
        <sz val="11"/>
        <color rgb="FF3F3F76"/>
        <rFont val="Calibri"/>
        <family val="2"/>
        <charset val="1"/>
      </rPr>
      <t>3</t>
    </r>
    <r>
      <rPr>
        <sz val="11"/>
        <color rgb="FF3F3F76"/>
        <rFont val="Calibri"/>
        <family val="2"/>
        <charset val="1"/>
      </rPr>
      <t>/s</t>
    </r>
  </si>
  <si>
    <t>H2 uptake</t>
  </si>
  <si>
    <t>n_surface</t>
  </si>
  <si>
    <t>Volume sphere</t>
  </si>
  <si>
    <t>V_sphere</t>
  </si>
  <si>
    <t>CO uptake</t>
  </si>
  <si>
    <t>sites (disp)</t>
  </si>
  <si>
    <t>Number of particles</t>
  </si>
  <si>
    <t>n_sphere</t>
  </si>
  <si>
    <t>sites (SSA)</t>
  </si>
  <si>
    <t>amount</t>
  </si>
  <si>
    <t>g</t>
  </si>
  <si>
    <t>*</t>
  </si>
  <si>
    <t>sites (TPR)</t>
  </si>
  <si>
    <t>TPR</t>
  </si>
  <si>
    <t>d_sphere</t>
  </si>
  <si>
    <t>**</t>
  </si>
  <si>
    <t>Surface sphere</t>
  </si>
  <si>
    <t>A_sphere</t>
  </si>
  <si>
    <t>r_sphere</t>
  </si>
  <si>
    <t>total area</t>
  </si>
  <si>
    <t>A_geo</t>
  </si>
  <si>
    <t>site density</t>
  </si>
  <si>
    <t>G</t>
  </si>
  <si>
    <r>
      <rPr>
        <sz val="11"/>
        <color rgb="FF3F3F76"/>
        <rFont val="Calibri"/>
        <family val="2"/>
        <charset val="1"/>
      </rPr>
      <t>mol/m</t>
    </r>
    <r>
      <rPr>
        <vertAlign val="superscript"/>
        <sz val="11"/>
        <color rgb="FF3F3F76"/>
        <rFont val="Calibri"/>
        <family val="2"/>
        <charset val="1"/>
      </rPr>
      <t>2</t>
    </r>
  </si>
  <si>
    <t>LINEAR VELOCITY from GHSV</t>
  </si>
  <si>
    <t>sites</t>
  </si>
  <si>
    <t>Area to volume</t>
  </si>
  <si>
    <r>
      <rPr>
        <sz val="11"/>
        <color rgb="FF3F3F76"/>
        <rFont val="Calibri"/>
        <family val="2"/>
        <charset val="1"/>
      </rPr>
      <t>m</t>
    </r>
    <r>
      <rPr>
        <vertAlign val="superscript"/>
        <sz val="11"/>
        <color rgb="FF3F3F76"/>
        <rFont val="Calibri"/>
        <family val="2"/>
        <charset val="1"/>
      </rPr>
      <t>-1</t>
    </r>
  </si>
  <si>
    <t>GHSV</t>
  </si>
  <si>
    <t>1/h</t>
  </si>
  <si>
    <t>active surface</t>
  </si>
  <si>
    <t>A_active</t>
  </si>
  <si>
    <t>Area to eff. Volume</t>
  </si>
  <si>
    <t>A/V'</t>
  </si>
  <si>
    <t>linear velocity</t>
  </si>
  <si>
    <t>m/s</t>
  </si>
  <si>
    <t>SINGLE CHANNEL</t>
  </si>
  <si>
    <t>fcatgeo</t>
  </si>
  <si>
    <t>CHANNEL</t>
  </si>
  <si>
    <t>cross section channel</t>
  </si>
  <si>
    <t>cross_channel</t>
  </si>
  <si>
    <t>m²</t>
  </si>
  <si>
    <t>cross section packed</t>
  </si>
  <si>
    <t>cross_packed</t>
  </si>
  <si>
    <t>u</t>
  </si>
  <si>
    <t>ratio channel/packed</t>
  </si>
  <si>
    <t>ratio</t>
  </si>
  <si>
    <t>pressure</t>
  </si>
  <si>
    <t>p</t>
  </si>
  <si>
    <t>bar</t>
  </si>
  <si>
    <t>number of channels</t>
  </si>
  <si>
    <t>n_channel</t>
  </si>
  <si>
    <t>Active area channel</t>
  </si>
  <si>
    <t>A_active_channel</t>
  </si>
  <si>
    <t>Porosity parameters ***</t>
  </si>
  <si>
    <t>Geom area channel</t>
  </si>
  <si>
    <t>A_geo_channel</t>
  </si>
  <si>
    <t>A</t>
  </si>
  <si>
    <t>B</t>
  </si>
  <si>
    <t>fcatgeo_channel</t>
  </si>
  <si>
    <t>n</t>
  </si>
  <si>
    <t>linear velocity (298K)</t>
  </si>
  <si>
    <t>BATCH</t>
  </si>
  <si>
    <t>residence time (T_wall)</t>
  </si>
  <si>
    <t>τ</t>
  </si>
  <si>
    <t>s</t>
  </si>
  <si>
    <t>SOURCES</t>
  </si>
  <si>
    <t>active area batch</t>
  </si>
  <si>
    <t>A_active_batch</t>
  </si>
  <si>
    <t>lin. Vel. Source</t>
  </si>
  <si>
    <t>reactor volume</t>
  </si>
  <si>
    <t>m³</t>
  </si>
  <si>
    <t>DETCHEM INPUT PARAMETERS</t>
  </si>
  <si>
    <t>BATCH factor:</t>
  </si>
  <si>
    <t>This factor is introduced to reduce 
the effect of adsorption on the gas phase</t>
  </si>
  <si>
    <t>sites source</t>
  </si>
  <si>
    <t>linear velocity (T_wall)</t>
  </si>
  <si>
    <t>u’</t>
  </si>
  <si>
    <t>PBED</t>
  </si>
  <si>
    <t>length source</t>
  </si>
  <si>
    <t>volume</t>
  </si>
  <si>
    <t>volume source</t>
  </si>
  <si>
    <t>area</t>
  </si>
  <si>
    <t>OTHER</t>
  </si>
  <si>
    <t>active species mass</t>
  </si>
  <si>
    <t>m_active</t>
  </si>
  <si>
    <t>Pa</t>
  </si>
  <si>
    <t>residence time</t>
  </si>
  <si>
    <t>INPUTS</t>
  </si>
  <si>
    <t>area / active mass ratio</t>
  </si>
  <si>
    <t>Y</t>
  </si>
  <si>
    <t>m²/g</t>
  </si>
  <si>
    <t>gas velocity (298K)</t>
  </si>
  <si>
    <t>f_cat_geo</t>
  </si>
  <si>
    <t>input column</t>
  </si>
  <si>
    <t>active mass / volume</t>
  </si>
  <si>
    <t>Z</t>
  </si>
  <si>
    <t>g/m³</t>
  </si>
  <si>
    <t>porosity</t>
  </si>
  <si>
    <t>temperature</t>
  </si>
  <si>
    <t>input sheet</t>
  </si>
  <si>
    <t>A/V channel</t>
  </si>
  <si>
    <t>A/V_c</t>
  </si>
  <si>
    <t>particle diameter</t>
  </si>
  <si>
    <t>Paper</t>
  </si>
  <si>
    <t>A/V ratio</t>
  </si>
  <si>
    <t>metal column</t>
  </si>
  <si>
    <t>metal</t>
  </si>
  <si>
    <t>* Of the weighed catalyst (metal+support), without any inactive powder used for dilution</t>
  </si>
  <si>
    <t>** Of the macroscopic particles, not catalyst nanoparticles</t>
  </si>
  <si>
    <t>*** Pushnov approximation, spherical particles</t>
  </si>
  <si>
    <t>DO NOT INSERT ANY ROWS IN THIS SHEET!!!!</t>
  </si>
  <si>
    <t>Zhao 2012</t>
  </si>
  <si>
    <t>W/B low</t>
  </si>
  <si>
    <t>W/B high</t>
  </si>
  <si>
    <t>Fan Thermal</t>
  </si>
  <si>
    <t>Fan (Plasma)</t>
  </si>
  <si>
    <t>Tao</t>
  </si>
  <si>
    <t>Shindre</t>
  </si>
  <si>
    <t>Inui 1979</t>
  </si>
  <si>
    <t>Hu</t>
  </si>
  <si>
    <t>Le ZrO2</t>
  </si>
  <si>
    <t>Le SiO2</t>
  </si>
  <si>
    <t>Li</t>
  </si>
  <si>
    <t>Choudhury</t>
  </si>
  <si>
    <t>Inui 1980</t>
  </si>
  <si>
    <t>Jwa CO</t>
  </si>
  <si>
    <t>Jwa Co2</t>
  </si>
  <si>
    <t>Zhao 2016</t>
  </si>
  <si>
    <t>Razzaq</t>
  </si>
  <si>
    <t>Bian p</t>
  </si>
  <si>
    <t>Bian c</t>
  </si>
  <si>
    <t>Marocco 200</t>
  </si>
  <si>
    <t>Marocco 300</t>
  </si>
  <si>
    <t>Kokka Al</t>
  </si>
  <si>
    <t>Kokka Zr</t>
  </si>
  <si>
    <t>Kokka Ti</t>
  </si>
  <si>
    <t>Rahmani</t>
  </si>
  <si>
    <t>KHD</t>
  </si>
  <si>
    <t>Koschany</t>
  </si>
  <si>
    <t>Uni Bremen</t>
  </si>
  <si>
    <t>Liu A-I</t>
  </si>
  <si>
    <t>Liu AH-I</t>
  </si>
  <si>
    <t>Liu AH-C</t>
  </si>
  <si>
    <t>Ni</t>
  </si>
  <si>
    <t>PACK</t>
  </si>
  <si>
    <t>mass</t>
  </si>
  <si>
    <t>density</t>
  </si>
  <si>
    <t>g/cm³</t>
  </si>
  <si>
    <t>wall temperature</t>
  </si>
  <si>
    <t>K</t>
  </si>
  <si>
    <t>metal loading</t>
  </si>
  <si>
    <t>SURFACE</t>
  </si>
  <si>
    <t>SSA*</t>
  </si>
  <si>
    <t>FLOW</t>
  </si>
  <si>
    <t>WHSV</t>
  </si>
  <si>
    <t>ml/gh</t>
  </si>
  <si>
    <t>flow rate</t>
  </si>
  <si>
    <t>GAS</t>
  </si>
  <si>
    <t>H2</t>
  </si>
  <si>
    <t>CO</t>
  </si>
  <si>
    <t>CO2</t>
  </si>
  <si>
    <t>inert</t>
  </si>
  <si>
    <t>CH4</t>
  </si>
  <si>
    <t>FLOW,GHSV,WHSV,LIT</t>
  </si>
  <si>
    <t>SSA,H2,CO,NP,DISPERSION</t>
  </si>
  <si>
    <t>LIT,VOLUME</t>
  </si>
  <si>
    <t>VOLUME</t>
  </si>
  <si>
    <t>LIT</t>
  </si>
  <si>
    <t>LIT,DENSITY</t>
  </si>
  <si>
    <t>DENSITY</t>
  </si>
  <si>
    <t>NOTES</t>
  </si>
  <si>
    <t>GENERAL</t>
  </si>
  <si>
    <t>surface site density</t>
  </si>
  <si>
    <t>mol/m²</t>
  </si>
  <si>
    <t>* Is sometimes based on metal mass
 And sometimes based on total catalyst mass,
Enter as value for total catalyst mass</t>
  </si>
  <si>
    <t>Publication</t>
  </si>
  <si>
    <t>O</t>
  </si>
  <si>
    <t xml:space="preserve">mole
fractions
</t>
  </si>
  <si>
    <t>isothermal</t>
  </si>
  <si>
    <t>positive</t>
  </si>
  <si>
    <t xml:space="preserve">SUM = 1
</t>
  </si>
  <si>
    <t>&lt; pack diameter</t>
  </si>
  <si>
    <t>0&lt;x&lt;100</t>
  </si>
  <si>
    <t>number</t>
  </si>
  <si>
    <t>MODE</t>
  </si>
  <si>
    <t>Value</t>
  </si>
  <si>
    <t>all true</t>
  </si>
  <si>
    <t>group</t>
  </si>
  <si>
    <t>yes</t>
  </si>
  <si>
    <t>0&lt;x&lt;1</t>
  </si>
  <si>
    <t>mini-group</t>
  </si>
  <si>
    <t>Completely and correctly filled in?</t>
  </si>
  <si>
    <t>Issues</t>
  </si>
  <si>
    <t>Old input (for Testing)</t>
  </si>
  <si>
    <t>Parameter</t>
  </si>
  <si>
    <t>volumetric flow rate</t>
  </si>
  <si>
    <t>* required field</t>
  </si>
  <si>
    <t>FIXED BED</t>
  </si>
  <si>
    <t>Ar</t>
  </si>
  <si>
    <t>INLET GAS</t>
  </si>
  <si>
    <r>
      <t>H</t>
    </r>
    <r>
      <rPr>
        <b/>
        <vertAlign val="subscript"/>
        <sz val="11"/>
        <color rgb="FF3F3F3F"/>
        <rFont val="Calibri"/>
        <family val="2"/>
        <scheme val="minor"/>
      </rPr>
      <t>2</t>
    </r>
  </si>
  <si>
    <t>Unit</t>
  </si>
  <si>
    <t>wall thickness</t>
  </si>
  <si>
    <t>wall thermal conductivity</t>
  </si>
  <si>
    <t>particle thermal conductivity</t>
  </si>
  <si>
    <t>date</t>
  </si>
  <si>
    <t>issue</t>
  </si>
  <si>
    <t>started?</t>
  </si>
  <si>
    <t>finished?</t>
  </si>
  <si>
    <t>Only cylindrical reactor geometry supported</t>
  </si>
  <si>
    <t>measure</t>
  </si>
  <si>
    <t>Insert other options, modify calculations</t>
  </si>
  <si>
    <t>No version tracking</t>
  </si>
  <si>
    <t>Yes</t>
  </si>
  <si>
    <t>Calculations no longer accurate for pbr model</t>
  </si>
  <si>
    <t>Missing checks on input data</t>
  </si>
  <si>
    <t>Insert missing checks</t>
  </si>
  <si>
    <t>Units should be modifiable by user</t>
  </si>
  <si>
    <t>Insert unit field where possible (direct to output)</t>
  </si>
  <si>
    <t>Missing parameters from new pbr code</t>
  </si>
  <si>
    <t>Insert missing parameters</t>
  </si>
  <si>
    <t>Multi-column variable format impractical</t>
  </si>
  <si>
    <t>Include version parameter</t>
  </si>
  <si>
    <t>Replace with single column "a.b.c" type format</t>
  </si>
  <si>
    <t>Only spherical particles supported</t>
  </si>
  <si>
    <t>Include support for cylindrical parameters, insert particle_length parameter</t>
  </si>
  <si>
    <t>Support mass fractions</t>
  </si>
  <si>
    <t>Mass fractions in inlet not supported</t>
  </si>
  <si>
    <t>details</t>
  </si>
  <si>
    <t>gas_chem, surf_chem,  wall heat transfer parameters, coverage relaxation factor, pseudo-homogenous reactions, solid phase T balance</t>
  </si>
  <si>
    <t>Insert advanced parameters in questionnaire?</t>
  </si>
  <si>
    <t>Priority (X/3)</t>
  </si>
  <si>
    <t>Conditional formatting broken</t>
  </si>
  <si>
    <t>Redo conditional formatting in User questionnaire</t>
  </si>
  <si>
    <t>Volume reactor</t>
  </si>
  <si>
    <t>volume of one particle</t>
  </si>
  <si>
    <t>m^3</t>
  </si>
  <si>
    <t>number of particles</t>
  </si>
  <si>
    <t>volume fraction of particles</t>
  </si>
  <si>
    <t>volume of particles</t>
  </si>
  <si>
    <t>Fix flow velocity calculations</t>
  </si>
  <si>
    <t>Fix f_cat_geo and A_V_ratio calculations</t>
  </si>
  <si>
    <t>Surface area of one particle</t>
  </si>
  <si>
    <t>m^2</t>
  </si>
  <si>
    <t>total geometric surface area</t>
  </si>
  <si>
    <t>Geometric area (new)</t>
  </si>
  <si>
    <t>metal mass</t>
  </si>
  <si>
    <t>metal volume</t>
  </si>
  <si>
    <t>NP A/V ratio</t>
  </si>
  <si>
    <t>NP surface area</t>
  </si>
  <si>
    <t>exposed NP surface area</t>
  </si>
  <si>
    <t>exposed metal surface area</t>
  </si>
  <si>
    <t>number of metal atoms</t>
  </si>
  <si>
    <t>number of exposed metal atoms</t>
  </si>
  <si>
    <t>DISP</t>
  </si>
  <si>
    <t>specific surface area</t>
  </si>
  <si>
    <t>catalytic surface area</t>
  </si>
  <si>
    <t>number of sites H2</t>
  </si>
  <si>
    <t>number of sites CO</t>
  </si>
  <si>
    <t>surface area H2</t>
  </si>
  <si>
    <t>surface area CO</t>
  </si>
  <si>
    <t>m^3/s</t>
  </si>
  <si>
    <t>flow rate (GHSV)</t>
  </si>
  <si>
    <t>linear velocity (GHSV)</t>
  </si>
  <si>
    <t>reactor crosssection</t>
  </si>
  <si>
    <t>flow rate (WHSV)</t>
  </si>
  <si>
    <t>linear velocity (WHSV)</t>
  </si>
  <si>
    <t>linear velocity (flow rate)</t>
  </si>
  <si>
    <t>Calculation sheet is messy</t>
  </si>
  <si>
    <t>Clean up calculation sheet</t>
  </si>
  <si>
    <t>Calculation of linear velocity</t>
  </si>
  <si>
    <t>Calculation of geometric area</t>
  </si>
  <si>
    <t>Calculation of catalytic area</t>
  </si>
  <si>
    <t>text</t>
  </si>
  <si>
    <t>in metal library</t>
  </si>
  <si>
    <t>kg/mol</t>
  </si>
  <si>
    <r>
      <t>kg/m</t>
    </r>
    <r>
      <rPr>
        <vertAlign val="superscript"/>
        <sz val="11"/>
        <color rgb="FF000000"/>
        <rFont val="Calibri"/>
        <family val="2"/>
      </rPr>
      <t>3</t>
    </r>
  </si>
  <si>
    <r>
      <t>mol/m</t>
    </r>
    <r>
      <rPr>
        <vertAlign val="superscript"/>
        <sz val="11"/>
        <color rgb="FF000000"/>
        <rFont val="Calibri"/>
        <family val="2"/>
      </rPr>
      <t>2</t>
    </r>
  </si>
  <si>
    <t>Catalyst library</t>
  </si>
  <si>
    <t>active catalyst/metal</t>
  </si>
  <si>
    <t>SSA (only metal)</t>
  </si>
  <si>
    <t>Add more entries to catalyst library</t>
  </si>
  <si>
    <t>Catalyst library is empty</t>
  </si>
  <si>
    <r>
      <t>m</t>
    </r>
    <r>
      <rPr>
        <vertAlign val="superscript"/>
        <sz val="11"/>
        <color rgb="FF000000"/>
        <rFont val="Calibri"/>
        <family val="2"/>
      </rPr>
      <t>2</t>
    </r>
    <r>
      <rPr>
        <sz val="11"/>
        <color rgb="FF000000"/>
        <rFont val="Calibri"/>
        <family val="2"/>
        <charset val="1"/>
      </rPr>
      <t>/g</t>
    </r>
  </si>
  <si>
    <t>Name of experiment:</t>
  </si>
  <si>
    <t>meta.operator</t>
  </si>
  <si>
    <t>meta.date</t>
  </si>
  <si>
    <t>meta.catalyst</t>
  </si>
  <si>
    <t>meta.experiment</t>
  </si>
  <si>
    <t>Ag</t>
  </si>
  <si>
    <t>Au</t>
  </si>
  <si>
    <t>Cr</t>
  </si>
  <si>
    <t>Cu</t>
  </si>
  <si>
    <t>Fe</t>
  </si>
  <si>
    <t>Ir</t>
  </si>
  <si>
    <t>Mo</t>
  </si>
  <si>
    <t>Os</t>
  </si>
  <si>
    <t>Pd</t>
  </si>
  <si>
    <t>Pt</t>
  </si>
  <si>
    <t>Re</t>
  </si>
  <si>
    <t>Rh</t>
  </si>
  <si>
    <t>Ru</t>
  </si>
  <si>
    <t>W</t>
  </si>
  <si>
    <r>
      <t>Surface site density</t>
    </r>
    <r>
      <rPr>
        <vertAlign val="superscript"/>
        <sz val="11"/>
        <color rgb="FF000000"/>
        <rFont val="Calibri"/>
        <family val="2"/>
      </rPr>
      <t>1</t>
    </r>
  </si>
  <si>
    <r>
      <t>density</t>
    </r>
    <r>
      <rPr>
        <vertAlign val="superscript"/>
        <sz val="11"/>
        <color rgb="FF000000"/>
        <rFont val="Calibri"/>
        <family val="2"/>
      </rPr>
      <t>1</t>
    </r>
  </si>
  <si>
    <r>
      <t>molar mass</t>
    </r>
    <r>
      <rPr>
        <vertAlign val="superscript"/>
        <sz val="11"/>
        <color rgb="FF000000"/>
        <rFont val="Calibri"/>
        <family val="2"/>
      </rPr>
      <t>1</t>
    </r>
  </si>
  <si>
    <t>[1] Bergeret, G. and Gallezot, P. (2008). Particle Size and Dispersion Measurements. In Handbook of Heterogeneous Catalysis (eds G. Ertl, H. Knözinger, F. Schüth and J. Weitkamp). https://doi.org/10.1002/9783527610044.hetcat0038</t>
  </si>
  <si>
    <t>0.2.4</t>
  </si>
  <si>
    <t>parameter</t>
  </si>
  <si>
    <t>value</t>
  </si>
  <si>
    <t>unit</t>
  </si>
  <si>
    <t>Version</t>
  </si>
  <si>
    <t>Changes</t>
  </si>
  <si>
    <t>Inserted headers in 'Normalized parameters' worksheet</t>
  </si>
  <si>
    <t>Implemented cell names (variable names) to simplify references</t>
  </si>
  <si>
    <t>Expanded inlet gas section in 'Normalized parameters' sheet to 10 rows</t>
  </si>
  <si>
    <t>Added Changelog</t>
  </si>
  <si>
    <t>By</t>
  </si>
  <si>
    <t>DS</t>
  </si>
  <si>
    <t>bed porosity</t>
  </si>
  <si>
    <t>particle porosity</t>
  </si>
  <si>
    <t>0.2.5</t>
  </si>
  <si>
    <t>Changed "porosity" to "bed.porosity", added "particle.porosity"</t>
  </si>
  <si>
    <t>Many units are not customizable</t>
  </si>
  <si>
    <t>Insert calculations for unit conversions</t>
  </si>
  <si>
    <t>README: Questionnaire for adding experiments to the CaRMeN database</t>
  </si>
  <si>
    <t>This Excel sheet is meant to serve as an easy way to relay data about your experiment, so that it may be added to the CaRMeN database.</t>
  </si>
  <si>
    <t>It will ask of you all information that is necessary for simulation with DETCHEM.</t>
  </si>
  <si>
    <t>This is how you complete it:</t>
  </si>
  <si>
    <t>1. User questionnaire</t>
  </si>
  <si>
    <t>particle shape</t>
  </si>
  <si>
    <t>particle length</t>
  </si>
  <si>
    <t>radial thermal conductivity</t>
  </si>
  <si>
    <t>meta.version</t>
  </si>
  <si>
    <t>outside heat transfer coeff</t>
  </si>
  <si>
    <t>heat flux</t>
  </si>
  <si>
    <t>adiabatic</t>
  </si>
  <si>
    <r>
      <t>W/m</t>
    </r>
    <r>
      <rPr>
        <b/>
        <vertAlign val="superscript"/>
        <sz val="11"/>
        <color rgb="FF3F3F3F"/>
        <rFont val="Calibri"/>
        <family val="2"/>
        <scheme val="minor"/>
      </rPr>
      <t>2</t>
    </r>
  </si>
  <si>
    <t>overall heat transfer coeff</t>
  </si>
  <si>
    <t>2*</t>
  </si>
  <si>
    <t>3*</t>
  </si>
  <si>
    <t>WALL</t>
  </si>
  <si>
    <t>ratio catalytic / geometric area</t>
  </si>
  <si>
    <t>sphere,cylinder</t>
  </si>
  <si>
    <t>sphere</t>
  </si>
  <si>
    <t>no</t>
  </si>
  <si>
    <t>yes or no</t>
  </si>
  <si>
    <t>surface area to volume ratio</t>
  </si>
  <si>
    <t>1*</t>
  </si>
  <si>
    <t>Added remaining physical parameters</t>
  </si>
  <si>
    <t>Regrouped the parameters</t>
  </si>
  <si>
    <t>EXPERIMENT</t>
  </si>
  <si>
    <t>type of experiment</t>
  </si>
  <si>
    <t>0.2.6</t>
  </si>
  <si>
    <t>It is unclear which parameters are required</t>
  </si>
  <si>
    <t>Insert check field for required for each parameter, dependent on other parameters</t>
  </si>
  <si>
    <t>light-off or spatially resolved</t>
  </si>
  <si>
    <t>cond 1</t>
  </si>
  <si>
    <t>cond 2</t>
  </si>
  <si>
    <t>cond2</t>
  </si>
  <si>
    <t>required</t>
  </si>
  <si>
    <t>required if</t>
  </si>
  <si>
    <t>always</t>
  </si>
  <si>
    <t>if (NOT adiabatic) AND (NOT isothermal) AND (NOT overall_heat_transfer_coefficient) AND (NOT heat_flux)</t>
  </si>
  <si>
    <t>if particle shape = cylinder</t>
  </si>
  <si>
    <t>never</t>
  </si>
  <si>
    <t>Questionnaire might not be intuitive</t>
  </si>
  <si>
    <t>Include README</t>
  </si>
  <si>
    <t>one
of
these</t>
  </si>
  <si>
    <t>one
of 
these</t>
  </si>
  <si>
    <t>cond 3</t>
  </si>
  <si>
    <t>Inserted "type of experiment" parameter</t>
  </si>
  <si>
    <t>Realized interdependent parameter requirements</t>
  </si>
  <si>
    <t>Checks are extremely messy</t>
  </si>
  <si>
    <t>Realize named cells for all parameters, redo checks</t>
  </si>
  <si>
    <t>Column B shows the name of the group.</t>
  </si>
  <si>
    <t>Column C lists the experimental parameters. Hover over each cell to get more detailed info about it.</t>
  </si>
  <si>
    <t>Column E is where you enter values for each parameter. The cell is marked grey with a suitable input and red if there is a problem.</t>
  </si>
  <si>
    <t>Column D shows a * if the parameter is required for simulations. These might change depending on your inputs.</t>
  </si>
  <si>
    <t>Columns I and J are used to provide feedback if any data is not of the correct data type or contradicts another entry.</t>
  </si>
  <si>
    <r>
      <t xml:space="preserve">Column A shows if the section (e.g. </t>
    </r>
    <r>
      <rPr>
        <b/>
        <sz val="11"/>
        <color rgb="FF000000"/>
        <rFont val="Calibri"/>
        <family val="2"/>
      </rPr>
      <t>CATALYST</t>
    </r>
    <r>
      <rPr>
        <sz val="11"/>
        <color rgb="FF000000"/>
        <rFont val="Calibri"/>
        <family val="2"/>
      </rPr>
      <t>) has been completely and correctly filled in by turning green. This may change after other sections are filled out.</t>
    </r>
  </si>
  <si>
    <t>After you've filled out the parameters, check if all sections and the large cells at the bottom of the questionnaire are marked green.</t>
  </si>
  <si>
    <t>This indicates that everything has been filled out correctly and simulations using CaRMeN and DETCHEM are possible.</t>
  </si>
  <si>
    <t>Afterwards, you may provide us with your experimental results. You can paste these into the sheet called "experimental data".</t>
  </si>
  <si>
    <t>Feedback/Comments</t>
  </si>
  <si>
    <t>User</t>
  </si>
  <si>
    <t>2. Experimental data</t>
  </si>
  <si>
    <t>Do not change anything in column A, it is used for calculations.</t>
  </si>
  <si>
    <t>In columns C onwards you may enter your experimental data in the form of mole fractions. The column headers must be the chemical formulas of the species. The order of the species is not relevant.</t>
  </si>
  <si>
    <t>3. User feedback</t>
  </si>
  <si>
    <t>Included user feedback sheet</t>
  </si>
  <si>
    <t>meta.experiment_type</t>
  </si>
  <si>
    <t>Added README/tutorial</t>
  </si>
  <si>
    <t>Reorganized the parameter groupings</t>
  </si>
  <si>
    <t>Detchem uses "cylindrical" and "spherical"</t>
  </si>
  <si>
    <t>Change "sphere" to "spherical" and "cylinder" to "cylindrical", at least in the normalized parameters</t>
  </si>
  <si>
    <t>0.2.7</t>
  </si>
  <si>
    <t>Experimental data changes 'independent variable' column header automatically, added comments</t>
  </si>
  <si>
    <t>roughness parameter is not used for fixed beds</t>
  </si>
  <si>
    <t>Remove roughness parameter</t>
  </si>
  <si>
    <t>Source:</t>
  </si>
  <si>
    <t>Details:</t>
  </si>
  <si>
    <t>Chemical system:</t>
  </si>
  <si>
    <t>CH4/CO2/CO/H2O/H2</t>
  </si>
  <si>
    <t>Data recorder:</t>
  </si>
  <si>
    <t>Data recorder institution:</t>
  </si>
  <si>
    <t>Institute for Chemical Technology and Polymer Chemistry, KIT</t>
  </si>
  <si>
    <t>Contact info:</t>
  </si>
  <si>
    <t>Extended general parameters</t>
  </si>
  <si>
    <t>Replaced "light-off" with "end-of-pipe"</t>
  </si>
  <si>
    <t>It is important that the column with the independent variable is in column B. In the case of an end-of-pipe experiment, this is the wall/oven temperature in K. In the case of a spatially resolved/"spaci" experiment, this is the axial coordinate in m.</t>
  </si>
  <si>
    <t>total mass</t>
  </si>
  <si>
    <t>external mass transfer resistance</t>
  </si>
  <si>
    <t>volume-specific surface area</t>
  </si>
  <si>
    <r>
      <t>m</t>
    </r>
    <r>
      <rPr>
        <vertAlign val="superscript"/>
        <sz val="11"/>
        <color rgb="FF000000"/>
        <rFont val="Calibri"/>
        <family val="2"/>
      </rPr>
      <t>2</t>
    </r>
    <r>
      <rPr>
        <sz val="11"/>
        <color rgb="FF000000"/>
        <rFont val="Calibri"/>
        <family val="2"/>
        <charset val="1"/>
      </rPr>
      <t>/m</t>
    </r>
    <r>
      <rPr>
        <vertAlign val="superscript"/>
        <sz val="11"/>
        <color rgb="FF000000"/>
        <rFont val="Calibri"/>
        <family val="2"/>
      </rPr>
      <t>3</t>
    </r>
  </si>
  <si>
    <t>material density</t>
  </si>
  <si>
    <t>reactor inlet temperature</t>
  </si>
  <si>
    <t>OPERATING</t>
  </si>
  <si>
    <t>slpm</t>
  </si>
  <si>
    <t>at standard conditions
(273K, 1bar)</t>
  </si>
  <si>
    <t>Removed roughness parameter, added material density parameter and S_V</t>
  </si>
  <si>
    <t>Changed flow input to standard conditions (IUPAC)</t>
  </si>
  <si>
    <t>If you encounter any problems or have suggestions to improve the questionnaire, please note any comments in the "User feedback" sheet.</t>
  </si>
  <si>
    <t>4. FAQ</t>
  </si>
  <si>
    <t>Gas phase experiments would show errors</t>
  </si>
  <si>
    <t>Adapt sheet for gas phase experiments (specify in extra field?)</t>
  </si>
  <si>
    <t>At the top of the user questionnaire, there are a number of cells reserved for information about yourself and the source of the data. Please fill this out completely to enable us to get a tidy overview over the database of collected experiments.</t>
  </si>
  <si>
    <t>Below the general data, you may enter the parameters of your reactor setup. It is divided into 6 sections, each containing a number of parameters.</t>
  </si>
  <si>
    <t>Most fields are explained in more detail in comments indicated by a red triangle in the upper right corner of the cell with the parameter name (not the entry cell). Hover over the cell to read more about what is desired in the respective field.</t>
  </si>
  <si>
    <t>Q: How will my experiments be simulated?</t>
  </si>
  <si>
    <t>4. References</t>
  </si>
  <si>
    <r>
      <t>A: The experiments will be modeled using the fixed bed code DETCHEM</t>
    </r>
    <r>
      <rPr>
        <vertAlign val="superscript"/>
        <sz val="11"/>
        <color rgb="FF000000"/>
        <rFont val="Calibri"/>
        <family val="2"/>
      </rPr>
      <t>PBR</t>
    </r>
    <r>
      <rPr>
        <sz val="11"/>
        <color rgb="FF000000"/>
        <rFont val="Calibri"/>
        <family val="2"/>
      </rPr>
      <t xml:space="preserve"> of the DETCHEM software package [1]. The simulations will be organized and governed by the experiment archival and simulation automation tool CaRMeN [2].
CaRMeN will also be used to establish the database of catalytic experiments for various reaction systems and kinetic models.</t>
    </r>
  </si>
  <si>
    <t>[2] Gossler, H.; Maier, L.; Angeli, S.; Tischer, S.; Deutschmann, O. CaRMeN: An Improved Computer-Aided Method for Developing Catalytic Reaction Mechanisms. Catalysts 2019, 9 (3), 227.</t>
  </si>
  <si>
    <t>Q: What requirements are there for experiments to be added to the database and be modeled?</t>
  </si>
  <si>
    <t>Q: Which areas are meant to be specified in the questionnaire for the varios parameters?</t>
  </si>
  <si>
    <r>
      <rPr>
        <sz val="11"/>
        <color rgb="FF000000"/>
        <rFont val="Calibri"/>
        <family val="2"/>
      </rPr>
      <t xml:space="preserve">A: There are several relevant area parameters in catalytic reactors. A schematic explanation is shown in Figure 3. The </t>
    </r>
    <r>
      <rPr>
        <i/>
        <sz val="11"/>
        <color theme="9" tint="-0.249977111117893"/>
        <rFont val="Calibri"/>
        <family val="2"/>
      </rPr>
      <t>geometric</t>
    </r>
    <r>
      <rPr>
        <sz val="11"/>
        <color rgb="FF000000"/>
        <rFont val="Calibri"/>
        <family val="2"/>
      </rPr>
      <t xml:space="preserve"> surface area is the boundary area between the fluid phase and the catalyst particles (support + metal). The </t>
    </r>
    <r>
      <rPr>
        <i/>
        <sz val="11"/>
        <color theme="4" tint="-0.249977111117893"/>
        <rFont val="Calibri"/>
        <family val="2"/>
      </rPr>
      <t>BET</t>
    </r>
    <r>
      <rPr>
        <i/>
        <sz val="11"/>
        <color rgb="FF000000"/>
        <rFont val="Calibri"/>
        <family val="2"/>
      </rPr>
      <t xml:space="preserve"> </t>
    </r>
    <r>
      <rPr>
        <sz val="11"/>
        <color rgb="FF000000"/>
        <rFont val="Calibri"/>
        <family val="2"/>
      </rPr>
      <t>or</t>
    </r>
    <r>
      <rPr>
        <i/>
        <sz val="11"/>
        <color theme="4" tint="-0.249977111117893"/>
        <rFont val="Calibri"/>
        <family val="2"/>
      </rPr>
      <t xml:space="preserve"> total</t>
    </r>
    <r>
      <rPr>
        <sz val="11"/>
        <color rgb="FF000000"/>
        <rFont val="Calibri"/>
        <family val="2"/>
      </rPr>
      <t xml:space="preserve"> area includes the surface area of pores inside the catalyst particles. In the case of non-porous particles, the </t>
    </r>
    <r>
      <rPr>
        <i/>
        <sz val="11"/>
        <color theme="4" tint="-0.249977111117893"/>
        <rFont val="Calibri"/>
        <family val="2"/>
      </rPr>
      <t>BET</t>
    </r>
    <r>
      <rPr>
        <sz val="11"/>
        <color rgb="FF000000"/>
        <rFont val="Calibri"/>
        <family val="2"/>
      </rPr>
      <t xml:space="preserve"> and</t>
    </r>
    <r>
      <rPr>
        <sz val="11"/>
        <color theme="9" tint="-0.249977111117893"/>
        <rFont val="Calibri"/>
        <family val="2"/>
      </rPr>
      <t xml:space="preserve"> </t>
    </r>
    <r>
      <rPr>
        <i/>
        <sz val="11"/>
        <color theme="9" tint="-0.249977111117893"/>
        <rFont val="Calibri"/>
        <family val="2"/>
      </rPr>
      <t>geometric</t>
    </r>
    <r>
      <rPr>
        <sz val="11"/>
        <color rgb="FF000000"/>
        <rFont val="Calibri"/>
        <family val="2"/>
      </rPr>
      <t xml:space="preserve"> surface area are the same. The </t>
    </r>
    <r>
      <rPr>
        <i/>
        <sz val="11"/>
        <color rgb="FFFF0000"/>
        <rFont val="Calibri"/>
        <family val="2"/>
      </rPr>
      <t>active catalytic</t>
    </r>
    <r>
      <rPr>
        <sz val="11"/>
        <color rgb="FF000000"/>
        <rFont val="Calibri"/>
        <family val="2"/>
      </rPr>
      <t xml:space="preserve"> area is the accessible surface area of the active species (e.g. metallic) particles on which the catalytic reaction proceeds. It may be measured using chemisorption. If a single support particle was coated in a single, continuous layer of metal, the </t>
    </r>
    <r>
      <rPr>
        <i/>
        <sz val="11"/>
        <color theme="9" tint="-0.249977111117893"/>
        <rFont val="Calibri"/>
        <family val="2"/>
      </rPr>
      <t>geometric</t>
    </r>
    <r>
      <rPr>
        <sz val="11"/>
        <color rgb="FF000000"/>
        <rFont val="Calibri"/>
        <family val="2"/>
      </rPr>
      <t xml:space="preserve">, </t>
    </r>
    <r>
      <rPr>
        <i/>
        <sz val="11"/>
        <color theme="4" tint="-0.249977111117893"/>
        <rFont val="Calibri"/>
        <family val="2"/>
      </rPr>
      <t>BET</t>
    </r>
    <r>
      <rPr>
        <sz val="11"/>
        <color rgb="FF000000"/>
        <rFont val="Calibri"/>
        <family val="2"/>
      </rPr>
      <t xml:space="preserve"> and </t>
    </r>
    <r>
      <rPr>
        <i/>
        <sz val="11"/>
        <color rgb="FFFF0000"/>
        <rFont val="Calibri"/>
        <family val="2"/>
      </rPr>
      <t>active catalytic</t>
    </r>
    <r>
      <rPr>
        <sz val="11"/>
        <color rgb="FF000000"/>
        <rFont val="Calibri"/>
        <family val="2"/>
      </rPr>
      <t xml:space="preserve"> area would all be equal.
In the questionnaire, the following parameters are tied to one of these measures of area:
</t>
    </r>
    <r>
      <rPr>
        <b/>
        <sz val="11"/>
        <color rgb="FF000000"/>
        <rFont val="Calibri"/>
        <family val="2"/>
      </rPr>
      <t xml:space="preserve">FIXED BED, </t>
    </r>
    <r>
      <rPr>
        <sz val="11"/>
        <color rgb="FF000000"/>
        <rFont val="Calibri"/>
        <family val="2"/>
      </rPr>
      <t xml:space="preserve">surface area to volume ratio: The area specified here is the </t>
    </r>
    <r>
      <rPr>
        <i/>
        <sz val="11"/>
        <color theme="9" tint="-0.249977111117893"/>
        <rFont val="Calibri"/>
        <family val="2"/>
      </rPr>
      <t>geometric</t>
    </r>
    <r>
      <rPr>
        <sz val="11"/>
        <color rgb="FF000000"/>
        <rFont val="Calibri"/>
        <family val="2"/>
      </rPr>
      <t xml:space="preserve"> area. The parameter relates the total surface area of the support particles to the reactor volume. The value will be calculated from the support particle data if not provided.
</t>
    </r>
    <r>
      <rPr>
        <b/>
        <sz val="11"/>
        <color rgb="FF000000"/>
        <rFont val="Calibri"/>
        <family val="2"/>
      </rPr>
      <t>SURFACE,</t>
    </r>
    <r>
      <rPr>
        <sz val="11"/>
        <color rgb="FF000000"/>
        <rFont val="Calibri"/>
        <family val="2"/>
      </rPr>
      <t xml:space="preserve"> SSA and volume-specific surface area: for these parameters, the </t>
    </r>
    <r>
      <rPr>
        <i/>
        <sz val="11"/>
        <color rgb="FFFF0000"/>
        <rFont val="Calibri"/>
        <family val="2"/>
      </rPr>
      <t>catalytically active</t>
    </r>
    <r>
      <rPr>
        <sz val="11"/>
        <color rgb="FF000000"/>
        <rFont val="Calibri"/>
        <family val="2"/>
      </rPr>
      <t xml:space="preserve"> area is relevant. They may be measured using chemisorption and only differ in the value they are normalized to (mass or volume of the cataylst).
In DETCHEM, f</t>
    </r>
    <r>
      <rPr>
        <vertAlign val="subscript"/>
        <sz val="11"/>
        <color rgb="FF000000"/>
        <rFont val="Calibri"/>
        <family val="2"/>
      </rPr>
      <t>cat,geo</t>
    </r>
    <r>
      <rPr>
        <sz val="11"/>
        <color rgb="FF000000"/>
        <rFont val="Calibri"/>
        <family val="2"/>
      </rPr>
      <t xml:space="preserve"> is the parameter that carries the information on the number of catalytically active sites by relating the </t>
    </r>
    <r>
      <rPr>
        <i/>
        <sz val="11"/>
        <color theme="9" tint="-0.249977111117893"/>
        <rFont val="Calibri"/>
        <family val="2"/>
      </rPr>
      <t>geometric</t>
    </r>
    <r>
      <rPr>
        <i/>
        <sz val="11"/>
        <color rgb="FF000000"/>
        <rFont val="Calibri"/>
        <family val="2"/>
      </rPr>
      <t xml:space="preserve"> </t>
    </r>
    <r>
      <rPr>
        <sz val="11"/>
        <color rgb="FF000000"/>
        <rFont val="Calibri"/>
        <family val="2"/>
      </rPr>
      <t>and the</t>
    </r>
    <r>
      <rPr>
        <i/>
        <sz val="11"/>
        <color rgb="FF000000"/>
        <rFont val="Calibri"/>
        <family val="2"/>
      </rPr>
      <t xml:space="preserve"> </t>
    </r>
    <r>
      <rPr>
        <i/>
        <sz val="11"/>
        <color rgb="FFFF0000"/>
        <rFont val="Calibri"/>
        <family val="2"/>
      </rPr>
      <t>catalytically active</t>
    </r>
    <r>
      <rPr>
        <sz val="11"/>
        <color rgb="FF000000"/>
        <rFont val="Calibri"/>
        <family val="2"/>
      </rPr>
      <t xml:space="preserve"> area. If you know this parameter, you can enter it in the questionnaire yourself. If you do not know the precise value, you may enter some form of data about the</t>
    </r>
    <r>
      <rPr>
        <i/>
        <sz val="11"/>
        <color rgb="FF000000"/>
        <rFont val="Calibri"/>
        <family val="2"/>
      </rPr>
      <t xml:space="preserve"> </t>
    </r>
    <r>
      <rPr>
        <i/>
        <sz val="11"/>
        <color rgb="FFFF0000"/>
        <rFont val="Calibri"/>
        <family val="2"/>
      </rPr>
      <t>catalytic</t>
    </r>
    <r>
      <rPr>
        <i/>
        <sz val="11"/>
        <color rgb="FF000000"/>
        <rFont val="Calibri"/>
        <family val="2"/>
      </rPr>
      <t xml:space="preserve"> </t>
    </r>
    <r>
      <rPr>
        <sz val="11"/>
        <color rgb="FF000000"/>
        <rFont val="Calibri"/>
        <family val="2"/>
      </rPr>
      <t xml:space="preserve">area and the support particles (in sections </t>
    </r>
    <r>
      <rPr>
        <b/>
        <sz val="11"/>
        <color rgb="FF000000"/>
        <rFont val="Calibri"/>
        <family val="2"/>
      </rPr>
      <t>FIXED BED</t>
    </r>
    <r>
      <rPr>
        <sz val="11"/>
        <color rgb="FF000000"/>
        <rFont val="Calibri"/>
        <family val="2"/>
      </rPr>
      <t xml:space="preserve"> and </t>
    </r>
    <r>
      <rPr>
        <b/>
        <sz val="11"/>
        <color rgb="FF000000"/>
        <rFont val="Calibri"/>
        <family val="2"/>
      </rPr>
      <t>SURFACE</t>
    </r>
    <r>
      <rPr>
        <sz val="11"/>
        <color rgb="FF000000"/>
        <rFont val="Calibri"/>
        <family val="2"/>
      </rPr>
      <t>, repsectively) and we will calculate f</t>
    </r>
    <r>
      <rPr>
        <vertAlign val="subscript"/>
        <sz val="11"/>
        <color rgb="FF000000"/>
        <rFont val="Calibri"/>
        <family val="2"/>
      </rPr>
      <t>cat,geo</t>
    </r>
    <r>
      <rPr>
        <sz val="11"/>
        <color rgb="FF000000"/>
        <rFont val="Calibri"/>
        <family val="2"/>
      </rPr>
      <t xml:space="preserve"> for you.</t>
    </r>
  </si>
  <si>
    <t>Only z and T can be independent variables</t>
  </si>
  <si>
    <t>Implement support for user-customizable independent variable</t>
  </si>
  <si>
    <t>Expanded README, added FAQ</t>
  </si>
  <si>
    <r>
      <t>[1] Deutschmann, O.; Tischer, S.; Correa, C.; Chatterjee, D.; Kleditzsch, S.; Janardhanan, V. M.; Mladenov, N.; Minh, H. D.; Karadeniz, H.; Hettel, M.; Gossler, H. DETCHEM Software Package v2.7 (www.detchem.com). 2018. DETCHEM</t>
    </r>
    <r>
      <rPr>
        <vertAlign val="superscript"/>
        <sz val="11"/>
        <color rgb="FF000000"/>
        <rFont val="Calibri"/>
        <family val="2"/>
      </rPr>
      <t>PBR</t>
    </r>
    <r>
      <rPr>
        <sz val="11"/>
        <color rgb="FF000000"/>
        <rFont val="Calibri"/>
        <family val="2"/>
      </rPr>
      <t xml:space="preserve"> by Akash Shirsath.</t>
    </r>
  </si>
  <si>
    <t xml:space="preserve">A: There are no specific requirements for your experiments to be added to the database. You may even provide data for published experimental studies that are of interest to you. At the moment, only experiments carried out in fixed/powder bed reactors are able to be entered into this file and into the database. However, the implementation of other reactor types is planned for the near future.
To enable the modeling of experiments using the DETCHEM software tool [1], there are a number of parameters that must be provided for the reactor to be recreated numerically. You may provide these data in this Excel file, along with your experimental results. If you lack some of these data, you may still enter all parameters known to you so that a database entry may be generated, but simulations will only be possible after all necessary parameters are provided.
</t>
  </si>
  <si>
    <t>Bugfixes in Checks</t>
  </si>
  <si>
    <t>Catalyst ID:</t>
  </si>
  <si>
    <t>Date of experiment:</t>
  </si>
  <si>
    <t>Date of entry:</t>
  </si>
  <si>
    <t>initial.temperature</t>
  </si>
  <si>
    <t>initial.velocity</t>
  </si>
  <si>
    <t>initial.pressure</t>
  </si>
  <si>
    <t>geometry.reactor</t>
  </si>
  <si>
    <t>cylindrical</t>
  </si>
  <si>
    <t>geometry.radius</t>
  </si>
  <si>
    <t>geometry.sections[0].particle_geometry</t>
  </si>
  <si>
    <t>geometry.sections[0].length</t>
  </si>
  <si>
    <t>geometry.sections[0].porosity</t>
  </si>
  <si>
    <t>geometry.sections[0].particle_diameter</t>
  </si>
  <si>
    <t>geometry.sections[0].particle_thermal_conductivity</t>
  </si>
  <si>
    <t>geometry.sections[0].radial_thermal_conductivity_solid</t>
  </si>
  <si>
    <t>geometry.sections[0].area_to_volume_ratio</t>
  </si>
  <si>
    <t>geometry.sections[0].f_cat_geo</t>
  </si>
  <si>
    <t>geometry.sections[0].wall_temp</t>
  </si>
  <si>
    <t>geometry.wall.wall_thickness</t>
  </si>
  <si>
    <t>geometry.wall.thermal_conductivity_wall</t>
  </si>
  <si>
    <t>geometry.wall.heat_trans_coeff_outside</t>
  </si>
  <si>
    <t>geometry.wall.overall_heat_trans_coeff</t>
  </si>
  <si>
    <t>geometry.wall.heat_flux</t>
  </si>
  <si>
    <t>process.isothermal</t>
  </si>
  <si>
    <t>process.adiabatic</t>
  </si>
  <si>
    <t>process.mass_transfer</t>
  </si>
  <si>
    <t>Operator(s) of experiment:</t>
  </si>
  <si>
    <t>Link to further data:</t>
  </si>
  <si>
    <t>Further information:</t>
  </si>
  <si>
    <t>W/m K</t>
  </si>
  <si>
    <r>
      <t>W/m</t>
    </r>
    <r>
      <rPr>
        <b/>
        <vertAlign val="superscript"/>
        <sz val="11"/>
        <color rgb="FF3F3F3F"/>
        <rFont val="Calibri"/>
        <family val="2"/>
        <scheme val="minor"/>
      </rPr>
      <t xml:space="preserve">2 </t>
    </r>
    <r>
      <rPr>
        <b/>
        <sz val="11"/>
        <color rgb="FF3F3F3F"/>
        <rFont val="Calibri"/>
        <family val="2"/>
        <scheme val="minor"/>
      </rPr>
      <t>K</t>
    </r>
  </si>
  <si>
    <t>ml/g h</t>
  </si>
  <si>
    <t>end-of-pipe</t>
  </si>
  <si>
    <t>0.2.8</t>
  </si>
  <si>
    <t>Removed material_density in normalized parameters</t>
  </si>
  <si>
    <t>Added tooltips for units</t>
  </si>
  <si>
    <t>Implemented CaRMeN $data value in normalized parameters depending on exp. Type</t>
  </si>
  <si>
    <t>Column G lists the units for the values. If the cells have borders, you may change the unit to any unit, the required dimensions and examples are indicated by comments. If the cells have no borders, the units must not be changed.</t>
  </si>
  <si>
    <t>spaci</t>
  </si>
  <si>
    <t>cylinder</t>
  </si>
  <si>
    <t>Implemented dropdowns</t>
  </si>
  <si>
    <t>conversions</t>
  </si>
  <si>
    <t>mole fractions</t>
  </si>
  <si>
    <t>mass fractions</t>
  </si>
  <si>
    <t>Form of species data:</t>
  </si>
  <si>
    <t>meta.experimental_data_type</t>
  </si>
  <si>
    <t>Implemented support for different forms of experimental data (conversions, mass fracs)</t>
  </si>
  <si>
    <t>Renamed normalized parameters</t>
  </si>
  <si>
    <t>HG</t>
  </si>
  <si>
    <t>Rinu Chacko</t>
  </si>
  <si>
    <t>rinu.chacko@kit.edu</t>
  </si>
  <si>
    <t>T</t>
  </si>
  <si>
    <t>http://dx.doi.org/10.1016/j.jechem.2015.09.004</t>
  </si>
  <si>
    <t>10% Ni/MgAl2O4</t>
  </si>
  <si>
    <t>Experiment 17 - CO2 methanation  (thermal)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</si>
</sst>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E+00"/>
    <numFmt numFmtId="165" formatCode="0.000E+00"/>
    <numFmt numFmtId="166" formatCode="0.0000"/>
    <numFmt numFmtId="167" formatCode="0.000"/>
  </numFmts>
  <fonts count="26" x14ac:knownFonts="1">
    <font>
      <sz val="11"/>
      <color rgb="FF000000"/>
      <name val="Calibri"/>
      <family val="2"/>
      <charset val="1"/>
    </font>
    <font>
      <b/>
      <sz val="11"/>
      <color rgb="FF000000"/>
      <name val="Calibri"/>
      <family val="2"/>
      <charset val="1"/>
    </font>
    <font>
      <sz val="11"/>
      <color rgb="FF3F3F76"/>
      <name val="Calibri"/>
      <family val="2"/>
      <charset val="1"/>
    </font>
    <font>
      <vertAlign val="superscript"/>
      <sz val="11"/>
      <color rgb="FF3F3F76"/>
      <name val="Calibri"/>
      <family val="2"/>
      <charset val="1"/>
    </font>
    <font>
      <sz val="11"/>
      <color rgb="FFED1C24"/>
      <name val="Calibri"/>
      <family val="2"/>
      <charset val="1"/>
    </font>
    <font>
      <sz val="11"/>
      <color rgb="FF9C0006"/>
      <name val="Calibri"/>
      <family val="2"/>
      <scheme val="minor"/>
    </font>
    <font>
      <b/>
      <sz val="11"/>
      <color rgb="FF000000"/>
      <name val="Calibri"/>
      <family val="2"/>
    </font>
    <font>
      <b/>
      <sz val="11"/>
      <color rgb="FF3F3F3F"/>
      <name val="Calibri"/>
      <family val="2"/>
      <scheme val="minor"/>
    </font>
    <font>
      <b/>
      <sz val="14"/>
      <color theme="0"/>
      <name val="Calibri"/>
      <family val="2"/>
    </font>
    <font>
      <b/>
      <vertAlign val="subscript"/>
      <sz val="11"/>
      <color rgb="FF3F3F3F"/>
      <name val="Calibri"/>
      <family val="2"/>
      <scheme val="minor"/>
    </font>
    <font>
      <vertAlign val="superscript"/>
      <sz val="11"/>
      <color rgb="FF000000"/>
      <name val="Calibri"/>
      <family val="2"/>
    </font>
    <font>
      <sz val="9"/>
      <color indexed="81"/>
      <name val="Tahoma"/>
      <family val="2"/>
    </font>
    <font>
      <b/>
      <sz val="9"/>
      <color indexed="81"/>
      <name val="Tahoma"/>
      <family val="2"/>
    </font>
    <font>
      <b/>
      <vertAlign val="subscript"/>
      <sz val="9"/>
      <color indexed="81"/>
      <name val="Tahoma"/>
      <family val="2"/>
    </font>
    <font>
      <b/>
      <sz val="22"/>
      <color rgb="FF000000"/>
      <name val="Calibri"/>
      <family val="2"/>
    </font>
    <font>
      <i/>
      <sz val="11"/>
      <color rgb="FF000000"/>
      <name val="Calibri"/>
      <family val="2"/>
    </font>
    <font>
      <b/>
      <vertAlign val="superscript"/>
      <sz val="11"/>
      <color rgb="FF3F3F3F"/>
      <name val="Calibri"/>
      <family val="2"/>
      <scheme val="minor"/>
    </font>
    <font>
      <sz val="11"/>
      <color rgb="FF000000"/>
      <name val="Calibri"/>
      <family val="2"/>
    </font>
    <font>
      <u/>
      <sz val="11"/>
      <color theme="10"/>
      <name val="Calibri"/>
      <family val="2"/>
      <charset val="1"/>
    </font>
    <font>
      <u/>
      <sz val="11"/>
      <color rgb="FF000000"/>
      <name val="Calibri"/>
      <family val="2"/>
      <charset val="1"/>
    </font>
    <font>
      <vertAlign val="subscript"/>
      <sz val="11"/>
      <color rgb="FF000000"/>
      <name val="Calibri"/>
      <family val="2"/>
    </font>
    <font>
      <i/>
      <sz val="11"/>
      <color theme="9" tint="-0.249977111117893"/>
      <name val="Calibri"/>
      <family val="2"/>
    </font>
    <font>
      <sz val="11"/>
      <color theme="9" tint="-0.249977111117893"/>
      <name val="Calibri"/>
      <family val="2"/>
    </font>
    <font>
      <i/>
      <sz val="11"/>
      <color theme="4" tint="-0.249977111117893"/>
      <name val="Calibri"/>
      <family val="2"/>
    </font>
    <font>
      <i/>
      <sz val="11"/>
      <color rgb="FFFF0000"/>
      <name val="Calibri"/>
      <family val="2"/>
    </font>
    <font>
      <b/>
      <vertAlign val="superscript"/>
      <sz val="9"/>
      <color indexed="81"/>
      <name val="Tahoma"/>
      <family val="2"/>
    </font>
  </fonts>
  <fills count="17">
    <fill>
      <patternFill patternType="none"/>
    </fill>
    <fill>
      <patternFill patternType="gray125"/>
    </fill>
    <fill>
      <patternFill patternType="solid">
        <fgColor rgb="FFCCCCCC"/>
        <bgColor rgb="FFC2E0AE"/>
      </patternFill>
    </fill>
    <fill>
      <patternFill patternType="solid">
        <fgColor rgb="FFFFF9AE"/>
        <bgColor rgb="FFFFFFCC"/>
      </patternFill>
    </fill>
    <fill>
      <patternFill patternType="solid">
        <fgColor rgb="FFADC5E7"/>
        <bgColor rgb="FFCCCCCC"/>
      </patternFill>
    </fill>
    <fill>
      <patternFill patternType="solid">
        <fgColor rgb="FFFCC79B"/>
        <bgColor rgb="FFCCCCCC"/>
      </patternFill>
    </fill>
    <fill>
      <patternFill patternType="solid">
        <fgColor rgb="FFBCAED5"/>
        <bgColor rgb="FFADC5E7"/>
      </patternFill>
    </fill>
    <fill>
      <patternFill patternType="solid">
        <fgColor rgb="FFADD58A"/>
        <bgColor rgb="FFC2E0AE"/>
      </patternFill>
    </fill>
    <fill>
      <patternFill patternType="solid">
        <fgColor rgb="FFFFF200"/>
        <bgColor rgb="FFFFFF00"/>
      </patternFill>
    </fill>
    <fill>
      <patternFill patternType="solid">
        <fgColor rgb="FFC2E0AE"/>
        <bgColor rgb="FFADD58A"/>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CC9900"/>
        <bgColor indexed="64"/>
      </patternFill>
    </fill>
  </fills>
  <borders count="59">
    <border>
      <left/>
      <right/>
      <top/>
      <bottom/>
      <diagonal/>
    </border>
    <border>
      <left style="thin">
        <color auto="1"/>
      </left>
      <right style="thin">
        <color rgb="FF7F7F7F"/>
      </right>
      <top style="thin">
        <color auto="1"/>
      </top>
      <bottom style="thin">
        <color rgb="FF7F7F7F"/>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auto="1"/>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n">
        <color auto="1"/>
      </right>
      <top style="thin">
        <color rgb="FF7F7F7F"/>
      </top>
      <bottom style="thin">
        <color rgb="FF7F7F7F"/>
      </bottom>
      <diagonal/>
    </border>
    <border>
      <left style="thin">
        <color auto="1"/>
      </left>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auto="1"/>
      </bottom>
      <diagonal/>
    </border>
    <border>
      <left style="thin">
        <color rgb="FF7F7F7F"/>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top/>
      <bottom/>
      <diagonal/>
    </border>
    <border>
      <left style="thin">
        <color auto="1"/>
      </left>
      <right style="thin">
        <color rgb="FF7F7F7F"/>
      </right>
      <top style="thin">
        <color auto="1"/>
      </top>
      <bottom style="thin">
        <color auto="1"/>
      </bottom>
      <diagonal/>
    </border>
    <border>
      <left style="thin">
        <color rgb="FF7F7F7F"/>
      </left>
      <right style="thin">
        <color rgb="FF7F7F7F"/>
      </right>
      <top style="thin">
        <color auto="1"/>
      </top>
      <bottom style="thin">
        <color auto="1"/>
      </bottom>
      <diagonal/>
    </border>
    <border>
      <left style="thin">
        <color rgb="FF7F7F7F"/>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hair">
        <color auto="1"/>
      </left>
      <right style="hair">
        <color auto="1"/>
      </right>
      <top style="hair">
        <color auto="1"/>
      </top>
      <bottom style="hair">
        <color auto="1"/>
      </bottom>
      <diagonal/>
    </border>
    <border>
      <left/>
      <right style="medium">
        <color auto="1"/>
      </right>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thin">
        <color auto="1"/>
      </bottom>
      <diagonal/>
    </border>
    <border>
      <left style="medium">
        <color auto="1"/>
      </left>
      <right/>
      <top/>
      <bottom/>
      <diagonal/>
    </border>
    <border>
      <left style="thin">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right style="thin">
        <color rgb="FF3F3F3F"/>
      </right>
      <top/>
      <bottom style="dotted">
        <color indexed="64"/>
      </bottom>
      <diagonal/>
    </border>
    <border>
      <left/>
      <right/>
      <top style="medium">
        <color indexed="64"/>
      </top>
      <bottom/>
      <diagonal/>
    </border>
    <border>
      <left/>
      <right/>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thin">
        <color rgb="FF3F3F3F"/>
      </right>
      <top style="thin">
        <color rgb="FF3F3F3F"/>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auto="1"/>
      </bottom>
      <diagonal/>
    </border>
    <border>
      <left style="thin">
        <color indexed="64"/>
      </left>
      <right style="dotted">
        <color indexed="64"/>
      </right>
      <top/>
      <bottom/>
      <diagonal/>
    </border>
    <border>
      <left style="thin">
        <color indexed="64"/>
      </left>
      <right style="dotted">
        <color indexed="64"/>
      </right>
      <top/>
      <bottom style="thin">
        <color auto="1"/>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medium">
        <color auto="1"/>
      </left>
      <right style="thin">
        <color indexed="64"/>
      </right>
      <top/>
      <bottom style="medium">
        <color auto="1"/>
      </bottom>
      <diagonal/>
    </border>
    <border>
      <left/>
      <right/>
      <top style="thin">
        <color indexed="64"/>
      </top>
      <bottom style="medium">
        <color indexed="64"/>
      </bottom>
      <diagonal/>
    </border>
    <border>
      <left/>
      <right style="thin">
        <color rgb="FF3F3F3F"/>
      </right>
      <top style="dotted">
        <color rgb="FF3F3F3F"/>
      </top>
      <bottom/>
      <diagonal/>
    </border>
    <border>
      <left/>
      <right style="thin">
        <color rgb="FF3F3F3F"/>
      </right>
      <top style="dotted">
        <color rgb="FF3F3F3F"/>
      </top>
      <bottom style="dotted">
        <color rgb="FF3F3F3F"/>
      </bottom>
      <diagonal/>
    </border>
    <border>
      <left/>
      <right style="thin">
        <color rgb="FF3F3F3F"/>
      </right>
      <top/>
      <bottom style="dotted">
        <color rgb="FF3F3F3F"/>
      </bottom>
      <diagonal/>
    </border>
    <border>
      <left/>
      <right style="thin">
        <color rgb="FF3F3F3F"/>
      </right>
      <top style="thin">
        <color rgb="FF3F3F3F"/>
      </top>
      <bottom/>
      <diagonal/>
    </border>
    <border>
      <left style="medium">
        <color auto="1"/>
      </left>
      <right style="thin">
        <color indexed="64"/>
      </right>
      <top style="dotted">
        <color auto="1"/>
      </top>
      <bottom/>
      <diagonal/>
    </border>
    <border>
      <left style="thin">
        <color auto="1"/>
      </left>
      <right/>
      <top style="dotted">
        <color auto="1"/>
      </top>
      <bottom/>
      <diagonal/>
    </border>
    <border>
      <left/>
      <right/>
      <top style="dotted">
        <color auto="1"/>
      </top>
      <bottom/>
      <diagonal/>
    </border>
    <border>
      <left/>
      <right style="medium">
        <color auto="1"/>
      </right>
      <top style="dotted">
        <color auto="1"/>
      </top>
      <bottom/>
      <diagonal/>
    </border>
    <border>
      <left style="thin">
        <color auto="1"/>
      </left>
      <right/>
      <top/>
      <bottom style="medium">
        <color auto="1"/>
      </bottom>
      <diagonal/>
    </border>
  </borders>
  <cellStyleXfs count="4">
    <xf numFmtId="0" fontId="0" fillId="0" borderId="0"/>
    <xf numFmtId="0" fontId="5" fillId="10" borderId="0" applyNumberFormat="0" applyBorder="0" applyAlignment="0" applyProtection="0"/>
    <xf numFmtId="0" fontId="7" fillId="11" borderId="32" applyNumberFormat="0" applyAlignment="0" applyProtection="0"/>
    <xf numFmtId="0" fontId="18" fillId="0" borderId="0" applyNumberFormat="0" applyFill="0" applyBorder="0" applyAlignment="0" applyProtection="0"/>
  </cellStyleXfs>
  <cellXfs count="213">
    <xf numFmtId="0" fontId="0" fillId="0" borderId="0" xfId="0"/>
    <xf numFmtId="0" fontId="1" fillId="0" borderId="0" xfId="0" applyFont="1"/>
    <xf numFmtId="0" fontId="1" fillId="2" borderId="0" xfId="0" applyFont="1" applyFill="1" applyAlignment="1">
      <alignment horizontal="center"/>
    </xf>
    <xf numFmtId="0" fontId="2" fillId="0" borderId="1" xfId="0" applyFont="1" applyBorder="1" applyAlignment="1" applyProtection="1"/>
    <xf numFmtId="0" fontId="2" fillId="0" borderId="2" xfId="0" applyFont="1" applyBorder="1" applyAlignment="1" applyProtection="1"/>
    <xf numFmtId="11" fontId="0" fillId="0" borderId="2" xfId="0" applyNumberFormat="1" applyBorder="1" applyAlignment="1" applyProtection="1"/>
    <xf numFmtId="0" fontId="2" fillId="0" borderId="3" xfId="0" applyFont="1" applyBorder="1" applyAlignment="1" applyProtection="1"/>
    <xf numFmtId="0" fontId="2" fillId="3" borderId="1" xfId="0" applyFont="1" applyFill="1" applyBorder="1" applyAlignment="1" applyProtection="1"/>
    <xf numFmtId="11" fontId="0" fillId="3" borderId="2" xfId="0" applyNumberFormat="1" applyFill="1" applyBorder="1" applyAlignment="1" applyProtection="1"/>
    <xf numFmtId="0" fontId="2" fillId="3" borderId="3" xfId="0" applyFont="1" applyFill="1" applyBorder="1" applyAlignment="1" applyProtection="1"/>
    <xf numFmtId="0" fontId="2" fillId="0" borderId="4" xfId="0" applyFont="1" applyBorder="1" applyAlignment="1" applyProtection="1"/>
    <xf numFmtId="0" fontId="2" fillId="0" borderId="5" xfId="0" applyFont="1" applyBorder="1" applyAlignment="1" applyProtection="1"/>
    <xf numFmtId="11" fontId="0" fillId="0" borderId="5" xfId="0" applyNumberFormat="1" applyBorder="1" applyAlignment="1" applyProtection="1"/>
    <xf numFmtId="0" fontId="2" fillId="0" borderId="6" xfId="0" applyFont="1" applyBorder="1" applyAlignment="1" applyProtection="1"/>
    <xf numFmtId="0" fontId="2" fillId="3" borderId="4" xfId="0" applyFont="1" applyFill="1" applyBorder="1" applyAlignment="1" applyProtection="1"/>
    <xf numFmtId="11" fontId="0" fillId="3" borderId="5" xfId="0" applyNumberFormat="1" applyFill="1" applyBorder="1" applyAlignment="1" applyProtection="1"/>
    <xf numFmtId="0" fontId="2" fillId="3" borderId="6" xfId="0" applyFont="1" applyFill="1" applyBorder="1" applyAlignment="1" applyProtection="1"/>
    <xf numFmtId="0" fontId="2" fillId="4" borderId="4" xfId="0" applyFont="1" applyFill="1" applyBorder="1" applyAlignment="1" applyProtection="1"/>
    <xf numFmtId="11" fontId="0" fillId="4" borderId="5" xfId="0" applyNumberFormat="1" applyFill="1" applyBorder="1" applyAlignment="1" applyProtection="1"/>
    <xf numFmtId="0" fontId="2" fillId="4" borderId="6" xfId="0" applyFont="1" applyFill="1" applyBorder="1" applyAlignment="1" applyProtection="1"/>
    <xf numFmtId="0" fontId="0" fillId="0" borderId="7" xfId="0" applyBorder="1"/>
    <xf numFmtId="0" fontId="0" fillId="0" borderId="8" xfId="0" applyBorder="1"/>
    <xf numFmtId="11" fontId="0" fillId="0" borderId="9" xfId="0" applyNumberFormat="1" applyBorder="1" applyAlignment="1" applyProtection="1"/>
    <xf numFmtId="0" fontId="2" fillId="0" borderId="10" xfId="0" applyFont="1" applyBorder="1" applyAlignment="1" applyProtection="1"/>
    <xf numFmtId="11" fontId="0" fillId="0" borderId="0" xfId="0" applyNumberFormat="1"/>
    <xf numFmtId="0" fontId="2" fillId="0" borderId="11" xfId="0" applyFont="1" applyBorder="1" applyAlignment="1" applyProtection="1"/>
    <xf numFmtId="0" fontId="2" fillId="4" borderId="11" xfId="0" applyFont="1" applyFill="1" applyBorder="1" applyAlignment="1" applyProtection="1"/>
    <xf numFmtId="11" fontId="0" fillId="4" borderId="9" xfId="0" applyNumberFormat="1" applyFill="1" applyBorder="1" applyAlignment="1" applyProtection="1"/>
    <xf numFmtId="0" fontId="2" fillId="4" borderId="10" xfId="0" applyFont="1" applyFill="1" applyBorder="1" applyAlignment="1" applyProtection="1"/>
    <xf numFmtId="0" fontId="2" fillId="5" borderId="1" xfId="0" applyFont="1" applyFill="1" applyBorder="1" applyAlignment="1" applyProtection="1"/>
    <xf numFmtId="11" fontId="0" fillId="5" borderId="2" xfId="0" applyNumberFormat="1" applyFill="1" applyBorder="1" applyAlignment="1" applyProtection="1"/>
    <xf numFmtId="0" fontId="2" fillId="5" borderId="3" xfId="0" applyFont="1" applyFill="1" applyBorder="1" applyAlignment="1" applyProtection="1"/>
    <xf numFmtId="0" fontId="2" fillId="0" borderId="12" xfId="0" applyFont="1" applyBorder="1" applyAlignment="1" applyProtection="1"/>
    <xf numFmtId="0" fontId="2" fillId="6" borderId="4" xfId="0" applyFont="1" applyFill="1" applyBorder="1" applyAlignment="1" applyProtection="1"/>
    <xf numFmtId="11" fontId="0" fillId="6" borderId="5" xfId="0" applyNumberFormat="1" applyFill="1" applyBorder="1" applyAlignment="1" applyProtection="1"/>
    <xf numFmtId="0" fontId="2" fillId="6" borderId="6" xfId="0" applyFont="1" applyFill="1" applyBorder="1" applyAlignment="1" applyProtection="1"/>
    <xf numFmtId="0" fontId="2" fillId="0" borderId="13" xfId="0" applyFont="1" applyBorder="1" applyAlignment="1" applyProtection="1"/>
    <xf numFmtId="11" fontId="0" fillId="0" borderId="14" xfId="0" applyNumberFormat="1" applyBorder="1" applyAlignment="1" applyProtection="1"/>
    <xf numFmtId="0" fontId="2" fillId="0" borderId="15" xfId="0" applyFont="1" applyBorder="1" applyAlignment="1" applyProtection="1"/>
    <xf numFmtId="0" fontId="2" fillId="0" borderId="9" xfId="0" applyFont="1" applyBorder="1" applyAlignment="1" applyProtection="1"/>
    <xf numFmtId="164" fontId="0" fillId="0" borderId="5" xfId="0" applyNumberFormat="1" applyBorder="1" applyAlignment="1" applyProtection="1"/>
    <xf numFmtId="0" fontId="0" fillId="0" borderId="2" xfId="0" applyBorder="1" applyAlignment="1" applyProtection="1"/>
    <xf numFmtId="0" fontId="0" fillId="0" borderId="5" xfId="0" applyBorder="1" applyAlignment="1" applyProtection="1"/>
    <xf numFmtId="0" fontId="0" fillId="0" borderId="9" xfId="0" applyBorder="1" applyAlignment="1" applyProtection="1"/>
    <xf numFmtId="0" fontId="1" fillId="2" borderId="0" xfId="0" applyFont="1" applyFill="1" applyAlignment="1">
      <alignment horizontal="center" vertical="center"/>
    </xf>
    <xf numFmtId="0" fontId="2" fillId="0" borderId="16" xfId="0" applyFont="1" applyBorder="1"/>
    <xf numFmtId="0" fontId="0" fillId="0" borderId="17" xfId="0" applyFont="1" applyBorder="1"/>
    <xf numFmtId="0" fontId="4" fillId="0" borderId="0" xfId="0" applyFont="1"/>
    <xf numFmtId="0" fontId="0" fillId="8" borderId="0" xfId="0" applyFont="1" applyFill="1"/>
    <xf numFmtId="0" fontId="0" fillId="0" borderId="19" xfId="0" applyFont="1" applyBorder="1"/>
    <xf numFmtId="0" fontId="0" fillId="9" borderId="22" xfId="0" applyFont="1" applyFill="1" applyBorder="1"/>
    <xf numFmtId="165" fontId="1" fillId="9" borderId="18" xfId="0" applyNumberFormat="1" applyFont="1" applyFill="1" applyBorder="1"/>
    <xf numFmtId="0" fontId="0" fillId="9" borderId="23" xfId="0" applyFont="1" applyFill="1" applyBorder="1"/>
    <xf numFmtId="0" fontId="0" fillId="9" borderId="18" xfId="0" applyFont="1" applyFill="1" applyBorder="1"/>
    <xf numFmtId="0" fontId="0" fillId="9" borderId="24" xfId="0" applyFont="1" applyFill="1" applyBorder="1"/>
    <xf numFmtId="0" fontId="2" fillId="0" borderId="25" xfId="0" applyFont="1" applyBorder="1"/>
    <xf numFmtId="0" fontId="0" fillId="0" borderId="26" xfId="0" applyFont="1" applyBorder="1"/>
    <xf numFmtId="11" fontId="0" fillId="0" borderId="2" xfId="0" applyNumberFormat="1" applyFont="1" applyBorder="1" applyAlignment="1" applyProtection="1"/>
    <xf numFmtId="11" fontId="1" fillId="9" borderId="18" xfId="0" applyNumberFormat="1" applyFont="1" applyFill="1" applyBorder="1"/>
    <xf numFmtId="166" fontId="1" fillId="9" borderId="27" xfId="0" applyNumberFormat="1" applyFont="1" applyFill="1" applyBorder="1"/>
    <xf numFmtId="1" fontId="1" fillId="9" borderId="27" xfId="0" applyNumberFormat="1" applyFont="1" applyFill="1" applyBorder="1"/>
    <xf numFmtId="0" fontId="4" fillId="4" borderId="16" xfId="0" applyFont="1" applyFill="1" applyBorder="1" applyAlignment="1" applyProtection="1"/>
    <xf numFmtId="0" fontId="0" fillId="4" borderId="17" xfId="0" applyFont="1" applyFill="1" applyBorder="1" applyAlignment="1" applyProtection="1"/>
    <xf numFmtId="166" fontId="1" fillId="9" borderId="18" xfId="0" applyNumberFormat="1" applyFont="1" applyFill="1" applyBorder="1"/>
    <xf numFmtId="0" fontId="0" fillId="9" borderId="23" xfId="0" applyFill="1" applyBorder="1"/>
    <xf numFmtId="0" fontId="1" fillId="9" borderId="18" xfId="0" applyFont="1" applyFill="1" applyBorder="1"/>
    <xf numFmtId="0" fontId="4" fillId="4" borderId="28" xfId="0" applyFont="1" applyFill="1" applyBorder="1" applyAlignment="1" applyProtection="1"/>
    <xf numFmtId="0" fontId="0" fillId="4" borderId="19" xfId="0" applyFont="1" applyFill="1" applyBorder="1" applyAlignment="1" applyProtection="1"/>
    <xf numFmtId="0" fontId="4" fillId="0" borderId="28" xfId="0" applyFont="1" applyBorder="1" applyAlignment="1" applyProtection="1"/>
    <xf numFmtId="0" fontId="0" fillId="0" borderId="19" xfId="0" applyFont="1" applyBorder="1" applyAlignment="1" applyProtection="1"/>
    <xf numFmtId="0" fontId="0" fillId="0" borderId="0" xfId="0" applyFont="1"/>
    <xf numFmtId="0" fontId="0" fillId="9" borderId="29" xfId="0" applyFill="1" applyBorder="1"/>
    <xf numFmtId="0" fontId="0" fillId="9" borderId="27" xfId="0" applyFill="1" applyBorder="1"/>
    <xf numFmtId="0" fontId="0" fillId="9" borderId="30" xfId="0" applyFill="1" applyBorder="1"/>
    <xf numFmtId="0" fontId="0" fillId="9" borderId="29" xfId="0" applyFont="1" applyFill="1" applyBorder="1"/>
    <xf numFmtId="2" fontId="1" fillId="9" borderId="27" xfId="0" applyNumberFormat="1" applyFont="1" applyFill="1" applyBorder="1"/>
    <xf numFmtId="0" fontId="0" fillId="9" borderId="31" xfId="0" applyFill="1" applyBorder="1"/>
    <xf numFmtId="0" fontId="4" fillId="0" borderId="25" xfId="0" applyFont="1" applyBorder="1" applyAlignment="1" applyProtection="1"/>
    <xf numFmtId="0" fontId="0" fillId="0" borderId="26" xfId="0" applyFont="1" applyBorder="1" applyAlignment="1" applyProtection="1"/>
    <xf numFmtId="167" fontId="0" fillId="0" borderId="0" xfId="0" applyNumberFormat="1"/>
    <xf numFmtId="11" fontId="0" fillId="0" borderId="0" xfId="0" applyNumberFormat="1" applyFont="1"/>
    <xf numFmtId="0" fontId="0" fillId="0" borderId="0" xfId="0" applyFont="1" applyAlignment="1">
      <alignment wrapText="1"/>
    </xf>
    <xf numFmtId="0" fontId="5" fillId="10" borderId="0" xfId="1"/>
    <xf numFmtId="0" fontId="0" fillId="0" borderId="0" xfId="0" applyAlignment="1">
      <alignment horizontal="right"/>
    </xf>
    <xf numFmtId="0" fontId="0" fillId="12" borderId="0" xfId="0" applyFill="1"/>
    <xf numFmtId="0" fontId="6" fillId="12" borderId="0" xfId="0" applyFont="1" applyFill="1"/>
    <xf numFmtId="0" fontId="1" fillId="12" borderId="0" xfId="0" applyFont="1" applyFill="1"/>
    <xf numFmtId="0" fontId="0" fillId="12" borderId="0" xfId="0" applyFill="1" applyAlignment="1">
      <alignment horizontal="center"/>
    </xf>
    <xf numFmtId="0" fontId="1" fillId="13" borderId="0" xfId="0" applyFont="1" applyFill="1"/>
    <xf numFmtId="0" fontId="0" fillId="13" borderId="0" xfId="0" applyFill="1"/>
    <xf numFmtId="0" fontId="0" fillId="13" borderId="0" xfId="0" applyFill="1" applyAlignment="1">
      <alignment horizontal="center"/>
    </xf>
    <xf numFmtId="0" fontId="6" fillId="13" borderId="0" xfId="0" applyFont="1" applyFill="1"/>
    <xf numFmtId="0" fontId="7" fillId="11" borderId="32" xfId="2"/>
    <xf numFmtId="0" fontId="0" fillId="13" borderId="0" xfId="0" applyFill="1" applyAlignment="1">
      <alignment vertical="center" wrapText="1"/>
    </xf>
    <xf numFmtId="0" fontId="0" fillId="12" borderId="0" xfId="0" applyFill="1" applyAlignment="1">
      <alignment horizontal="left"/>
    </xf>
    <xf numFmtId="0" fontId="6" fillId="12" borderId="0" xfId="0" applyFont="1" applyFill="1" applyAlignment="1">
      <alignment horizontal="left"/>
    </xf>
    <xf numFmtId="0" fontId="7" fillId="11" borderId="32" xfId="2" applyAlignment="1">
      <alignment horizontal="left"/>
    </xf>
    <xf numFmtId="0" fontId="0" fillId="13" borderId="0" xfId="0" applyFill="1" applyAlignment="1">
      <alignment horizontal="left"/>
    </xf>
    <xf numFmtId="0" fontId="0" fillId="0" borderId="0" xfId="0" applyAlignment="1">
      <alignment horizontal="left"/>
    </xf>
    <xf numFmtId="14" fontId="0" fillId="0" borderId="0" xfId="0" applyNumberFormat="1"/>
    <xf numFmtId="1" fontId="0" fillId="0" borderId="0" xfId="0" applyNumberFormat="1"/>
    <xf numFmtId="0" fontId="0" fillId="0" borderId="28" xfId="0" applyBorder="1"/>
    <xf numFmtId="0" fontId="0" fillId="0" borderId="0" xfId="0" applyBorder="1"/>
    <xf numFmtId="0" fontId="0" fillId="0" borderId="19" xfId="0" applyBorder="1"/>
    <xf numFmtId="0" fontId="0" fillId="0" borderId="0" xfId="0" applyFill="1" applyBorder="1"/>
    <xf numFmtId="0" fontId="0" fillId="0" borderId="0" xfId="0"/>
    <xf numFmtId="0" fontId="0" fillId="13" borderId="0" xfId="0" applyFill="1" applyAlignment="1">
      <alignment horizontal="center"/>
    </xf>
    <xf numFmtId="0" fontId="0" fillId="0" borderId="0" xfId="0"/>
    <xf numFmtId="0" fontId="7" fillId="11" borderId="32" xfId="2" applyAlignment="1">
      <alignment horizontal="right"/>
    </xf>
    <xf numFmtId="0" fontId="0" fillId="13" borderId="16" xfId="0" applyFill="1" applyBorder="1"/>
    <xf numFmtId="0" fontId="0" fillId="13" borderId="35" xfId="0" applyFill="1" applyBorder="1"/>
    <xf numFmtId="0" fontId="0" fillId="13" borderId="17" xfId="0" applyFill="1" applyBorder="1"/>
    <xf numFmtId="0" fontId="0" fillId="13" borderId="28" xfId="0" applyFill="1" applyBorder="1"/>
    <xf numFmtId="0" fontId="0" fillId="13" borderId="0" xfId="0" applyFill="1" applyBorder="1"/>
    <xf numFmtId="0" fontId="0" fillId="13" borderId="19" xfId="0" applyFill="1" applyBorder="1"/>
    <xf numFmtId="0" fontId="7" fillId="13" borderId="32" xfId="2" applyFill="1"/>
    <xf numFmtId="0" fontId="7" fillId="13" borderId="38" xfId="2" applyFill="1" applyBorder="1"/>
    <xf numFmtId="0" fontId="0" fillId="13" borderId="39" xfId="0" applyFill="1" applyBorder="1"/>
    <xf numFmtId="0" fontId="0" fillId="13" borderId="40" xfId="0" applyFill="1" applyBorder="1"/>
    <xf numFmtId="0" fontId="0" fillId="13" borderId="41" xfId="0" applyFill="1" applyBorder="1"/>
    <xf numFmtId="11" fontId="0" fillId="13" borderId="35" xfId="0" applyNumberFormat="1" applyFill="1" applyBorder="1"/>
    <xf numFmtId="11" fontId="0" fillId="13" borderId="0" xfId="0" applyNumberFormat="1" applyFill="1" applyBorder="1"/>
    <xf numFmtId="0" fontId="7" fillId="13" borderId="32" xfId="2" applyFill="1" applyBorder="1"/>
    <xf numFmtId="0" fontId="0" fillId="13" borderId="25" xfId="0" applyFill="1" applyBorder="1"/>
    <xf numFmtId="0" fontId="0" fillId="13" borderId="36" xfId="0" applyFill="1" applyBorder="1"/>
    <xf numFmtId="0" fontId="7" fillId="13" borderId="37" xfId="2" applyFill="1" applyBorder="1"/>
    <xf numFmtId="0" fontId="0" fillId="13" borderId="26" xfId="0" applyFill="1" applyBorder="1"/>
    <xf numFmtId="0" fontId="0" fillId="0" borderId="43" xfId="0" applyBorder="1"/>
    <xf numFmtId="0" fontId="0" fillId="0" borderId="42" xfId="0" applyBorder="1"/>
    <xf numFmtId="0" fontId="0" fillId="14" borderId="45" xfId="0" applyFill="1" applyBorder="1"/>
    <xf numFmtId="0" fontId="0" fillId="14" borderId="44" xfId="0" applyFill="1" applyBorder="1"/>
    <xf numFmtId="0" fontId="0" fillId="0" borderId="0" xfId="0"/>
    <xf numFmtId="0" fontId="0" fillId="15" borderId="46" xfId="0" applyFill="1" applyBorder="1" applyAlignment="1"/>
    <xf numFmtId="0" fontId="0" fillId="15" borderId="47" xfId="0" applyFill="1" applyBorder="1" applyAlignment="1"/>
    <xf numFmtId="0" fontId="0" fillId="15" borderId="48" xfId="0" applyFill="1" applyBorder="1" applyAlignment="1"/>
    <xf numFmtId="0" fontId="0" fillId="0" borderId="0" xfId="0" applyFill="1"/>
    <xf numFmtId="14" fontId="0" fillId="0" borderId="0" xfId="0" applyNumberFormat="1" applyAlignment="1">
      <alignment horizontal="right"/>
    </xf>
    <xf numFmtId="0" fontId="0" fillId="0" borderId="0" xfId="0"/>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6" fillId="0" borderId="0" xfId="0" applyFont="1"/>
    <xf numFmtId="1" fontId="6" fillId="0" borderId="0" xfId="0" applyNumberFormat="1" applyFont="1"/>
    <xf numFmtId="0" fontId="0" fillId="13" borderId="0" xfId="0" applyFill="1" applyAlignment="1">
      <alignment horizontal="center"/>
    </xf>
    <xf numFmtId="0" fontId="0" fillId="0" borderId="0" xfId="0"/>
    <xf numFmtId="0" fontId="0" fillId="12" borderId="8" xfId="0" applyFill="1" applyBorder="1"/>
    <xf numFmtId="0" fontId="0" fillId="12" borderId="49" xfId="0" applyFill="1" applyBorder="1"/>
    <xf numFmtId="0" fontId="15" fillId="12" borderId="0" xfId="0" applyFont="1" applyFill="1"/>
    <xf numFmtId="0" fontId="0" fillId="13" borderId="51" xfId="0" applyFill="1" applyBorder="1" applyAlignment="1">
      <alignment horizontal="center"/>
    </xf>
    <xf numFmtId="0" fontId="0" fillId="12" borderId="0" xfId="0" applyFill="1" applyAlignment="1">
      <alignment horizontal="right"/>
    </xf>
    <xf numFmtId="11" fontId="7" fillId="11" borderId="32" xfId="2" applyNumberFormat="1" applyAlignment="1">
      <alignment horizontal="right"/>
    </xf>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0" fillId="13" borderId="0" xfId="0" applyFill="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horizontal="center" vertical="center"/>
    </xf>
    <xf numFmtId="0" fontId="5" fillId="10" borderId="0" xfId="1" applyAlignment="1">
      <alignment horizontal="center"/>
    </xf>
    <xf numFmtId="0" fontId="19" fillId="12" borderId="0" xfId="0" applyFont="1" applyFill="1"/>
    <xf numFmtId="0" fontId="15" fillId="12" borderId="0" xfId="0" applyFont="1" applyFill="1" applyAlignment="1">
      <alignment wrapText="1"/>
    </xf>
    <xf numFmtId="0" fontId="14" fillId="12" borderId="49" xfId="0" applyFont="1" applyFill="1" applyBorder="1" applyAlignment="1">
      <alignment horizontal="center"/>
    </xf>
    <xf numFmtId="0" fontId="17" fillId="12" borderId="0" xfId="0" applyFont="1" applyFill="1"/>
    <xf numFmtId="0" fontId="17" fillId="12" borderId="0" xfId="0" applyFont="1" applyFill="1" applyAlignment="1">
      <alignment wrapText="1"/>
    </xf>
    <xf numFmtId="0" fontId="0" fillId="0" borderId="0" xfId="0"/>
    <xf numFmtId="0" fontId="0" fillId="15" borderId="54" xfId="0" applyFill="1" applyBorder="1" applyAlignment="1"/>
    <xf numFmtId="0" fontId="0" fillId="0" borderId="0" xfId="0"/>
    <xf numFmtId="0" fontId="0" fillId="0" borderId="0" xfId="0"/>
    <xf numFmtId="0" fontId="0" fillId="0" borderId="0" xfId="0"/>
    <xf numFmtId="0" fontId="0" fillId="13" borderId="0" xfId="0" applyFill="1" applyAlignment="1">
      <alignment horizontal="center" vertical="center" wrapText="1"/>
    </xf>
    <xf numFmtId="0" fontId="0" fillId="13" borderId="0" xfId="0" applyFill="1" applyAlignment="1">
      <alignment horizontal="center"/>
    </xf>
    <xf numFmtId="0" fontId="0" fillId="13" borderId="50" xfId="0" applyFill="1" applyBorder="1" applyAlignment="1">
      <alignment horizontal="center" vertical="center" wrapText="1"/>
    </xf>
    <xf numFmtId="0" fontId="0" fillId="13" borderId="52" xfId="0" applyFill="1" applyBorder="1" applyAlignment="1">
      <alignment horizontal="center" vertical="center"/>
    </xf>
    <xf numFmtId="0" fontId="18" fillId="15" borderId="35" xfId="3" applyFill="1" applyBorder="1" applyAlignment="1">
      <alignment horizontal="center"/>
    </xf>
    <xf numFmtId="0" fontId="0" fillId="15" borderId="35" xfId="0" applyFill="1" applyBorder="1" applyAlignment="1">
      <alignment horizontal="center"/>
    </xf>
    <xf numFmtId="0" fontId="0" fillId="15" borderId="17" xfId="0" applyFill="1" applyBorder="1" applyAlignment="1">
      <alignment horizontal="center"/>
    </xf>
    <xf numFmtId="0" fontId="0" fillId="15" borderId="12" xfId="0" applyFill="1" applyBorder="1" applyAlignment="1">
      <alignment horizontal="center"/>
    </xf>
    <xf numFmtId="0" fontId="0" fillId="15" borderId="0" xfId="0" applyFill="1" applyBorder="1" applyAlignment="1">
      <alignment horizontal="center"/>
    </xf>
    <xf numFmtId="0" fontId="0" fillId="15" borderId="19" xfId="0" applyFill="1" applyBorder="1" applyAlignment="1">
      <alignment horizontal="center"/>
    </xf>
    <xf numFmtId="14" fontId="0" fillId="15" borderId="0" xfId="0" applyNumberFormat="1" applyFill="1" applyBorder="1" applyAlignment="1">
      <alignment horizontal="center"/>
    </xf>
    <xf numFmtId="14" fontId="0" fillId="15" borderId="55" xfId="0" applyNumberFormat="1" applyFill="1" applyBorder="1" applyAlignment="1">
      <alignment horizontal="center"/>
    </xf>
    <xf numFmtId="0" fontId="0" fillId="15" borderId="56" xfId="0" applyFill="1" applyBorder="1" applyAlignment="1">
      <alignment horizontal="center"/>
    </xf>
    <xf numFmtId="0" fontId="0" fillId="15" borderId="57" xfId="0" applyFill="1" applyBorder="1" applyAlignment="1">
      <alignment horizontal="center"/>
    </xf>
    <xf numFmtId="14" fontId="0" fillId="15" borderId="12" xfId="0" applyNumberFormat="1" applyFill="1" applyBorder="1" applyAlignment="1">
      <alignment horizontal="center"/>
    </xf>
    <xf numFmtId="14" fontId="0" fillId="15" borderId="19" xfId="0" applyNumberFormat="1" applyFill="1" applyBorder="1" applyAlignment="1">
      <alignment horizontal="center"/>
    </xf>
    <xf numFmtId="0" fontId="0" fillId="15" borderId="58" xfId="0" applyFill="1" applyBorder="1" applyAlignment="1">
      <alignment horizontal="center"/>
    </xf>
    <xf numFmtId="0" fontId="0" fillId="15" borderId="36" xfId="0" applyFill="1" applyBorder="1" applyAlignment="1">
      <alignment horizontal="center"/>
    </xf>
    <xf numFmtId="0" fontId="0" fillId="15" borderId="26" xfId="0" applyFill="1" applyBorder="1" applyAlignment="1">
      <alignment horizontal="center"/>
    </xf>
    <xf numFmtId="0" fontId="18" fillId="15" borderId="36" xfId="3" applyFill="1" applyBorder="1" applyAlignment="1">
      <alignment horizontal="center"/>
    </xf>
    <xf numFmtId="0" fontId="0" fillId="13" borderId="53" xfId="0" applyFill="1" applyBorder="1" applyAlignment="1">
      <alignment horizontal="center" vertical="center" wrapText="1"/>
    </xf>
    <xf numFmtId="0" fontId="0" fillId="13" borderId="33" xfId="0" applyFill="1" applyBorder="1" applyAlignment="1">
      <alignment horizontal="center" vertical="center"/>
    </xf>
    <xf numFmtId="0" fontId="8" fillId="12" borderId="0" xfId="0" applyFont="1" applyFill="1" applyAlignment="1">
      <alignment horizontal="center" vertical="center"/>
    </xf>
    <xf numFmtId="0" fontId="0" fillId="13" borderId="33" xfId="0" applyFill="1" applyBorder="1" applyAlignment="1">
      <alignment horizontal="center" vertical="center" wrapText="1"/>
    </xf>
    <xf numFmtId="0" fontId="0" fillId="13" borderId="34" xfId="0" applyFill="1" applyBorder="1" applyAlignment="1">
      <alignment horizontal="center" vertical="center"/>
    </xf>
    <xf numFmtId="0" fontId="0" fillId="13" borderId="0" xfId="0" applyFill="1" applyAlignment="1">
      <alignment horizontal="center" vertical="center"/>
    </xf>
    <xf numFmtId="0" fontId="0" fillId="16" borderId="0" xfId="0" applyFill="1" applyBorder="1" applyAlignment="1">
      <alignment horizontal="center"/>
    </xf>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5" fillId="10" borderId="0" xfId="1" applyAlignment="1">
      <alignment horizontal="center"/>
    </xf>
    <xf numFmtId="0" fontId="0" fillId="0" borderId="0" xfId="0" applyAlignment="1">
      <alignment horizontal="center"/>
    </xf>
    <xf numFmtId="0" fontId="0" fillId="0" borderId="0" xfId="0" applyAlignment="1">
      <alignment horizontal="center" wrapText="1"/>
    </xf>
    <xf numFmtId="0" fontId="5" fillId="10" borderId="0" xfId="1" applyAlignment="1">
      <alignment horizontal="center" vertical="center"/>
    </xf>
    <xf numFmtId="0" fontId="1" fillId="2" borderId="0" xfId="0" applyFont="1" applyFill="1" applyBorder="1" applyAlignment="1">
      <alignment horizontal="center" vertical="center"/>
    </xf>
    <xf numFmtId="0" fontId="1" fillId="7" borderId="18" xfId="0" applyFont="1" applyFill="1" applyBorder="1" applyAlignment="1">
      <alignment horizontal="center" vertical="center"/>
    </xf>
    <xf numFmtId="0" fontId="0" fillId="8" borderId="0"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21" xfId="0" applyFont="1" applyFill="1" applyBorder="1" applyAlignment="1">
      <alignment horizontal="center" vertical="center"/>
    </xf>
    <xf numFmtId="0" fontId="1" fillId="0" borderId="0" xfId="0" applyFont="1" applyBorder="1" applyAlignment="1">
      <alignment horizontal="center" vertical="center"/>
    </xf>
  </cellXfs>
  <cellStyles count="4">
    <cellStyle name="Ausgabe" xfId="2" builtinId="21"/>
    <cellStyle name="Link" xfId="3" builtinId="8"/>
    <cellStyle name="Schlecht" xfId="1" builtinId="27"/>
    <cellStyle name="Standard" xfId="0" builtinId="0"/>
  </cellStyles>
  <dxfs count="5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92D050"/>
        </patternFill>
      </fill>
    </dxf>
    <dxf>
      <fill>
        <patternFill>
          <bgColor rgb="FFFF0000"/>
        </patternFill>
      </fill>
    </dxf>
    <dxf>
      <fill>
        <patternFill patternType="solid">
          <fgColor auto="1"/>
          <bgColor theme="0" tint="-0.14996795556505021"/>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ont>
        <b/>
        <i val="0"/>
        <color theme="0"/>
      </font>
      <fill>
        <patternFill>
          <bgColor theme="9"/>
        </patternFill>
      </fill>
    </dxf>
    <dxf>
      <font>
        <b/>
        <i val="0"/>
        <color theme="0"/>
      </font>
      <fill>
        <patternFill>
          <bgColor rgb="FFFF0000"/>
        </patternFill>
      </fill>
    </dxf>
  </dxfs>
  <tableStyles count="0" defaultTableStyle="TableStyleMedium2" defaultPivotStyle="PivotStyleLight16"/>
  <colors>
    <indexedColors>
      <rgbColor rgb="FF000000"/>
      <rgbColor rgb="FFFFFFFF"/>
      <rgbColor rgb="FFED1C24"/>
      <rgbColor rgb="FF00FF00"/>
      <rgbColor rgb="FF0000FF"/>
      <rgbColor rgb="FFFFF2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0066CC"/>
      <rgbColor rgb="FFADD58A"/>
      <rgbColor rgb="FF000080"/>
      <rgbColor rgb="FFFF00FF"/>
      <rgbColor rgb="FFFFFF00"/>
      <rgbColor rgb="FF00FFFF"/>
      <rgbColor rgb="FF800080"/>
      <rgbColor rgb="FF800000"/>
      <rgbColor rgb="FF008080"/>
      <rgbColor rgb="FF0000FF"/>
      <rgbColor rgb="FF00CCFF"/>
      <rgbColor rgb="FFCCFFFF"/>
      <rgbColor rgb="FFC2E0AE"/>
      <rgbColor rgb="FFFFF9AE"/>
      <rgbColor rgb="FFADC5E7"/>
      <rgbColor rgb="FFFF99CC"/>
      <rgbColor rgb="FFBCAED5"/>
      <rgbColor rgb="FFFCC7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mruColors>
      <color rgb="FFCC9900"/>
      <color rgb="FFFFFFCC"/>
      <color rgb="FFFF922F"/>
      <color rgb="FFFFFF99"/>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2181225</xdr:colOff>
      <xdr:row>61</xdr:row>
      <xdr:rowOff>38100</xdr:rowOff>
    </xdr:from>
    <xdr:to>
      <xdr:col>0</xdr:col>
      <xdr:colOff>9615543</xdr:colOff>
      <xdr:row>75</xdr:row>
      <xdr:rowOff>74060</xdr:rowOff>
    </xdr:to>
    <xdr:grpSp>
      <xdr:nvGrpSpPr>
        <xdr:cNvPr id="3" name="Group 2">
          <a:extLst>
            <a:ext uri="{FF2B5EF4-FFF2-40B4-BE49-F238E27FC236}">
              <a16:creationId xmlns:a16="http://schemas.microsoft.com/office/drawing/2014/main" id="{114E3164-DD91-4C22-8C88-047C80E43CFF}"/>
            </a:ext>
          </a:extLst>
        </xdr:cNvPr>
        <xdr:cNvGrpSpPr/>
      </xdr:nvGrpSpPr>
      <xdr:grpSpPr>
        <a:xfrm>
          <a:off x="2181225" y="14744700"/>
          <a:ext cx="7434318" cy="2702960"/>
          <a:chOff x="2238375" y="11449050"/>
          <a:chExt cx="7434318" cy="2702960"/>
        </a:xfrm>
      </xdr:grpSpPr>
      <xdr:pic>
        <xdr:nvPicPr>
          <xdr:cNvPr id="6" name="Grafik 10">
            <a:extLst>
              <a:ext uri="{FF2B5EF4-FFF2-40B4-BE49-F238E27FC236}">
                <a16:creationId xmlns:a16="http://schemas.microsoft.com/office/drawing/2014/main" id="{31D4C07F-22EC-4548-B74A-A03674F364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725" b="38747"/>
          <a:stretch/>
        </xdr:blipFill>
        <xdr:spPr>
          <a:xfrm>
            <a:off x="2238375" y="11449050"/>
            <a:ext cx="7434318" cy="2506145"/>
          </a:xfrm>
          <a:prstGeom prst="rect">
            <a:avLst/>
          </a:prstGeom>
        </xdr:spPr>
      </xdr:pic>
      <xdr:sp macro="" textlink="">
        <xdr:nvSpPr>
          <xdr:cNvPr id="2" name="TextBox 1">
            <a:extLst>
              <a:ext uri="{FF2B5EF4-FFF2-40B4-BE49-F238E27FC236}">
                <a16:creationId xmlns:a16="http://schemas.microsoft.com/office/drawing/2014/main" id="{10F75F9C-A561-42D4-AF9F-7C27714EB5A6}"/>
              </a:ext>
            </a:extLst>
          </xdr:cNvPr>
          <xdr:cNvSpPr txBox="1"/>
        </xdr:nvSpPr>
        <xdr:spPr>
          <a:xfrm>
            <a:off x="3095625" y="13887450"/>
            <a:ext cx="61722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3: Schematic explanation of the different type</a:t>
            </a:r>
            <a:r>
              <a:rPr lang="de-DE" sz="1100" baseline="0"/>
              <a:t> of surface areas relevant in heterogenous catalysis.</a:t>
            </a:r>
            <a:endParaRPr lang="de-DE" sz="1100"/>
          </a:p>
        </xdr:txBody>
      </xdr:sp>
    </xdr:grpSp>
    <xdr:clientData/>
  </xdr:twoCellAnchor>
  <xdr:twoCellAnchor>
    <xdr:from>
      <xdr:col>0</xdr:col>
      <xdr:colOff>285750</xdr:colOff>
      <xdr:row>11</xdr:row>
      <xdr:rowOff>161925</xdr:rowOff>
    </xdr:from>
    <xdr:to>
      <xdr:col>0</xdr:col>
      <xdr:colOff>10342893</xdr:colOff>
      <xdr:row>18</xdr:row>
      <xdr:rowOff>26435</xdr:rowOff>
    </xdr:to>
    <xdr:grpSp>
      <xdr:nvGrpSpPr>
        <xdr:cNvPr id="8" name="Group 7">
          <a:extLst>
            <a:ext uri="{FF2B5EF4-FFF2-40B4-BE49-F238E27FC236}">
              <a16:creationId xmlns:a16="http://schemas.microsoft.com/office/drawing/2014/main" id="{2CAA310D-E45E-4DA2-9C12-999684456E66}"/>
            </a:ext>
          </a:extLst>
        </xdr:cNvPr>
        <xdr:cNvGrpSpPr/>
      </xdr:nvGrpSpPr>
      <xdr:grpSpPr>
        <a:xfrm>
          <a:off x="285750" y="2447925"/>
          <a:ext cx="10057143" cy="1198010"/>
          <a:chOff x="285750" y="1866900"/>
          <a:chExt cx="10057143" cy="1198010"/>
        </a:xfrm>
      </xdr:grpSpPr>
      <xdr:pic>
        <xdr:nvPicPr>
          <xdr:cNvPr id="4" name="Picture 3">
            <a:extLst>
              <a:ext uri="{FF2B5EF4-FFF2-40B4-BE49-F238E27FC236}">
                <a16:creationId xmlns:a16="http://schemas.microsoft.com/office/drawing/2014/main" id="{C929850A-5F60-436A-8A29-5CFD172D4C0E}"/>
              </a:ext>
            </a:extLst>
          </xdr:cNvPr>
          <xdr:cNvPicPr>
            <a:picLocks noChangeAspect="1"/>
          </xdr:cNvPicPr>
        </xdr:nvPicPr>
        <xdr:blipFill>
          <a:blip xmlns:r="http://schemas.openxmlformats.org/officeDocument/2006/relationships" r:embed="rId2"/>
          <a:stretch>
            <a:fillRect/>
          </a:stretch>
        </xdr:blipFill>
        <xdr:spPr>
          <a:xfrm>
            <a:off x="285750" y="1866900"/>
            <a:ext cx="10057143" cy="1047619"/>
          </a:xfrm>
          <a:prstGeom prst="rect">
            <a:avLst/>
          </a:prstGeom>
        </xdr:spPr>
      </xdr:pic>
      <xdr:sp macro="" textlink="">
        <xdr:nvSpPr>
          <xdr:cNvPr id="7" name="TextBox 6">
            <a:extLst>
              <a:ext uri="{FF2B5EF4-FFF2-40B4-BE49-F238E27FC236}">
                <a16:creationId xmlns:a16="http://schemas.microsoft.com/office/drawing/2014/main" id="{A322B3B0-EE5C-4F61-B204-479805878179}"/>
              </a:ext>
            </a:extLst>
          </xdr:cNvPr>
          <xdr:cNvSpPr txBox="1"/>
        </xdr:nvSpPr>
        <xdr:spPr>
          <a:xfrm>
            <a:off x="2314575" y="2800350"/>
            <a:ext cx="597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1: One parameter</a:t>
            </a:r>
            <a:r>
              <a:rPr lang="de-DE" sz="1100" baseline="0"/>
              <a:t> section in the questionnaire. The parameters are to be entered in column E.</a:t>
            </a:r>
            <a:endParaRPr lang="de-DE" sz="1100"/>
          </a:p>
        </xdr:txBody>
      </xdr:sp>
    </xdr:grpSp>
    <xdr:clientData/>
  </xdr:twoCellAnchor>
  <xdr:twoCellAnchor>
    <xdr:from>
      <xdr:col>0</xdr:col>
      <xdr:colOff>276224</xdr:colOff>
      <xdr:row>35</xdr:row>
      <xdr:rowOff>85725</xdr:rowOff>
    </xdr:from>
    <xdr:to>
      <xdr:col>0</xdr:col>
      <xdr:colOff>6629399</xdr:colOff>
      <xdr:row>47</xdr:row>
      <xdr:rowOff>140735</xdr:rowOff>
    </xdr:to>
    <xdr:grpSp>
      <xdr:nvGrpSpPr>
        <xdr:cNvPr id="10" name="Group 9">
          <a:extLst>
            <a:ext uri="{FF2B5EF4-FFF2-40B4-BE49-F238E27FC236}">
              <a16:creationId xmlns:a16="http://schemas.microsoft.com/office/drawing/2014/main" id="{5D6B0032-D8E6-416E-A064-9932453A702D}"/>
            </a:ext>
          </a:extLst>
        </xdr:cNvPr>
        <xdr:cNvGrpSpPr/>
      </xdr:nvGrpSpPr>
      <xdr:grpSpPr>
        <a:xfrm>
          <a:off x="276224" y="6943725"/>
          <a:ext cx="6353175" cy="2341010"/>
          <a:chOff x="276224" y="6553200"/>
          <a:chExt cx="6353175" cy="2341010"/>
        </a:xfrm>
      </xdr:grpSpPr>
      <xdr:pic>
        <xdr:nvPicPr>
          <xdr:cNvPr id="5" name="Picture 4">
            <a:extLst>
              <a:ext uri="{FF2B5EF4-FFF2-40B4-BE49-F238E27FC236}">
                <a16:creationId xmlns:a16="http://schemas.microsoft.com/office/drawing/2014/main" id="{11615D0D-E6CD-4F33-8BCC-8E552C9CDCA1}"/>
              </a:ext>
            </a:extLst>
          </xdr:cNvPr>
          <xdr:cNvPicPr>
            <a:picLocks noChangeAspect="1"/>
          </xdr:cNvPicPr>
        </xdr:nvPicPr>
        <xdr:blipFill>
          <a:blip xmlns:r="http://schemas.openxmlformats.org/officeDocument/2006/relationships" r:embed="rId3"/>
          <a:stretch>
            <a:fillRect/>
          </a:stretch>
        </xdr:blipFill>
        <xdr:spPr>
          <a:xfrm>
            <a:off x="361950" y="6553200"/>
            <a:ext cx="6009524" cy="2057143"/>
          </a:xfrm>
          <a:prstGeom prst="rect">
            <a:avLst/>
          </a:prstGeom>
        </xdr:spPr>
      </xdr:pic>
      <xdr:sp macro="" textlink="">
        <xdr:nvSpPr>
          <xdr:cNvPr id="9" name="TextBox 8">
            <a:extLst>
              <a:ext uri="{FF2B5EF4-FFF2-40B4-BE49-F238E27FC236}">
                <a16:creationId xmlns:a16="http://schemas.microsoft.com/office/drawing/2014/main" id="{F50EB4A2-46B0-460C-B761-5D7982F028D2}"/>
              </a:ext>
            </a:extLst>
          </xdr:cNvPr>
          <xdr:cNvSpPr txBox="1"/>
        </xdr:nvSpPr>
        <xdr:spPr>
          <a:xfrm>
            <a:off x="276224" y="8629650"/>
            <a:ext cx="6353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1100"/>
              <a:t>Figure 2: The experimental data sheet.</a:t>
            </a:r>
            <a:r>
              <a:rPr lang="de-DE" sz="1100" baseline="0"/>
              <a:t> The column for the independent variable (B) is highlighted in orange.</a:t>
            </a:r>
            <a:endParaRPr lang="de-DE"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x.doi.org/10.1016/j.jechem.2015.09.004" TargetMode="External"/><Relationship Id="rId1" Type="http://schemas.openxmlformats.org/officeDocument/2006/relationships/hyperlink" Target="mailto:rinu.chacko@kit.ed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6243-B130-4E20-BC28-32933BDFC86B}">
  <dimension ref="A1:A89"/>
  <sheetViews>
    <sheetView topLeftCell="A28" workbookViewId="0">
      <selection activeCell="A33" sqref="A33"/>
    </sheetView>
  </sheetViews>
  <sheetFormatPr baseColWidth="10" defaultColWidth="9.1796875" defaultRowHeight="14.5" x14ac:dyDescent="0.35"/>
  <cols>
    <col min="1" max="1" width="223.1796875" style="84" customWidth="1"/>
    <col min="2" max="16384" width="9.1796875" style="84"/>
  </cols>
  <sheetData>
    <row r="1" spans="1:1" s="148" customFormat="1" ht="29" thickBot="1" x14ac:dyDescent="0.7">
      <c r="A1" s="165" t="s">
        <v>374</v>
      </c>
    </row>
    <row r="3" spans="1:1" x14ac:dyDescent="0.35">
      <c r="A3" s="84" t="s">
        <v>375</v>
      </c>
    </row>
    <row r="4" spans="1:1" x14ac:dyDescent="0.35">
      <c r="A4" s="84" t="s">
        <v>376</v>
      </c>
    </row>
    <row r="5" spans="1:1" s="147" customFormat="1" x14ac:dyDescent="0.35">
      <c r="A5" s="147" t="s">
        <v>377</v>
      </c>
    </row>
    <row r="7" spans="1:1" x14ac:dyDescent="0.35">
      <c r="A7" s="85" t="s">
        <v>378</v>
      </c>
    </row>
    <row r="8" spans="1:1" x14ac:dyDescent="0.35">
      <c r="A8" s="85"/>
    </row>
    <row r="9" spans="1:1" x14ac:dyDescent="0.35">
      <c r="A9" s="166" t="s">
        <v>475</v>
      </c>
    </row>
    <row r="10" spans="1:1" x14ac:dyDescent="0.35">
      <c r="A10" s="166" t="s">
        <v>477</v>
      </c>
    </row>
    <row r="11" spans="1:1" x14ac:dyDescent="0.35">
      <c r="A11" s="84" t="s">
        <v>476</v>
      </c>
    </row>
    <row r="20" spans="1:1" x14ac:dyDescent="0.35">
      <c r="A20" s="84" t="s">
        <v>429</v>
      </c>
    </row>
    <row r="21" spans="1:1" x14ac:dyDescent="0.35">
      <c r="A21" s="84" t="s">
        <v>424</v>
      </c>
    </row>
    <row r="22" spans="1:1" x14ac:dyDescent="0.35">
      <c r="A22" s="84" t="s">
        <v>425</v>
      </c>
    </row>
    <row r="23" spans="1:1" x14ac:dyDescent="0.35">
      <c r="A23" s="84" t="s">
        <v>427</v>
      </c>
    </row>
    <row r="24" spans="1:1" x14ac:dyDescent="0.35">
      <c r="A24" s="84" t="s">
        <v>426</v>
      </c>
    </row>
    <row r="25" spans="1:1" x14ac:dyDescent="0.35">
      <c r="A25" s="84" t="s">
        <v>528</v>
      </c>
    </row>
    <row r="26" spans="1:1" x14ac:dyDescent="0.35">
      <c r="A26" s="84" t="s">
        <v>428</v>
      </c>
    </row>
    <row r="28" spans="1:1" x14ac:dyDescent="0.35">
      <c r="A28" s="84" t="s">
        <v>430</v>
      </c>
    </row>
    <row r="29" spans="1:1" x14ac:dyDescent="0.35">
      <c r="A29" s="84" t="s">
        <v>431</v>
      </c>
    </row>
    <row r="31" spans="1:1" x14ac:dyDescent="0.35">
      <c r="A31" s="85" t="s">
        <v>435</v>
      </c>
    </row>
    <row r="32" spans="1:1" x14ac:dyDescent="0.35">
      <c r="A32" s="84" t="s">
        <v>432</v>
      </c>
    </row>
    <row r="33" spans="1:1" x14ac:dyDescent="0.35">
      <c r="A33" s="84" t="s">
        <v>436</v>
      </c>
    </row>
    <row r="34" spans="1:1" x14ac:dyDescent="0.35">
      <c r="A34" s="84" t="s">
        <v>459</v>
      </c>
    </row>
    <row r="35" spans="1:1" x14ac:dyDescent="0.35">
      <c r="A35" s="84" t="s">
        <v>437</v>
      </c>
    </row>
    <row r="36" spans="1:1" x14ac:dyDescent="0.35">
      <c r="A36" s="149"/>
    </row>
    <row r="50" spans="1:1" x14ac:dyDescent="0.35">
      <c r="A50" s="85" t="s">
        <v>438</v>
      </c>
    </row>
    <row r="51" spans="1:1" x14ac:dyDescent="0.35">
      <c r="A51" s="84" t="s">
        <v>471</v>
      </c>
    </row>
    <row r="53" spans="1:1" x14ac:dyDescent="0.35">
      <c r="A53" s="85" t="s">
        <v>472</v>
      </c>
    </row>
    <row r="54" spans="1:1" x14ac:dyDescent="0.35">
      <c r="A54" s="163" t="s">
        <v>482</v>
      </c>
    </row>
    <row r="55" spans="1:1" ht="72.5" x14ac:dyDescent="0.35">
      <c r="A55" s="167" t="s">
        <v>489</v>
      </c>
    </row>
    <row r="56" spans="1:1" x14ac:dyDescent="0.35">
      <c r="A56" s="85"/>
    </row>
    <row r="57" spans="1:1" x14ac:dyDescent="0.35">
      <c r="A57" s="163" t="s">
        <v>478</v>
      </c>
    </row>
    <row r="58" spans="1:1" ht="34.5" customHeight="1" x14ac:dyDescent="0.35">
      <c r="A58" s="167" t="s">
        <v>480</v>
      </c>
    </row>
    <row r="60" spans="1:1" x14ac:dyDescent="0.35">
      <c r="A60" s="163" t="s">
        <v>483</v>
      </c>
    </row>
    <row r="61" spans="1:1" ht="159" customHeight="1" x14ac:dyDescent="0.45">
      <c r="A61" s="164" t="s">
        <v>484</v>
      </c>
    </row>
    <row r="87" spans="1:1" x14ac:dyDescent="0.35">
      <c r="A87" s="85" t="s">
        <v>479</v>
      </c>
    </row>
    <row r="88" spans="1:1" ht="16.5" x14ac:dyDescent="0.35">
      <c r="A88" s="84" t="s">
        <v>488</v>
      </c>
    </row>
    <row r="89" spans="1:1" x14ac:dyDescent="0.35">
      <c r="A89" s="84" t="s">
        <v>481</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EC7E-FF47-41E6-84B7-08F10BBFBDE9}">
  <dimension ref="A1:G3"/>
  <sheetViews>
    <sheetView workbookViewId="0">
      <selection activeCell="G4" sqref="G4"/>
    </sheetView>
  </sheetViews>
  <sheetFormatPr baseColWidth="10" defaultColWidth="8.81640625" defaultRowHeight="14.5" x14ac:dyDescent="0.35"/>
  <sheetData>
    <row r="1" spans="1:7" x14ac:dyDescent="0.35">
      <c r="A1" t="s">
        <v>237</v>
      </c>
      <c r="C1" t="s">
        <v>523</v>
      </c>
      <c r="E1" t="s">
        <v>393</v>
      </c>
      <c r="G1" t="s">
        <v>533</v>
      </c>
    </row>
    <row r="2" spans="1:7" x14ac:dyDescent="0.35">
      <c r="A2" t="s">
        <v>394</v>
      </c>
      <c r="C2" t="s">
        <v>529</v>
      </c>
      <c r="E2" t="s">
        <v>530</v>
      </c>
      <c r="G2" t="s">
        <v>534</v>
      </c>
    </row>
    <row r="3" spans="1:7" x14ac:dyDescent="0.35">
      <c r="G3"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7"/>
  <sheetViews>
    <sheetView workbookViewId="0"/>
  </sheetViews>
  <sheetFormatPr baseColWidth="10" defaultColWidth="8.81640625" defaultRowHeight="14.5" x14ac:dyDescent="0.35"/>
  <cols>
    <col min="1" max="1" width="10.81640625" customWidth="1"/>
    <col min="2" max="2" width="21" customWidth="1"/>
    <col min="3" max="3" width="23.81640625" customWidth="1"/>
    <col min="4" max="4" width="9.1796875" customWidth="1"/>
    <col min="5" max="5" width="9.453125" customWidth="1"/>
    <col min="6" max="6" width="11.36328125" customWidth="1"/>
    <col min="7" max="20" width="9.1796875" customWidth="1"/>
    <col min="21" max="21" width="10.453125" customWidth="1"/>
    <col min="22" max="1025" width="9.1796875" customWidth="1"/>
  </cols>
  <sheetData>
    <row r="1" spans="1:36" x14ac:dyDescent="0.35">
      <c r="A1" s="1" t="s">
        <v>224</v>
      </c>
      <c r="E1" t="s">
        <v>160</v>
      </c>
      <c r="F1" t="s">
        <v>161</v>
      </c>
      <c r="G1" t="s">
        <v>162</v>
      </c>
      <c r="H1" t="s">
        <v>163</v>
      </c>
      <c r="I1" t="s">
        <v>164</v>
      </c>
      <c r="J1" t="s">
        <v>165</v>
      </c>
      <c r="K1" t="s">
        <v>166</v>
      </c>
      <c r="L1" t="s">
        <v>167</v>
      </c>
      <c r="M1" t="s">
        <v>168</v>
      </c>
      <c r="N1" t="s">
        <v>169</v>
      </c>
      <c r="O1" t="s">
        <v>170</v>
      </c>
      <c r="P1" t="s">
        <v>171</v>
      </c>
      <c r="Q1" t="s">
        <v>172</v>
      </c>
      <c r="R1" t="s">
        <v>173</v>
      </c>
      <c r="S1" t="s">
        <v>174</v>
      </c>
      <c r="T1" t="s">
        <v>175</v>
      </c>
      <c r="U1" t="s">
        <v>176</v>
      </c>
      <c r="V1" t="s">
        <v>177</v>
      </c>
      <c r="W1" t="s">
        <v>178</v>
      </c>
      <c r="X1" t="s">
        <v>179</v>
      </c>
      <c r="Y1" t="s">
        <v>180</v>
      </c>
      <c r="Z1" t="s">
        <v>181</v>
      </c>
      <c r="AA1" t="s">
        <v>182</v>
      </c>
      <c r="AB1" t="s">
        <v>183</v>
      </c>
      <c r="AC1" t="s">
        <v>184</v>
      </c>
      <c r="AD1" t="s">
        <v>185</v>
      </c>
      <c r="AE1" t="s">
        <v>186</v>
      </c>
      <c r="AF1" t="s">
        <v>187</v>
      </c>
      <c r="AG1" t="s">
        <v>188</v>
      </c>
      <c r="AH1" t="s">
        <v>189</v>
      </c>
      <c r="AI1" t="s">
        <v>190</v>
      </c>
      <c r="AJ1" t="s">
        <v>191</v>
      </c>
    </row>
    <row r="2" spans="1:36" x14ac:dyDescent="0.35">
      <c r="C2" s="1" t="s">
        <v>155</v>
      </c>
      <c r="D2" t="s">
        <v>192</v>
      </c>
    </row>
    <row r="4" spans="1:36" x14ac:dyDescent="0.35">
      <c r="A4" s="1" t="s">
        <v>193</v>
      </c>
      <c r="B4" t="s">
        <v>5</v>
      </c>
      <c r="C4" t="s">
        <v>7</v>
      </c>
      <c r="D4" s="24"/>
      <c r="L4">
        <v>4.8000000000000001E-2</v>
      </c>
      <c r="R4">
        <v>4.8000000000000001E-2</v>
      </c>
      <c r="S4">
        <v>0.11</v>
      </c>
      <c r="T4">
        <v>0.11</v>
      </c>
      <c r="Y4" s="24">
        <v>2.3800000000000002E-2</v>
      </c>
      <c r="Z4" s="24">
        <v>2.3800000000000002E-2</v>
      </c>
      <c r="AE4">
        <v>2.3E-2</v>
      </c>
      <c r="AG4">
        <v>0.1</v>
      </c>
    </row>
    <row r="5" spans="1:36" x14ac:dyDescent="0.35">
      <c r="B5" t="s">
        <v>128</v>
      </c>
      <c r="C5" t="s">
        <v>119</v>
      </c>
      <c r="D5" s="24"/>
      <c r="E5" s="24">
        <v>1.9999999999999999E-6</v>
      </c>
      <c r="F5" s="24">
        <v>9.9999999999999995E-7</v>
      </c>
      <c r="G5" s="24">
        <v>9.9999999999999995E-7</v>
      </c>
      <c r="S5" s="24"/>
    </row>
    <row r="6" spans="1:36" x14ac:dyDescent="0.35">
      <c r="B6" t="s">
        <v>15</v>
      </c>
      <c r="C6" t="s">
        <v>7</v>
      </c>
      <c r="D6" s="24"/>
      <c r="E6">
        <v>1.4E-2</v>
      </c>
      <c r="F6" s="24">
        <v>1.2500000000000001E-2</v>
      </c>
      <c r="G6" s="24">
        <v>1.2500000000000001E-2</v>
      </c>
      <c r="H6">
        <v>8.0000000000000002E-3</v>
      </c>
      <c r="I6">
        <v>8.0000000000000002E-3</v>
      </c>
      <c r="J6">
        <v>0.01</v>
      </c>
      <c r="K6">
        <v>4.0000000000000001E-3</v>
      </c>
      <c r="L6">
        <v>3.7699999999999999E-3</v>
      </c>
      <c r="M6">
        <v>8.0000000000000002E-3</v>
      </c>
      <c r="N6">
        <v>3.0000000000000001E-3</v>
      </c>
      <c r="O6">
        <v>3.0000000000000001E-3</v>
      </c>
      <c r="P6">
        <v>1.6E-2</v>
      </c>
      <c r="Q6">
        <v>1.4999999999999999E-2</v>
      </c>
      <c r="R6">
        <v>3.7699999999999999E-3</v>
      </c>
      <c r="S6">
        <v>1.4999999999999999E-2</v>
      </c>
      <c r="T6">
        <v>1.4999999999999999E-2</v>
      </c>
      <c r="U6" s="24">
        <v>8.0000000000000002E-3</v>
      </c>
      <c r="V6">
        <v>0.01</v>
      </c>
      <c r="Y6">
        <v>4.0000000000000001E-3</v>
      </c>
      <c r="Z6">
        <v>4.0000000000000001E-3</v>
      </c>
      <c r="AA6">
        <v>6.4999999999999997E-3</v>
      </c>
      <c r="AB6">
        <v>6.4999999999999997E-3</v>
      </c>
      <c r="AC6">
        <v>6.4999999999999997E-3</v>
      </c>
      <c r="AD6">
        <v>0.01</v>
      </c>
      <c r="AE6">
        <v>0.01</v>
      </c>
      <c r="AF6">
        <v>4.0000000000000001E-3</v>
      </c>
      <c r="AG6">
        <v>2.5000000000000001E-2</v>
      </c>
      <c r="AH6">
        <v>8.0000000000000002E-3</v>
      </c>
      <c r="AI6">
        <v>8.0000000000000002E-3</v>
      </c>
      <c r="AJ6">
        <v>8.0000000000000002E-3</v>
      </c>
    </row>
    <row r="7" spans="1:36" x14ac:dyDescent="0.35">
      <c r="B7" t="s">
        <v>194</v>
      </c>
      <c r="C7" t="s">
        <v>58</v>
      </c>
      <c r="F7" s="80"/>
      <c r="G7" s="80"/>
      <c r="H7">
        <v>1.2</v>
      </c>
      <c r="I7">
        <v>1.2</v>
      </c>
      <c r="J7">
        <v>0.5</v>
      </c>
      <c r="K7">
        <v>2.5</v>
      </c>
      <c r="L7">
        <v>0.18</v>
      </c>
      <c r="M7">
        <v>3</v>
      </c>
      <c r="N7">
        <v>0.05</v>
      </c>
      <c r="O7">
        <v>0.05</v>
      </c>
      <c r="P7">
        <v>1</v>
      </c>
      <c r="Q7">
        <v>0.15</v>
      </c>
      <c r="R7">
        <v>0.18</v>
      </c>
      <c r="U7">
        <v>0.8</v>
      </c>
      <c r="V7">
        <v>2.25</v>
      </c>
      <c r="W7">
        <v>0.6</v>
      </c>
      <c r="X7">
        <v>0.6</v>
      </c>
      <c r="Y7">
        <v>0.3</v>
      </c>
      <c r="Z7">
        <v>0.3</v>
      </c>
      <c r="AA7">
        <v>0.15</v>
      </c>
      <c r="AB7">
        <v>0.15</v>
      </c>
      <c r="AC7">
        <v>0.15</v>
      </c>
      <c r="AD7">
        <v>0.2</v>
      </c>
      <c r="AE7">
        <v>1</v>
      </c>
      <c r="AF7">
        <v>0.25</v>
      </c>
      <c r="AH7">
        <v>5</v>
      </c>
      <c r="AI7">
        <v>5</v>
      </c>
      <c r="AJ7">
        <v>5</v>
      </c>
    </row>
    <row r="8" spans="1:36" x14ac:dyDescent="0.35">
      <c r="B8" t="s">
        <v>195</v>
      </c>
      <c r="C8" t="s">
        <v>196</v>
      </c>
      <c r="H8">
        <v>3.16</v>
      </c>
      <c r="I8">
        <v>3.16</v>
      </c>
      <c r="J8">
        <v>4</v>
      </c>
      <c r="K8">
        <v>2.65</v>
      </c>
      <c r="M8">
        <v>2.65</v>
      </c>
      <c r="N8">
        <v>4</v>
      </c>
      <c r="O8">
        <v>2.65</v>
      </c>
      <c r="P8">
        <v>4</v>
      </c>
      <c r="Q8">
        <v>4</v>
      </c>
      <c r="U8">
        <v>2.65</v>
      </c>
      <c r="V8">
        <v>4</v>
      </c>
      <c r="Y8">
        <v>1</v>
      </c>
      <c r="Z8">
        <v>1</v>
      </c>
      <c r="AA8">
        <v>4</v>
      </c>
      <c r="AB8">
        <v>5.7</v>
      </c>
      <c r="AC8">
        <v>4.2300000000000004</v>
      </c>
      <c r="AD8">
        <v>4</v>
      </c>
      <c r="AF8">
        <v>4</v>
      </c>
      <c r="AH8">
        <v>1.5</v>
      </c>
      <c r="AI8">
        <v>1.5</v>
      </c>
      <c r="AJ8">
        <v>1.5</v>
      </c>
    </row>
    <row r="9" spans="1:36" x14ac:dyDescent="0.35">
      <c r="B9" t="s">
        <v>197</v>
      </c>
      <c r="C9" t="s">
        <v>198</v>
      </c>
      <c r="F9">
        <v>500</v>
      </c>
      <c r="I9">
        <v>423</v>
      </c>
      <c r="M9">
        <v>600</v>
      </c>
      <c r="R9">
        <v>565</v>
      </c>
      <c r="AF9">
        <v>600</v>
      </c>
    </row>
    <row r="10" spans="1:36" x14ac:dyDescent="0.35">
      <c r="A10" s="1" t="s">
        <v>4</v>
      </c>
      <c r="B10" t="s">
        <v>194</v>
      </c>
      <c r="C10" t="s">
        <v>58</v>
      </c>
      <c r="E10">
        <v>0.5</v>
      </c>
      <c r="F10">
        <v>0.3</v>
      </c>
      <c r="G10">
        <v>0.3</v>
      </c>
      <c r="H10">
        <v>0.2</v>
      </c>
      <c r="I10">
        <v>0.2</v>
      </c>
      <c r="J10">
        <v>0.5</v>
      </c>
      <c r="K10">
        <v>0.5</v>
      </c>
      <c r="L10">
        <v>0.18</v>
      </c>
      <c r="M10">
        <v>0.5</v>
      </c>
      <c r="N10">
        <v>0.05</v>
      </c>
      <c r="O10">
        <v>0.05</v>
      </c>
      <c r="P10">
        <v>1</v>
      </c>
      <c r="Q10">
        <v>0.15</v>
      </c>
      <c r="R10">
        <v>0.18</v>
      </c>
      <c r="S10">
        <v>11</v>
      </c>
      <c r="T10">
        <v>11</v>
      </c>
      <c r="U10">
        <v>0.3</v>
      </c>
      <c r="V10">
        <v>2.25</v>
      </c>
      <c r="W10">
        <v>0.2</v>
      </c>
      <c r="X10">
        <v>0.2</v>
      </c>
      <c r="Y10">
        <v>7.4999999999999997E-2</v>
      </c>
      <c r="Z10">
        <v>7.4999999999999997E-2</v>
      </c>
      <c r="AA10">
        <v>0.15</v>
      </c>
      <c r="AB10">
        <v>0.15</v>
      </c>
      <c r="AC10">
        <v>0.15</v>
      </c>
      <c r="AD10">
        <v>0.2</v>
      </c>
      <c r="AE10">
        <v>1</v>
      </c>
      <c r="AF10">
        <v>2.5000000000000001E-2</v>
      </c>
      <c r="AG10">
        <v>25</v>
      </c>
      <c r="AH10">
        <v>0.2</v>
      </c>
      <c r="AI10">
        <v>0.2</v>
      </c>
      <c r="AJ10">
        <v>0.2</v>
      </c>
    </row>
    <row r="11" spans="1:36" x14ac:dyDescent="0.35">
      <c r="B11" t="s">
        <v>199</v>
      </c>
      <c r="C11" t="s">
        <v>34</v>
      </c>
      <c r="E11">
        <v>50</v>
      </c>
      <c r="F11">
        <v>3</v>
      </c>
      <c r="G11">
        <v>3</v>
      </c>
      <c r="H11">
        <v>10</v>
      </c>
      <c r="I11">
        <v>10</v>
      </c>
      <c r="J11">
        <v>10</v>
      </c>
      <c r="K11">
        <v>23</v>
      </c>
      <c r="L11">
        <v>5</v>
      </c>
      <c r="M11">
        <v>20</v>
      </c>
      <c r="N11">
        <v>10</v>
      </c>
      <c r="O11">
        <v>10</v>
      </c>
      <c r="P11">
        <v>11.7</v>
      </c>
      <c r="Q11">
        <v>21</v>
      </c>
      <c r="R11">
        <v>5</v>
      </c>
      <c r="S11">
        <v>10</v>
      </c>
      <c r="T11">
        <v>10</v>
      </c>
      <c r="U11">
        <v>15</v>
      </c>
      <c r="W11">
        <v>15</v>
      </c>
      <c r="X11">
        <v>15</v>
      </c>
      <c r="Y11">
        <v>70</v>
      </c>
      <c r="Z11">
        <v>70</v>
      </c>
      <c r="AA11">
        <v>5</v>
      </c>
      <c r="AB11">
        <v>5</v>
      </c>
      <c r="AC11">
        <v>5</v>
      </c>
      <c r="AD11">
        <v>20</v>
      </c>
      <c r="AE11">
        <v>100</v>
      </c>
      <c r="AF11">
        <v>40.799999999999997</v>
      </c>
      <c r="AG11">
        <v>13</v>
      </c>
      <c r="AH11">
        <v>20</v>
      </c>
      <c r="AI11">
        <v>20</v>
      </c>
      <c r="AJ11">
        <v>20</v>
      </c>
    </row>
    <row r="12" spans="1:36" x14ac:dyDescent="0.35">
      <c r="B12" t="s">
        <v>151</v>
      </c>
      <c r="C12" t="s">
        <v>7</v>
      </c>
      <c r="D12" s="24"/>
      <c r="E12" s="24">
        <v>1.3750000000000001E-4</v>
      </c>
      <c r="F12" s="24">
        <v>1E-4</v>
      </c>
      <c r="G12" s="24">
        <v>1E-4</v>
      </c>
      <c r="H12" s="24">
        <v>3.3500000000000001E-4</v>
      </c>
      <c r="I12" s="24">
        <v>3.3500000000000001E-4</v>
      </c>
      <c r="J12" s="24"/>
      <c r="K12" s="24">
        <v>2.2499999999999999E-4</v>
      </c>
      <c r="L12">
        <v>3.0000000000000001E-3</v>
      </c>
      <c r="M12" s="24">
        <v>6.3000000000000003E-4</v>
      </c>
      <c r="N12" s="24">
        <v>2.6499999999999999E-4</v>
      </c>
      <c r="O12" s="24">
        <v>2.6499999999999999E-4</v>
      </c>
      <c r="P12" s="24">
        <v>2.0000000000000001E-4</v>
      </c>
      <c r="Q12" s="24">
        <v>4.0000000000000002E-4</v>
      </c>
      <c r="R12">
        <v>3.0000000000000001E-3</v>
      </c>
      <c r="S12">
        <v>1.5E-3</v>
      </c>
      <c r="T12">
        <v>1.5E-3</v>
      </c>
      <c r="U12" s="24">
        <v>6.3000000000000003E-4</v>
      </c>
      <c r="V12" s="24">
        <v>5.0000000000000001E-4</v>
      </c>
      <c r="W12" s="24">
        <v>3.3500000000000001E-4</v>
      </c>
      <c r="X12" s="24">
        <v>3.3500000000000001E-4</v>
      </c>
      <c r="Y12" s="24">
        <v>3.7500000000000001E-4</v>
      </c>
      <c r="Z12" s="24">
        <v>3.7500000000000001E-4</v>
      </c>
      <c r="AA12" s="24">
        <v>2.2000000000000001E-4</v>
      </c>
      <c r="AB12" s="24">
        <v>2.2000000000000001E-4</v>
      </c>
      <c r="AC12" s="24">
        <v>2.2000000000000001E-4</v>
      </c>
      <c r="AD12" s="24">
        <v>3.7500000000000001E-4</v>
      </c>
      <c r="AE12" s="24">
        <v>7.5000000000000002E-4</v>
      </c>
      <c r="AF12" s="24">
        <v>1.75E-4</v>
      </c>
      <c r="AG12" s="24">
        <v>3.1800000000000001E-3</v>
      </c>
      <c r="AH12" s="24">
        <v>6.3000000000000003E-4</v>
      </c>
      <c r="AI12" s="24">
        <v>6.3000000000000003E-4</v>
      </c>
      <c r="AJ12" s="24">
        <v>6.3000000000000003E-4</v>
      </c>
    </row>
    <row r="14" spans="1:36" x14ac:dyDescent="0.35">
      <c r="A14" s="1" t="s">
        <v>200</v>
      </c>
      <c r="B14" t="s">
        <v>48</v>
      </c>
      <c r="C14" t="s">
        <v>36</v>
      </c>
      <c r="D14" s="24"/>
      <c r="F14" s="24">
        <v>1E-4</v>
      </c>
      <c r="G14" s="24">
        <v>1E-4</v>
      </c>
      <c r="L14" s="24">
        <v>1.3200000000000001E-5</v>
      </c>
      <c r="N14" s="24">
        <v>1.5E-3</v>
      </c>
      <c r="O14" s="24">
        <v>1.1999999999999999E-3</v>
      </c>
      <c r="R14" s="24">
        <v>1.3200000000000001E-5</v>
      </c>
      <c r="U14" s="24">
        <v>1.16E-4</v>
      </c>
      <c r="AH14" s="24">
        <v>9.0000000000000002E-6</v>
      </c>
      <c r="AI14" s="24">
        <v>9.0000000000000006E-5</v>
      </c>
      <c r="AJ14" s="24">
        <v>8.03E-5</v>
      </c>
    </row>
    <row r="15" spans="1:36" x14ac:dyDescent="0.35">
      <c r="B15" t="s">
        <v>52</v>
      </c>
      <c r="C15" t="s">
        <v>36</v>
      </c>
      <c r="D15" s="24"/>
      <c r="F15" s="24"/>
      <c r="G15" s="24"/>
      <c r="L15" s="24">
        <v>2.9200000000000002E-5</v>
      </c>
      <c r="R15" s="24">
        <v>2.9200000000000002E-5</v>
      </c>
    </row>
    <row r="16" spans="1:36" x14ac:dyDescent="0.35">
      <c r="B16" t="s">
        <v>11</v>
      </c>
      <c r="C16" t="s">
        <v>7</v>
      </c>
      <c r="D16" s="24"/>
      <c r="E16" s="24">
        <v>4.7799999999999998E-8</v>
      </c>
      <c r="F16" s="24">
        <v>2.5000000000000001E-9</v>
      </c>
      <c r="G16" s="24">
        <v>2.5000000000000001E-9</v>
      </c>
      <c r="J16" s="24">
        <v>1.5600000000000001E-8</v>
      </c>
      <c r="K16" s="24">
        <v>2.0999999999999999E-8</v>
      </c>
      <c r="L16" s="24">
        <v>1.4300000000000001E-8</v>
      </c>
      <c r="M16" s="24">
        <v>4.8E-9</v>
      </c>
      <c r="N16" s="24">
        <v>1.2E-8</v>
      </c>
      <c r="O16" s="24">
        <v>1.0999999999999999E-8</v>
      </c>
      <c r="P16" s="24">
        <v>6.6000000000000004E-9</v>
      </c>
      <c r="R16" s="24">
        <v>1.4300000000000001E-8</v>
      </c>
      <c r="S16" s="24">
        <v>2.5799999999999999E-8</v>
      </c>
      <c r="T16" s="24">
        <v>2.5799999999999999E-8</v>
      </c>
      <c r="U16" s="24">
        <v>9.6600000000000001E-9</v>
      </c>
      <c r="AA16" s="24">
        <v>2.55E-8</v>
      </c>
      <c r="AB16" s="24">
        <v>1.7800000000000001E-8</v>
      </c>
      <c r="AC16" s="24">
        <v>3.6099999999999999E-8</v>
      </c>
      <c r="AD16" s="24">
        <v>1.89E-8</v>
      </c>
      <c r="AF16" s="24">
        <v>1.66E-8</v>
      </c>
      <c r="AH16" s="24">
        <v>3.4E-8</v>
      </c>
      <c r="AI16" s="24">
        <v>1.0999999999999999E-8</v>
      </c>
      <c r="AJ16" s="24">
        <v>1.7E-8</v>
      </c>
    </row>
    <row r="17" spans="1:36" x14ac:dyDescent="0.35">
      <c r="B17" t="s">
        <v>33</v>
      </c>
      <c r="C17" t="s">
        <v>34</v>
      </c>
      <c r="F17">
        <v>39</v>
      </c>
      <c r="G17">
        <v>39</v>
      </c>
      <c r="H17">
        <v>6</v>
      </c>
      <c r="I17">
        <v>7.1</v>
      </c>
      <c r="P17">
        <v>12.46</v>
      </c>
      <c r="S17">
        <v>3.9</v>
      </c>
      <c r="T17">
        <v>3.9</v>
      </c>
      <c r="U17">
        <v>10.46</v>
      </c>
      <c r="Y17">
        <v>1.98</v>
      </c>
      <c r="Z17">
        <v>1.98</v>
      </c>
      <c r="AA17">
        <v>4</v>
      </c>
      <c r="AB17">
        <v>5.7</v>
      </c>
      <c r="AC17">
        <v>2.8</v>
      </c>
      <c r="AF17">
        <v>6.1</v>
      </c>
      <c r="AH17">
        <v>0.7</v>
      </c>
      <c r="AI17">
        <v>7.1</v>
      </c>
      <c r="AJ17">
        <v>6</v>
      </c>
    </row>
    <row r="18" spans="1:36" x14ac:dyDescent="0.35">
      <c r="B18" t="s">
        <v>201</v>
      </c>
      <c r="C18" t="s">
        <v>139</v>
      </c>
      <c r="J18">
        <v>1.5</v>
      </c>
      <c r="L18">
        <v>2.31</v>
      </c>
      <c r="R18">
        <v>2.31</v>
      </c>
      <c r="U18">
        <v>10.5</v>
      </c>
      <c r="Y18">
        <v>9.24</v>
      </c>
      <c r="Z18">
        <v>9.24</v>
      </c>
      <c r="AE18">
        <v>5.6829999999999998</v>
      </c>
      <c r="AF18">
        <v>21.3</v>
      </c>
    </row>
    <row r="19" spans="1:36" x14ac:dyDescent="0.35">
      <c r="A19" s="1" t="s">
        <v>202</v>
      </c>
      <c r="B19" t="s">
        <v>76</v>
      </c>
      <c r="C19" t="s">
        <v>77</v>
      </c>
      <c r="F19">
        <v>4340</v>
      </c>
      <c r="G19">
        <v>49400</v>
      </c>
      <c r="K19">
        <v>38800</v>
      </c>
      <c r="L19">
        <v>10600</v>
      </c>
      <c r="P19">
        <v>2500</v>
      </c>
      <c r="Q19">
        <v>10000</v>
      </c>
      <c r="R19">
        <v>10600</v>
      </c>
      <c r="V19">
        <v>5000</v>
      </c>
    </row>
    <row r="20" spans="1:36" x14ac:dyDescent="0.35">
      <c r="B20" t="s">
        <v>203</v>
      </c>
      <c r="C20" t="s">
        <v>204</v>
      </c>
      <c r="E20">
        <v>12000</v>
      </c>
      <c r="J20">
        <v>15000</v>
      </c>
      <c r="M20">
        <v>30000</v>
      </c>
      <c r="U20">
        <v>48000</v>
      </c>
      <c r="W20">
        <v>30000</v>
      </c>
      <c r="X20">
        <v>30000</v>
      </c>
      <c r="AD20">
        <v>9000</v>
      </c>
      <c r="AF20">
        <v>150000</v>
      </c>
      <c r="AH20">
        <v>30000</v>
      </c>
      <c r="AI20">
        <v>30000</v>
      </c>
      <c r="AJ20">
        <v>30000</v>
      </c>
    </row>
    <row r="21" spans="1:36" x14ac:dyDescent="0.35">
      <c r="B21" t="s">
        <v>205</v>
      </c>
      <c r="C21" t="s">
        <v>39</v>
      </c>
      <c r="E21">
        <v>0.1</v>
      </c>
      <c r="H21">
        <v>0.05</v>
      </c>
      <c r="I21">
        <v>0.05</v>
      </c>
      <c r="K21">
        <v>0.1</v>
      </c>
      <c r="N21">
        <v>0.1</v>
      </c>
      <c r="O21">
        <v>0.1</v>
      </c>
      <c r="S21">
        <v>0.2</v>
      </c>
      <c r="T21">
        <v>0.25</v>
      </c>
      <c r="Y21">
        <v>0.2</v>
      </c>
      <c r="Z21">
        <v>0.3</v>
      </c>
      <c r="AA21">
        <v>0.13</v>
      </c>
      <c r="AB21">
        <v>0.13</v>
      </c>
      <c r="AC21">
        <v>0.13</v>
      </c>
      <c r="AD21">
        <v>0.03</v>
      </c>
      <c r="AE21">
        <v>4</v>
      </c>
      <c r="AF21">
        <v>6.25E-2</v>
      </c>
      <c r="AG21">
        <v>5.25</v>
      </c>
      <c r="AH21">
        <v>0.1</v>
      </c>
      <c r="AI21">
        <v>0.1</v>
      </c>
      <c r="AJ21">
        <v>0.1</v>
      </c>
    </row>
    <row r="22" spans="1:36" x14ac:dyDescent="0.35">
      <c r="B22" t="s">
        <v>82</v>
      </c>
      <c r="C22" t="s">
        <v>83</v>
      </c>
    </row>
    <row r="23" spans="1:36" x14ac:dyDescent="0.35">
      <c r="B23" t="s">
        <v>95</v>
      </c>
      <c r="C23" t="s">
        <v>134</v>
      </c>
      <c r="D23" s="24"/>
      <c r="E23" s="24">
        <v>100000</v>
      </c>
      <c r="V23" s="24">
        <v>200000</v>
      </c>
      <c r="X23" s="24">
        <v>100000</v>
      </c>
      <c r="AA23" s="24">
        <v>100000</v>
      </c>
      <c r="AB23" s="24">
        <v>100000</v>
      </c>
      <c r="AC23" s="24">
        <v>100000</v>
      </c>
      <c r="AD23" s="24">
        <v>100000</v>
      </c>
      <c r="AF23" s="24">
        <v>800000</v>
      </c>
      <c r="AG23" s="24">
        <v>400000</v>
      </c>
      <c r="AH23" s="24">
        <v>100000</v>
      </c>
      <c r="AI23" s="24">
        <v>100000</v>
      </c>
      <c r="AJ23" s="24">
        <v>100000</v>
      </c>
    </row>
    <row r="24" spans="1:36" x14ac:dyDescent="0.35">
      <c r="B24" t="s">
        <v>135</v>
      </c>
      <c r="C24" t="s">
        <v>113</v>
      </c>
      <c r="F24" s="24">
        <v>0.48</v>
      </c>
      <c r="I24">
        <v>0.17369999999999999</v>
      </c>
      <c r="M24">
        <v>0.12665000000000001</v>
      </c>
      <c r="R24">
        <v>0.10724</v>
      </c>
      <c r="AF24" s="24">
        <v>1.8433100000000001E-2</v>
      </c>
    </row>
    <row r="25" spans="1:36" x14ac:dyDescent="0.35">
      <c r="A25" s="1" t="s">
        <v>206</v>
      </c>
      <c r="B25" t="s">
        <v>207</v>
      </c>
      <c r="E25">
        <v>0.7</v>
      </c>
      <c r="AG25">
        <v>0.8</v>
      </c>
      <c r="AH25">
        <v>0.6</v>
      </c>
      <c r="AI25">
        <v>0.6</v>
      </c>
      <c r="AJ25">
        <v>0.6</v>
      </c>
    </row>
    <row r="26" spans="1:36" x14ac:dyDescent="0.35">
      <c r="B26" t="s">
        <v>208</v>
      </c>
      <c r="E26">
        <v>0.23300000000000001</v>
      </c>
      <c r="AH26">
        <v>0.2</v>
      </c>
      <c r="AI26">
        <v>0.2</v>
      </c>
      <c r="AJ26">
        <v>0.2</v>
      </c>
    </row>
    <row r="27" spans="1:36" x14ac:dyDescent="0.35">
      <c r="B27" t="s">
        <v>209</v>
      </c>
      <c r="E27">
        <v>1.4999999999999999E-2</v>
      </c>
      <c r="AG27">
        <v>0.2</v>
      </c>
    </row>
    <row r="28" spans="1:36" x14ac:dyDescent="0.35">
      <c r="B28" t="s">
        <v>210</v>
      </c>
      <c r="E28">
        <v>5.1999999999999998E-2</v>
      </c>
      <c r="AH28">
        <v>0.2</v>
      </c>
      <c r="AI28">
        <v>0.2</v>
      </c>
      <c r="AJ28">
        <v>0.2</v>
      </c>
    </row>
    <row r="29" spans="1:36" x14ac:dyDescent="0.35">
      <c r="B29" t="s">
        <v>211</v>
      </c>
    </row>
    <row r="31" spans="1:36" x14ac:dyDescent="0.35">
      <c r="A31" s="1" t="s">
        <v>114</v>
      </c>
      <c r="B31" t="s">
        <v>82</v>
      </c>
      <c r="C31" t="s">
        <v>212</v>
      </c>
      <c r="E31" t="s">
        <v>202</v>
      </c>
      <c r="F31" t="s">
        <v>76</v>
      </c>
      <c r="G31" t="s">
        <v>76</v>
      </c>
      <c r="H31" t="s">
        <v>202</v>
      </c>
      <c r="I31" t="s">
        <v>202</v>
      </c>
      <c r="J31" t="s">
        <v>203</v>
      </c>
      <c r="K31" t="s">
        <v>202</v>
      </c>
      <c r="L31" t="s">
        <v>76</v>
      </c>
      <c r="M31" t="s">
        <v>203</v>
      </c>
      <c r="N31" t="s">
        <v>202</v>
      </c>
      <c r="O31" t="s">
        <v>202</v>
      </c>
      <c r="P31" t="s">
        <v>76</v>
      </c>
      <c r="R31" t="s">
        <v>76</v>
      </c>
      <c r="S31" t="s">
        <v>202</v>
      </c>
      <c r="T31" t="s">
        <v>202</v>
      </c>
      <c r="U31" t="s">
        <v>203</v>
      </c>
      <c r="Y31" t="s">
        <v>202</v>
      </c>
      <c r="Z31" t="s">
        <v>202</v>
      </c>
      <c r="AA31" t="s">
        <v>202</v>
      </c>
      <c r="AB31" t="s">
        <v>202</v>
      </c>
      <c r="AC31" t="s">
        <v>202</v>
      </c>
      <c r="AD31" t="s">
        <v>202</v>
      </c>
      <c r="AE31" t="s">
        <v>202</v>
      </c>
      <c r="AF31" t="s">
        <v>202</v>
      </c>
      <c r="AG31" t="s">
        <v>202</v>
      </c>
      <c r="AH31" t="s">
        <v>202</v>
      </c>
      <c r="AI31" t="s">
        <v>202</v>
      </c>
      <c r="AJ31" t="s">
        <v>202</v>
      </c>
    </row>
    <row r="32" spans="1:36" x14ac:dyDescent="0.35">
      <c r="B32" t="s">
        <v>73</v>
      </c>
      <c r="C32" t="s">
        <v>213</v>
      </c>
      <c r="E32" t="s">
        <v>14</v>
      </c>
      <c r="F32" t="s">
        <v>207</v>
      </c>
      <c r="G32" t="s">
        <v>207</v>
      </c>
      <c r="H32" t="s">
        <v>46</v>
      </c>
      <c r="I32" t="s">
        <v>46</v>
      </c>
      <c r="J32" t="s">
        <v>42</v>
      </c>
      <c r="K32" t="s">
        <v>14</v>
      </c>
      <c r="L32" t="s">
        <v>14</v>
      </c>
      <c r="M32" t="s">
        <v>14</v>
      </c>
      <c r="N32" t="s">
        <v>14</v>
      </c>
      <c r="O32" t="s">
        <v>14</v>
      </c>
      <c r="P32" t="s">
        <v>46</v>
      </c>
      <c r="R32" t="s">
        <v>208</v>
      </c>
      <c r="S32" t="s">
        <v>14</v>
      </c>
      <c r="T32" t="s">
        <v>14</v>
      </c>
      <c r="U32" t="s">
        <v>207</v>
      </c>
      <c r="Y32" t="s">
        <v>42</v>
      </c>
      <c r="Z32" t="s">
        <v>42</v>
      </c>
      <c r="AA32" t="s">
        <v>46</v>
      </c>
      <c r="AB32" t="s">
        <v>46</v>
      </c>
      <c r="AC32" t="s">
        <v>46</v>
      </c>
      <c r="AD32" t="s">
        <v>14</v>
      </c>
      <c r="AE32" t="s">
        <v>42</v>
      </c>
      <c r="AF32" t="s">
        <v>14</v>
      </c>
      <c r="AH32" t="s">
        <v>46</v>
      </c>
      <c r="AI32" t="s">
        <v>46</v>
      </c>
      <c r="AJ32" t="s">
        <v>14</v>
      </c>
    </row>
    <row r="33" spans="1:36" x14ac:dyDescent="0.35">
      <c r="B33" t="s">
        <v>5</v>
      </c>
      <c r="C33" t="s">
        <v>214</v>
      </c>
      <c r="E33" t="s">
        <v>215</v>
      </c>
      <c r="F33" t="s">
        <v>215</v>
      </c>
      <c r="G33" t="s">
        <v>215</v>
      </c>
      <c r="H33" t="s">
        <v>215</v>
      </c>
      <c r="I33" t="s">
        <v>215</v>
      </c>
      <c r="J33" t="s">
        <v>215</v>
      </c>
      <c r="K33" t="s">
        <v>215</v>
      </c>
      <c r="L33" t="s">
        <v>216</v>
      </c>
      <c r="M33" t="s">
        <v>215</v>
      </c>
      <c r="N33" t="s">
        <v>215</v>
      </c>
      <c r="O33" t="s">
        <v>215</v>
      </c>
      <c r="P33" t="s">
        <v>215</v>
      </c>
      <c r="R33" t="s">
        <v>216</v>
      </c>
      <c r="S33" t="s">
        <v>216</v>
      </c>
      <c r="T33" t="s">
        <v>216</v>
      </c>
      <c r="U33" t="s">
        <v>202</v>
      </c>
      <c r="Y33" t="s">
        <v>216</v>
      </c>
      <c r="Z33" t="s">
        <v>216</v>
      </c>
      <c r="AA33" t="s">
        <v>215</v>
      </c>
      <c r="AB33" t="s">
        <v>215</v>
      </c>
      <c r="AC33" t="s">
        <v>215</v>
      </c>
      <c r="AD33" t="s">
        <v>215</v>
      </c>
      <c r="AE33" t="s">
        <v>216</v>
      </c>
      <c r="AF33" t="s">
        <v>215</v>
      </c>
      <c r="AG33" t="s">
        <v>216</v>
      </c>
      <c r="AH33" t="s">
        <v>215</v>
      </c>
      <c r="AI33" t="s">
        <v>215</v>
      </c>
      <c r="AJ33" t="s">
        <v>215</v>
      </c>
    </row>
    <row r="34" spans="1:36" x14ac:dyDescent="0.35">
      <c r="B34" t="s">
        <v>128</v>
      </c>
      <c r="C34" t="s">
        <v>217</v>
      </c>
      <c r="E34" t="s">
        <v>216</v>
      </c>
      <c r="F34" t="s">
        <v>216</v>
      </c>
      <c r="G34" t="s">
        <v>216</v>
      </c>
      <c r="H34" t="s">
        <v>218</v>
      </c>
      <c r="I34" t="s">
        <v>218</v>
      </c>
      <c r="J34" t="s">
        <v>218</v>
      </c>
      <c r="K34" t="s">
        <v>218</v>
      </c>
      <c r="L34" t="s">
        <v>216</v>
      </c>
      <c r="M34" t="s">
        <v>218</v>
      </c>
      <c r="N34" t="s">
        <v>218</v>
      </c>
      <c r="O34" t="s">
        <v>218</v>
      </c>
      <c r="P34" t="s">
        <v>218</v>
      </c>
      <c r="R34" t="s">
        <v>216</v>
      </c>
      <c r="S34" t="s">
        <v>216</v>
      </c>
      <c r="T34" t="s">
        <v>216</v>
      </c>
      <c r="U34" t="s">
        <v>218</v>
      </c>
      <c r="Y34" t="s">
        <v>216</v>
      </c>
      <c r="Z34" t="s">
        <v>216</v>
      </c>
      <c r="AA34" t="s">
        <v>218</v>
      </c>
      <c r="AB34" t="s">
        <v>218</v>
      </c>
      <c r="AC34" t="s">
        <v>218</v>
      </c>
      <c r="AD34" t="s">
        <v>218</v>
      </c>
      <c r="AE34" t="s">
        <v>216</v>
      </c>
      <c r="AF34" t="s">
        <v>218</v>
      </c>
      <c r="AH34" t="s">
        <v>218</v>
      </c>
      <c r="AI34" t="s">
        <v>218</v>
      </c>
      <c r="AJ34" t="s">
        <v>218</v>
      </c>
    </row>
    <row r="36" spans="1:36" ht="99.75" customHeight="1" x14ac:dyDescent="0.35">
      <c r="A36" s="1" t="s">
        <v>219</v>
      </c>
    </row>
    <row r="39" spans="1:36" x14ac:dyDescent="0.35">
      <c r="A39" s="1" t="s">
        <v>220</v>
      </c>
      <c r="B39" t="s">
        <v>17</v>
      </c>
      <c r="C39" t="s">
        <v>196</v>
      </c>
      <c r="D39">
        <v>8.91</v>
      </c>
    </row>
    <row r="40" spans="1:36" x14ac:dyDescent="0.35">
      <c r="B40" t="s">
        <v>25</v>
      </c>
      <c r="C40" t="s">
        <v>26</v>
      </c>
      <c r="D40">
        <v>58.69</v>
      </c>
    </row>
    <row r="41" spans="1:36" x14ac:dyDescent="0.35">
      <c r="B41" t="s">
        <v>221</v>
      </c>
      <c r="C41" t="s">
        <v>222</v>
      </c>
      <c r="D41" s="24">
        <v>2.6599999999999999E-5</v>
      </c>
    </row>
    <row r="42" spans="1:36" x14ac:dyDescent="0.35">
      <c r="D42" s="24"/>
    </row>
    <row r="43" spans="1:36" ht="87" x14ac:dyDescent="0.35">
      <c r="B43" s="81" t="s">
        <v>223</v>
      </c>
    </row>
    <row r="47" spans="1:36" x14ac:dyDescent="0.35">
      <c r="B47" s="1" t="s">
        <v>159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B459-53A3-41E5-A228-4F08C368D4BE}">
  <dimension ref="A1:V56"/>
  <sheetViews>
    <sheetView workbookViewId="0"/>
  </sheetViews>
  <sheetFormatPr baseColWidth="10" defaultColWidth="8.81640625" defaultRowHeight="14.5" x14ac:dyDescent="0.35"/>
  <cols>
    <col min="1" max="1" width="13.453125" customWidth="1"/>
    <col min="2" max="2" width="11.1796875" customWidth="1"/>
    <col min="3" max="5" width="10.453125" customWidth="1"/>
    <col min="6" max="6" width="11.81640625" customWidth="1"/>
    <col min="7" max="7" width="19.81640625" customWidth="1"/>
    <col min="8" max="8" width="16.6328125" customWidth="1"/>
    <col min="9" max="9" width="12.36328125" customWidth="1"/>
    <col min="10" max="10" width="10.453125" customWidth="1"/>
    <col min="11" max="11" width="16.6328125" customWidth="1"/>
    <col min="12" max="12" width="11.36328125" customWidth="1"/>
    <col min="13" max="13" width="12.453125" customWidth="1"/>
    <col min="14" max="14" width="17" customWidth="1"/>
    <col min="15" max="15" width="12.81640625" customWidth="1"/>
    <col min="16" max="16" width="10.453125" customWidth="1"/>
    <col min="17" max="17" width="14" customWidth="1"/>
    <col min="18" max="18" width="12" customWidth="1"/>
    <col min="19" max="19" width="10.1796875" customWidth="1"/>
    <col min="20" max="20" width="10.453125" customWidth="1"/>
    <col min="21" max="21" width="12.453125" customWidth="1"/>
    <col min="22" max="22" width="39.6328125" customWidth="1"/>
    <col min="23" max="1025" width="10.453125" customWidth="1"/>
  </cols>
  <sheetData>
    <row r="1" spans="1:21" x14ac:dyDescent="0.35">
      <c r="A1" s="1" t="s">
        <v>0</v>
      </c>
      <c r="D1" s="212" t="s">
        <v>1</v>
      </c>
      <c r="E1" s="212"/>
      <c r="F1" s="1" t="str">
        <f ca="1">INDIRECT("'" &amp; $B$40 &amp; "'!" &amp; B39 &amp; 1)</f>
        <v>Le SiO2</v>
      </c>
    </row>
    <row r="3" spans="1:21" x14ac:dyDescent="0.35">
      <c r="A3" s="2" t="s">
        <v>2</v>
      </c>
      <c r="G3" s="2" t="s">
        <v>3</v>
      </c>
      <c r="M3" s="2" t="s">
        <v>4</v>
      </c>
    </row>
    <row r="4" spans="1:21" x14ac:dyDescent="0.35">
      <c r="A4" s="3" t="s">
        <v>5</v>
      </c>
      <c r="B4" s="4" t="s">
        <v>6</v>
      </c>
      <c r="C4" s="5">
        <f ca="1">IF(INDIRECT("'" &amp; $B$40 &amp; "'!" &amp; B39 &amp; 33)="LIT",INDIRECT("'" &amp; $B$40 &amp; "'!" &amp; B39 &amp; 4),IF(INDIRECT("'" &amp; $B$40 &amp; "'!" &amp; B39 &amp; 34)="LIT",INDIRECT("'" &amp; $B$40 &amp; "'!" &amp; B39 &amp; 5)/((C5/2)^2*PI()),IF(INDIRECT("'" &amp; $B$40 &amp; "'!" &amp; B39 &amp; 34)="DENSITY",(INDIRECT("'" &amp; $B$40 &amp; "'!" &amp; B39 &amp; 7)/(INDIRECT("'" &amp; $B$40 &amp; "'!" &amp; B39 &amp; 8)*1000000*(1-C7)))/((C5/2)^2*PI()),"ERROR")))</f>
        <v>4.3248174114185562E-3</v>
      </c>
      <c r="D4" s="6" t="s">
        <v>7</v>
      </c>
      <c r="F4" s="2" t="s">
        <v>8</v>
      </c>
      <c r="G4" s="3" t="s">
        <v>9</v>
      </c>
      <c r="H4" s="4" t="s">
        <v>10</v>
      </c>
      <c r="I4" s="5">
        <f ca="1">SQRT(C7)*C6</f>
        <v>9.2806586511949682E-4</v>
      </c>
      <c r="J4" s="6" t="s">
        <v>7</v>
      </c>
      <c r="M4" s="3" t="s">
        <v>11</v>
      </c>
      <c r="N4" s="5">
        <f ca="1">INDIRECT("'" &amp; $B$40 &amp; "'!" &amp; B39 &amp; 16)</f>
        <v>1.0999999999999999E-8</v>
      </c>
      <c r="O4" s="6" t="s">
        <v>7</v>
      </c>
      <c r="Q4" s="7" t="s">
        <v>12</v>
      </c>
      <c r="R4" s="8">
        <f ca="1">3/(N4/2)</f>
        <v>545454545.4545455</v>
      </c>
      <c r="S4" s="9" t="s">
        <v>13</v>
      </c>
      <c r="T4" t="s">
        <v>14</v>
      </c>
    </row>
    <row r="5" spans="1:21" ht="16.5" x14ac:dyDescent="0.35">
      <c r="A5" s="10" t="s">
        <v>15</v>
      </c>
      <c r="B5" s="11" t="s">
        <v>16</v>
      </c>
      <c r="C5" s="12">
        <f ca="1">INDIRECT("'" &amp; $B$40 &amp; "'!" &amp; B39 &amp; 6)</f>
        <v>3.0000000000000001E-3</v>
      </c>
      <c r="D5" s="13" t="s">
        <v>7</v>
      </c>
      <c r="G5" s="10"/>
      <c r="H5" s="11"/>
      <c r="I5" s="12"/>
      <c r="J5" s="13"/>
      <c r="M5" s="10" t="s">
        <v>17</v>
      </c>
      <c r="N5" s="12">
        <f ca="1">INDIRECT("'" &amp; $B$40 &amp; "'!" &amp; B42 &amp; 39)*1000000</f>
        <v>8910000</v>
      </c>
      <c r="O5" s="13" t="s">
        <v>18</v>
      </c>
      <c r="Q5" s="14" t="s">
        <v>19</v>
      </c>
      <c r="R5" s="15">
        <f ca="1">INDIRECT("'" &amp; $B$40 &amp; "'!" &amp; B39 &amp; 10)/100*INDIRECT("'" &amp; $B$40 &amp; "'!" &amp; B39 &amp; 11)/N5</f>
        <v>5.611672278338945E-10</v>
      </c>
      <c r="S5" s="16" t="s">
        <v>20</v>
      </c>
    </row>
    <row r="6" spans="1:21" ht="16.5" x14ac:dyDescent="0.35">
      <c r="A6" s="10" t="s">
        <v>21</v>
      </c>
      <c r="B6" s="11" t="s">
        <v>22</v>
      </c>
      <c r="C6" s="12">
        <f ca="1">C5/2</f>
        <v>1.5E-3</v>
      </c>
      <c r="D6" s="13" t="s">
        <v>7</v>
      </c>
      <c r="G6" s="10" t="s">
        <v>23</v>
      </c>
      <c r="H6" s="11" t="s">
        <v>24</v>
      </c>
      <c r="I6" s="12">
        <f ca="1">PI()*C6^2*C4</f>
        <v>3.0570332867616961E-8</v>
      </c>
      <c r="J6" s="13" t="s">
        <v>20</v>
      </c>
      <c r="M6" s="10" t="s">
        <v>25</v>
      </c>
      <c r="N6" s="12">
        <f ca="1">INDIRECT("'" &amp; $B$40 &amp; "'!" &amp; B42 &amp; 40)</f>
        <v>58.69</v>
      </c>
      <c r="O6" s="13" t="s">
        <v>26</v>
      </c>
      <c r="Q6" s="14" t="s">
        <v>27</v>
      </c>
      <c r="R6" s="15">
        <f ca="1">R4*R5</f>
        <v>0.30609121518212429</v>
      </c>
      <c r="S6" s="16" t="s">
        <v>28</v>
      </c>
    </row>
    <row r="7" spans="1:21" ht="16.5" x14ac:dyDescent="0.35">
      <c r="A7" s="10" t="s">
        <v>29</v>
      </c>
      <c r="B7" s="11" t="s">
        <v>30</v>
      </c>
      <c r="C7" s="12">
        <f ca="1">B27/((C5/C13)^B29)+B28</f>
        <v>0.38280277777777777</v>
      </c>
      <c r="D7" s="13"/>
      <c r="G7" s="10" t="s">
        <v>31</v>
      </c>
      <c r="H7" s="11" t="s">
        <v>32</v>
      </c>
      <c r="I7" s="12">
        <f ca="1">(1-C7)*I6</f>
        <v>1.8867924528301887E-8</v>
      </c>
      <c r="J7" s="13" t="s">
        <v>20</v>
      </c>
      <c r="M7" s="10" t="s">
        <v>33</v>
      </c>
      <c r="N7" s="12">
        <f ca="1">INDIRECT("'" &amp; $B$40 &amp; "'!" &amp; B39 &amp; 17)</f>
        <v>0</v>
      </c>
      <c r="O7" s="13" t="s">
        <v>34</v>
      </c>
      <c r="Q7" s="14" t="s">
        <v>35</v>
      </c>
      <c r="R7" s="15">
        <f ca="1">R6/C12*C15/2</f>
        <v>8.1420263238445056E-5</v>
      </c>
      <c r="S7" s="16" t="s">
        <v>36</v>
      </c>
    </row>
    <row r="8" spans="1:21" ht="16.5" x14ac:dyDescent="0.35">
      <c r="A8" s="10" t="s">
        <v>37</v>
      </c>
      <c r="B8" s="11" t="s">
        <v>38</v>
      </c>
      <c r="C8" s="12">
        <f ca="1">IF(INDIRECT("'" &amp; $B$40 &amp; "'!" &amp; B39 &amp; 31)="FLOW",INDIRECT("'" &amp; $B$40 &amp; "'!" &amp; B39 &amp; 21),IF(INDIRECT("'" &amp; $B$40 &amp; "'!" &amp; B39 &amp; 31)="GHSV",R16*1000*60,IF(INDIRECT("'" &amp; $B$40 &amp; "'!" &amp; B39 &amp; 31)="WHSV",INDIRECT("'" &amp; $B$40 &amp; "'!" &amp; B39 &amp; 20)*INDIRECT("'" &amp; $B$40 &amp; "'!" &amp; B39 &amp; 10)/1000/60,IF(INDIRECT("'" &amp; $B$40 &amp; "'!" &amp; B39 &amp; 31)="LIT","NOT NEEDED","ERROR"))))</f>
        <v>0.1</v>
      </c>
      <c r="D8" s="13" t="s">
        <v>39</v>
      </c>
      <c r="G8" s="10" t="s">
        <v>40</v>
      </c>
      <c r="H8" s="11" t="s">
        <v>41</v>
      </c>
      <c r="I8" s="12">
        <f ca="1">C7*I6</f>
        <v>1.1702408339315071E-8</v>
      </c>
      <c r="J8" s="13" t="s">
        <v>20</v>
      </c>
      <c r="M8" s="10" t="s">
        <v>42</v>
      </c>
      <c r="N8" s="12">
        <f ca="1">INDIRECT("'" &amp; $B$40 &amp; "'!" &amp; B39 &amp; 18)</f>
        <v>0</v>
      </c>
      <c r="O8" s="13" t="s">
        <v>43</v>
      </c>
      <c r="Q8" s="17" t="s">
        <v>44</v>
      </c>
      <c r="R8" s="18">
        <f ca="1">C12/100*INDIRECT("'" &amp; $B$40 &amp; "'!" &amp; B39 &amp; 11)/N6</f>
        <v>8.5193388993014146E-5</v>
      </c>
      <c r="S8" s="19" t="s">
        <v>45</v>
      </c>
      <c r="T8" t="s">
        <v>46</v>
      </c>
    </row>
    <row r="9" spans="1:21" ht="16.5" x14ac:dyDescent="0.35">
      <c r="A9" s="20"/>
      <c r="B9" s="21"/>
      <c r="C9" s="22">
        <f ca="1">C8/1000/60</f>
        <v>1.6666666666666667E-6</v>
      </c>
      <c r="D9" s="23" t="s">
        <v>47</v>
      </c>
      <c r="G9" s="10"/>
      <c r="H9" s="11"/>
      <c r="I9" s="12"/>
      <c r="J9" s="13"/>
      <c r="M9" s="10" t="s">
        <v>48</v>
      </c>
      <c r="N9" s="12">
        <f ca="1">INDIRECT("'" &amp; $B$40 &amp; "'!" &amp; B39 &amp; 14)</f>
        <v>1.1999999999999999E-3</v>
      </c>
      <c r="O9" s="13" t="s">
        <v>36</v>
      </c>
      <c r="Q9" s="17" t="s">
        <v>49</v>
      </c>
      <c r="R9" s="18">
        <f ca="1">N7/100*R8</f>
        <v>0</v>
      </c>
      <c r="S9" s="19" t="s">
        <v>45</v>
      </c>
      <c r="U9" s="24"/>
    </row>
    <row r="10" spans="1:21" ht="16.5" x14ac:dyDescent="0.35">
      <c r="G10" s="10" t="s">
        <v>50</v>
      </c>
      <c r="H10" s="11" t="s">
        <v>51</v>
      </c>
      <c r="I10" s="12">
        <f ca="1">4/3*PI()*(C14)^3</f>
        <v>9.7439768643434896E-12</v>
      </c>
      <c r="J10" s="13" t="s">
        <v>20</v>
      </c>
      <c r="M10" s="25" t="s">
        <v>52</v>
      </c>
      <c r="N10" s="22">
        <f ca="1">INDIRECT("'" &amp; $B$40 &amp; "'!" &amp; B39 &amp; 15)</f>
        <v>0</v>
      </c>
      <c r="O10" s="23" t="s">
        <v>36</v>
      </c>
      <c r="Q10" s="26" t="s">
        <v>53</v>
      </c>
      <c r="R10" s="27">
        <f ca="1">R9/C12</f>
        <v>0</v>
      </c>
      <c r="S10" s="28" t="s">
        <v>36</v>
      </c>
      <c r="U10" s="24"/>
    </row>
    <row r="11" spans="1:21" x14ac:dyDescent="0.35">
      <c r="A11" s="2" t="s">
        <v>4</v>
      </c>
      <c r="G11" s="10" t="s">
        <v>54</v>
      </c>
      <c r="H11" s="11" t="s">
        <v>55</v>
      </c>
      <c r="I11" s="12">
        <f ca="1">I7/I10</f>
        <v>1936.3679523240671</v>
      </c>
      <c r="J11" s="13"/>
      <c r="Q11" s="29" t="s">
        <v>56</v>
      </c>
      <c r="R11" s="30">
        <f ca="1">N8*C15</f>
        <v>0</v>
      </c>
      <c r="S11" s="31" t="s">
        <v>36</v>
      </c>
      <c r="T11" t="s">
        <v>42</v>
      </c>
    </row>
    <row r="12" spans="1:21" x14ac:dyDescent="0.35">
      <c r="A12" s="3" t="s">
        <v>57</v>
      </c>
      <c r="B12" s="4" t="s">
        <v>7</v>
      </c>
      <c r="C12" s="5">
        <f ca="1">INDIRECT("'" &amp; $B$40 &amp; "'!" &amp; B39 &amp; 10)</f>
        <v>0.05</v>
      </c>
      <c r="D12" s="6" t="s">
        <v>58</v>
      </c>
      <c r="E12" s="32" t="s">
        <v>59</v>
      </c>
      <c r="G12" s="10"/>
      <c r="H12" s="11"/>
      <c r="I12" s="12"/>
      <c r="J12" s="13"/>
      <c r="Q12" s="33" t="s">
        <v>60</v>
      </c>
      <c r="R12" s="34" t="str">
        <f ca="1">IF(INDIRECT("'" &amp; $B$40 &amp; "'!" &amp; B39 &amp; 32)="H2",N9*2,IF(INDIRECT("'" &amp; $B$40 &amp; "'!" &amp; B39 &amp; 32)="CO",N10,"NO DATA"))</f>
        <v>NO DATA</v>
      </c>
      <c r="S12" s="35" t="s">
        <v>36</v>
      </c>
      <c r="T12" t="s">
        <v>61</v>
      </c>
    </row>
    <row r="13" spans="1:21" ht="16.5" x14ac:dyDescent="0.35">
      <c r="A13" s="10" t="s">
        <v>15</v>
      </c>
      <c r="B13" s="11" t="s">
        <v>62</v>
      </c>
      <c r="C13" s="12">
        <f ca="1">INDIRECT("'" &amp; $B$40 &amp; "'!" &amp; B39 &amp; 12)</f>
        <v>2.6499999999999999E-4</v>
      </c>
      <c r="D13" s="13" t="s">
        <v>7</v>
      </c>
      <c r="E13" s="32" t="s">
        <v>63</v>
      </c>
      <c r="G13" s="10" t="s">
        <v>64</v>
      </c>
      <c r="H13" s="11" t="s">
        <v>65</v>
      </c>
      <c r="I13" s="12">
        <f ca="1">4*PI()*C14^2</f>
        <v>2.206183440983432E-7</v>
      </c>
      <c r="J13" s="23" t="s">
        <v>28</v>
      </c>
    </row>
    <row r="14" spans="1:21" ht="16.5" x14ac:dyDescent="0.35">
      <c r="A14" s="10" t="s">
        <v>21</v>
      </c>
      <c r="B14" s="11" t="s">
        <v>66</v>
      </c>
      <c r="C14" s="12">
        <f ca="1">C13/2</f>
        <v>1.325E-4</v>
      </c>
      <c r="D14" s="13" t="s">
        <v>7</v>
      </c>
      <c r="G14" s="10" t="s">
        <v>67</v>
      </c>
      <c r="H14" s="11" t="s">
        <v>68</v>
      </c>
      <c r="I14" s="12">
        <f ca="1">I11*I13</f>
        <v>4.2719829120683528E-4</v>
      </c>
      <c r="J14" s="23" t="s">
        <v>28</v>
      </c>
    </row>
    <row r="15" spans="1:21" ht="16.5" x14ac:dyDescent="0.35">
      <c r="A15" s="10" t="s">
        <v>69</v>
      </c>
      <c r="B15" s="11" t="s">
        <v>70</v>
      </c>
      <c r="C15" s="12">
        <f ca="1">INDIRECT("'" &amp; $B$40 &amp; "'!" &amp; B42 &amp; 41)</f>
        <v>2.6599999999999999E-5</v>
      </c>
      <c r="D15" s="13" t="s">
        <v>71</v>
      </c>
      <c r="G15" s="10"/>
      <c r="H15" s="11"/>
      <c r="I15" s="12"/>
      <c r="J15" s="13"/>
      <c r="M15" s="207" t="s">
        <v>72</v>
      </c>
      <c r="N15" s="207"/>
    </row>
    <row r="16" spans="1:21" ht="16.5" x14ac:dyDescent="0.35">
      <c r="A16" s="10" t="s">
        <v>73</v>
      </c>
      <c r="B16" s="11"/>
      <c r="C16" s="12">
        <f ca="1">IF(INDIRECT("'" &amp; $B$40 &amp; "'!" &amp; B39 &amp; 32)="H2",R12,IF(INDIRECT("'" &amp; $B$40 &amp; "'!" &amp; B39 &amp; 32)="DISPERSION",R10,IF(INDIRECT("'" &amp; $B$40 &amp; "'!" &amp; B39 &amp; 32)="NP",R7,IF(INDIRECT("'" &amp; $B$40 &amp; "'!" &amp; B39 &amp; 32)="SSA",R11,IF(INDIRECT("'" &amp; $B$40 &amp; "'!" &amp; B39 &amp; 32)="CO",N10,"ERROR")))))</f>
        <v>8.1420263238445056E-5</v>
      </c>
      <c r="D16" s="13" t="s">
        <v>36</v>
      </c>
      <c r="G16" s="10" t="s">
        <v>74</v>
      </c>
      <c r="H16" s="11" t="s">
        <v>12</v>
      </c>
      <c r="I16" s="12">
        <f ca="1">I14/I6</f>
        <v>13974.27672955975</v>
      </c>
      <c r="J16" s="13" t="s">
        <v>75</v>
      </c>
      <c r="M16" s="36" t="s">
        <v>76</v>
      </c>
      <c r="N16" s="37">
        <f ca="1">INDIRECT("'" &amp; $B$40 &amp; "'!" &amp; B39 &amp; 19)</f>
        <v>0</v>
      </c>
      <c r="O16" s="38" t="s">
        <v>77</v>
      </c>
      <c r="Q16" s="3" t="s">
        <v>37</v>
      </c>
      <c r="R16" s="5">
        <f ca="1">N16*I6/3600</f>
        <v>0</v>
      </c>
      <c r="S16" s="23" t="s">
        <v>47</v>
      </c>
    </row>
    <row r="17" spans="1:19" ht="16.5" x14ac:dyDescent="0.35">
      <c r="A17" s="25" t="s">
        <v>78</v>
      </c>
      <c r="B17" s="39" t="s">
        <v>79</v>
      </c>
      <c r="C17" s="22">
        <f ca="1">C16*C12/C15</f>
        <v>0.15304560759106214</v>
      </c>
      <c r="D17" s="23" t="s">
        <v>28</v>
      </c>
      <c r="G17" s="10" t="s">
        <v>80</v>
      </c>
      <c r="H17" s="11" t="s">
        <v>81</v>
      </c>
      <c r="I17" s="40">
        <f ca="1">I14/I8</f>
        <v>36505.160204642008</v>
      </c>
      <c r="J17" s="13" t="s">
        <v>75</v>
      </c>
      <c r="Q17" s="25" t="s">
        <v>82</v>
      </c>
      <c r="R17" s="22">
        <f ca="1">R16/(I4^2*PI())</f>
        <v>0</v>
      </c>
      <c r="S17" s="23" t="s">
        <v>83</v>
      </c>
    </row>
    <row r="18" spans="1:19" x14ac:dyDescent="0.35">
      <c r="G18" s="10"/>
      <c r="H18" s="11"/>
      <c r="I18" s="12"/>
      <c r="J18" s="13"/>
    </row>
    <row r="19" spans="1:19" x14ac:dyDescent="0.35">
      <c r="A19" s="207" t="s">
        <v>84</v>
      </c>
      <c r="B19" s="207"/>
      <c r="G19" s="25"/>
      <c r="H19" s="39" t="s">
        <v>85</v>
      </c>
      <c r="I19" s="22">
        <f ca="1">C17/I14</f>
        <v>358.25425976941119</v>
      </c>
      <c r="J19" s="23"/>
    </row>
    <row r="20" spans="1:19" x14ac:dyDescent="0.35">
      <c r="A20" s="3" t="s">
        <v>5</v>
      </c>
      <c r="B20" s="4" t="s">
        <v>6</v>
      </c>
      <c r="C20" s="5">
        <f ca="1">C4</f>
        <v>4.3248174114185562E-3</v>
      </c>
      <c r="D20" s="6" t="s">
        <v>7</v>
      </c>
    </row>
    <row r="21" spans="1:19" x14ac:dyDescent="0.35">
      <c r="A21" s="10" t="s">
        <v>15</v>
      </c>
      <c r="B21" s="11" t="s">
        <v>16</v>
      </c>
      <c r="C21" s="12">
        <f ca="1">C13</f>
        <v>2.6499999999999999E-4</v>
      </c>
      <c r="D21" s="13" t="s">
        <v>7</v>
      </c>
      <c r="F21" s="2" t="s">
        <v>86</v>
      </c>
      <c r="G21" s="3" t="s">
        <v>87</v>
      </c>
      <c r="H21" s="4" t="s">
        <v>88</v>
      </c>
      <c r="I21" s="5">
        <f ca="1">PI()*C22^2</f>
        <v>5.51545860245858E-8</v>
      </c>
      <c r="J21" s="6" t="s">
        <v>89</v>
      </c>
    </row>
    <row r="22" spans="1:19" x14ac:dyDescent="0.35">
      <c r="A22" s="10" t="s">
        <v>21</v>
      </c>
      <c r="B22" s="11" t="s">
        <v>22</v>
      </c>
      <c r="C22" s="12">
        <f ca="1">C21/2</f>
        <v>1.325E-4</v>
      </c>
      <c r="D22" s="13" t="s">
        <v>7</v>
      </c>
      <c r="G22" s="10" t="s">
        <v>90</v>
      </c>
      <c r="H22" s="11" t="s">
        <v>91</v>
      </c>
      <c r="I22" s="12">
        <f ca="1">(PI()*I4^2)</f>
        <v>2.7058733874909737E-6</v>
      </c>
      <c r="J22" s="13" t="s">
        <v>89</v>
      </c>
    </row>
    <row r="23" spans="1:19" x14ac:dyDescent="0.35">
      <c r="A23" s="10" t="s">
        <v>82</v>
      </c>
      <c r="B23" s="11" t="s">
        <v>92</v>
      </c>
      <c r="C23" s="12">
        <f ca="1">IF(INDIRECT("'" &amp; $B$40 &amp; "'!" &amp; B39 &amp; 31)="FLOW",I29,IF(INDIRECT("'" &amp; $B$40 &amp; "'!" &amp; B39 &amp; 31)="GHSV",R17,IF(INDIRECT("'" &amp; $B$40 &amp; "'!" &amp; B39 &amp; 31)="WHSV",I29*C12,"NO DATA")))</f>
        <v>0.61594406980442151</v>
      </c>
      <c r="D23" s="13" t="s">
        <v>83</v>
      </c>
      <c r="G23" s="10" t="s">
        <v>93</v>
      </c>
      <c r="H23" s="11" t="s">
        <v>94</v>
      </c>
      <c r="I23" s="12">
        <f ca="1">I21/I22</f>
        <v>2.0383284110616868E-2</v>
      </c>
      <c r="J23" s="13"/>
    </row>
    <row r="24" spans="1:19" x14ac:dyDescent="0.35">
      <c r="A24" s="25" t="s">
        <v>95</v>
      </c>
      <c r="B24" s="39" t="s">
        <v>96</v>
      </c>
      <c r="C24" s="22">
        <f ca="1">INDIRECT("'" &amp; $B$40 &amp; "'!" &amp; B39 &amp; 23)</f>
        <v>0</v>
      </c>
      <c r="D24" s="23" t="s">
        <v>97</v>
      </c>
      <c r="G24" s="10" t="s">
        <v>98</v>
      </c>
      <c r="H24" s="11" t="s">
        <v>99</v>
      </c>
      <c r="I24" s="12">
        <f ca="1">1/I23</f>
        <v>49.059807760768955</v>
      </c>
      <c r="J24" s="13"/>
    </row>
    <row r="25" spans="1:19" x14ac:dyDescent="0.35">
      <c r="G25" s="10" t="s">
        <v>100</v>
      </c>
      <c r="H25" s="11" t="s">
        <v>101</v>
      </c>
      <c r="I25" s="12">
        <f ca="1">C17/I24</f>
        <v>3.1195721014106014E-3</v>
      </c>
      <c r="J25" s="13" t="s">
        <v>89</v>
      </c>
    </row>
    <row r="26" spans="1:19" x14ac:dyDescent="0.35">
      <c r="A26" s="207" t="s">
        <v>102</v>
      </c>
      <c r="B26" s="207"/>
      <c r="G26" s="10" t="s">
        <v>103</v>
      </c>
      <c r="H26" s="11" t="s">
        <v>104</v>
      </c>
      <c r="I26" s="12">
        <f ca="1">2*PI()*C22*C20</f>
        <v>3.6005058710748869E-6</v>
      </c>
      <c r="J26" s="13" t="s">
        <v>89</v>
      </c>
    </row>
    <row r="27" spans="1:19" x14ac:dyDescent="0.35">
      <c r="A27" s="3" t="s">
        <v>105</v>
      </c>
      <c r="B27" s="41">
        <v>1</v>
      </c>
      <c r="G27" s="10"/>
      <c r="H27" s="11"/>
      <c r="I27" s="12"/>
      <c r="J27" s="13"/>
    </row>
    <row r="28" spans="1:19" x14ac:dyDescent="0.35">
      <c r="A28" s="10" t="s">
        <v>106</v>
      </c>
      <c r="B28" s="42">
        <v>0.375</v>
      </c>
      <c r="G28" s="10"/>
      <c r="H28" s="11" t="s">
        <v>107</v>
      </c>
      <c r="I28" s="12">
        <f ca="1">I25/I26</f>
        <v>866.42605598065347</v>
      </c>
      <c r="J28" s="13"/>
    </row>
    <row r="29" spans="1:19" x14ac:dyDescent="0.35">
      <c r="A29" s="25" t="s">
        <v>108</v>
      </c>
      <c r="B29" s="43">
        <v>2</v>
      </c>
      <c r="G29" s="25" t="s">
        <v>109</v>
      </c>
      <c r="H29" s="39" t="s">
        <v>92</v>
      </c>
      <c r="I29" s="22">
        <f ca="1">IF(OR(INDIRECT("'" &amp; $B$40 &amp; "'!" &amp; B39 &amp; 31)="FLOW",INDIRECT("'" &amp; $B$40 &amp; "'!" &amp; B39 &amp; 31)="GHSV",INDIRECT("'" &amp; $B$40 &amp; "'!" &amp; B39 &amp; 31)="WHSV",),C9/(PI()*(I4^2)),IF(INDIRECT("'" &amp; $B$40 &amp; "'!" &amp; B39 &amp; 31)="LIT",INDIRECT("'" &amp; $B$40 &amp; "'!" &amp; B39 &amp; 22),"ERROR"))</f>
        <v>0.61594406980442151</v>
      </c>
      <c r="J29" s="23" t="s">
        <v>83</v>
      </c>
    </row>
    <row r="31" spans="1:19" x14ac:dyDescent="0.35">
      <c r="F31" s="2" t="s">
        <v>110</v>
      </c>
      <c r="G31" s="3" t="s">
        <v>111</v>
      </c>
      <c r="H31" s="4" t="s">
        <v>112</v>
      </c>
      <c r="I31" s="5">
        <f ca="1">INDIRECT("'" &amp; $B$40 &amp; "'!" &amp; B39 &amp; 24)</f>
        <v>0</v>
      </c>
      <c r="J31" s="6" t="s">
        <v>113</v>
      </c>
    </row>
    <row r="32" spans="1:19" ht="15" thickBot="1" x14ac:dyDescent="0.4">
      <c r="A32" s="44" t="s">
        <v>114</v>
      </c>
      <c r="G32" s="10" t="s">
        <v>115</v>
      </c>
      <c r="H32" s="11" t="s">
        <v>116</v>
      </c>
      <c r="I32" s="12">
        <f ca="1">C17</f>
        <v>0.15304560759106214</v>
      </c>
      <c r="J32" s="13" t="s">
        <v>89</v>
      </c>
    </row>
    <row r="33" spans="1:22" ht="14" customHeight="1" x14ac:dyDescent="0.35">
      <c r="A33" s="45" t="s">
        <v>117</v>
      </c>
      <c r="B33" s="46" t="str">
        <f ca="1">INDIRECT("'" &amp; $B$40 &amp; "'!" &amp; $B$39 &amp; 31)</f>
        <v>FLOW</v>
      </c>
      <c r="C33" s="47"/>
      <c r="D33" s="47"/>
      <c r="G33" s="10" t="s">
        <v>118</v>
      </c>
      <c r="H33" s="11" t="s">
        <v>24</v>
      </c>
      <c r="I33" s="12">
        <f ca="1">I8</f>
        <v>1.1702408339315071E-8</v>
      </c>
      <c r="J33" s="13" t="s">
        <v>119</v>
      </c>
      <c r="L33" s="208" t="s">
        <v>120</v>
      </c>
      <c r="M33" s="208"/>
      <c r="N33" s="208"/>
      <c r="O33" s="208"/>
      <c r="P33" s="208"/>
      <c r="Q33" s="208"/>
      <c r="R33" s="208"/>
      <c r="S33" s="208"/>
      <c r="T33" s="208"/>
      <c r="U33" s="48" t="s">
        <v>121</v>
      </c>
      <c r="V33" s="209" t="s">
        <v>122</v>
      </c>
    </row>
    <row r="34" spans="1:22" x14ac:dyDescent="0.35">
      <c r="A34" s="10" t="s">
        <v>123</v>
      </c>
      <c r="B34" s="49" t="str">
        <f ca="1">INDIRECT("'" &amp; $B$40 &amp; "'!" &amp; $B$39 &amp; 32)</f>
        <v>NP</v>
      </c>
      <c r="C34" s="47"/>
      <c r="D34" s="47"/>
      <c r="G34" s="25" t="s">
        <v>124</v>
      </c>
      <c r="H34" s="39" t="s">
        <v>125</v>
      </c>
      <c r="I34" s="22">
        <f ca="1">I29/298*INDIRECT("'" &amp; $B$40 &amp; "'!" &amp; B39 &amp; 9)</f>
        <v>0</v>
      </c>
      <c r="J34" s="23" t="s">
        <v>83</v>
      </c>
      <c r="L34" s="210" t="s">
        <v>86</v>
      </c>
      <c r="M34" s="210"/>
      <c r="N34" s="210"/>
      <c r="O34" s="210" t="s">
        <v>126</v>
      </c>
      <c r="P34" s="210"/>
      <c r="Q34" s="210"/>
      <c r="R34" s="211" t="s">
        <v>110</v>
      </c>
      <c r="S34" s="211"/>
      <c r="T34" s="211"/>
      <c r="U34" s="48">
        <v>1000</v>
      </c>
      <c r="V34" s="209"/>
    </row>
    <row r="35" spans="1:22" x14ac:dyDescent="0.35">
      <c r="A35" s="10" t="s">
        <v>127</v>
      </c>
      <c r="B35" s="49" t="str">
        <f ca="1">INDIRECT("'" &amp; $B$40 &amp; "'!" &amp; $B$39 &amp; 33)</f>
        <v>VOLUME</v>
      </c>
      <c r="C35" s="47"/>
      <c r="D35" s="47"/>
      <c r="I35" s="1"/>
      <c r="L35" s="50" t="s">
        <v>5</v>
      </c>
      <c r="M35" s="51">
        <f ca="1">C4</f>
        <v>4.3248174114185562E-3</v>
      </c>
      <c r="N35" s="52" t="s">
        <v>7</v>
      </c>
      <c r="O35" s="50" t="s">
        <v>5</v>
      </c>
      <c r="P35" s="51">
        <f ca="1">C4</f>
        <v>4.3248174114185562E-3</v>
      </c>
      <c r="Q35" s="52" t="s">
        <v>7</v>
      </c>
      <c r="R35" s="53" t="s">
        <v>128</v>
      </c>
      <c r="S35" s="51">
        <f ca="1">I31*I34*PI()*I4^2*U34</f>
        <v>0</v>
      </c>
      <c r="T35" s="54" t="s">
        <v>119</v>
      </c>
    </row>
    <row r="36" spans="1:22" ht="15" thickBot="1" x14ac:dyDescent="0.4">
      <c r="A36" s="55" t="s">
        <v>129</v>
      </c>
      <c r="B36" s="56" t="str">
        <f ca="1">INDIRECT("'" &amp; $B$40 &amp; "'!" &amp; $B$39 &amp; 34)</f>
        <v>DENSITY</v>
      </c>
      <c r="C36" s="47"/>
      <c r="D36" s="47"/>
      <c r="L36" s="50" t="s">
        <v>21</v>
      </c>
      <c r="M36" s="51">
        <f ca="1">C14</f>
        <v>1.325E-4</v>
      </c>
      <c r="N36" s="52" t="s">
        <v>7</v>
      </c>
      <c r="O36" s="50" t="s">
        <v>15</v>
      </c>
      <c r="P36" s="51">
        <f ca="1">C5</f>
        <v>3.0000000000000001E-3</v>
      </c>
      <c r="Q36" s="52" t="s">
        <v>7</v>
      </c>
      <c r="R36" s="53" t="s">
        <v>130</v>
      </c>
      <c r="S36" s="51">
        <f ca="1">I32</f>
        <v>0.15304560759106214</v>
      </c>
      <c r="T36" s="54" t="s">
        <v>89</v>
      </c>
    </row>
    <row r="37" spans="1:22" x14ac:dyDescent="0.35">
      <c r="F37" s="2" t="s">
        <v>131</v>
      </c>
      <c r="G37" s="3" t="s">
        <v>132</v>
      </c>
      <c r="H37" s="4" t="s">
        <v>133</v>
      </c>
      <c r="I37" s="57">
        <f ca="1">INDIRECT("'" &amp; $B$40 &amp; "'!" &amp; B39 &amp; 10)/100*INDIRECT("'" &amp; $B$40 &amp; "'!" &amp; B39 &amp; 11)</f>
        <v>5.0000000000000001E-3</v>
      </c>
      <c r="J37" s="6" t="s">
        <v>58</v>
      </c>
      <c r="L37" s="50" t="s">
        <v>95</v>
      </c>
      <c r="M37" s="58">
        <f ca="1">C24</f>
        <v>0</v>
      </c>
      <c r="N37" s="52" t="s">
        <v>134</v>
      </c>
      <c r="O37" s="50" t="s">
        <v>95</v>
      </c>
      <c r="P37" s="51">
        <f ca="1">C24</f>
        <v>0</v>
      </c>
      <c r="Q37" s="52" t="s">
        <v>134</v>
      </c>
      <c r="R37" s="53" t="s">
        <v>135</v>
      </c>
      <c r="S37" s="51">
        <f ca="1">I31*U34</f>
        <v>0</v>
      </c>
      <c r="T37" s="54" t="s">
        <v>113</v>
      </c>
    </row>
    <row r="38" spans="1:22" ht="15" thickBot="1" x14ac:dyDescent="0.4">
      <c r="A38" s="44" t="s">
        <v>136</v>
      </c>
      <c r="G38" s="10" t="s">
        <v>137</v>
      </c>
      <c r="H38" s="11" t="s">
        <v>138</v>
      </c>
      <c r="I38" s="12">
        <f ca="1">I26/(I37/I24)</f>
        <v>3.5328025175290788E-2</v>
      </c>
      <c r="J38" s="13" t="s">
        <v>139</v>
      </c>
      <c r="L38" s="50" t="s">
        <v>140</v>
      </c>
      <c r="M38" s="59">
        <f ca="1">I29</f>
        <v>0.61594406980442151</v>
      </c>
      <c r="N38" s="52" t="s">
        <v>83</v>
      </c>
      <c r="O38" s="50" t="s">
        <v>140</v>
      </c>
      <c r="P38" s="59">
        <f ca="1">I29</f>
        <v>0.61594406980442151</v>
      </c>
      <c r="Q38" s="52" t="s">
        <v>83</v>
      </c>
      <c r="R38" s="53" t="s">
        <v>141</v>
      </c>
      <c r="S38" s="60">
        <v>1</v>
      </c>
      <c r="T38" s="54"/>
    </row>
    <row r="39" spans="1:22" x14ac:dyDescent="0.35">
      <c r="A39" s="61" t="s">
        <v>142</v>
      </c>
      <c r="B39" s="62" t="s">
        <v>225</v>
      </c>
      <c r="G39" s="10" t="s">
        <v>143</v>
      </c>
      <c r="H39" s="11" t="s">
        <v>144</v>
      </c>
      <c r="I39" s="12">
        <f ca="1">I37/I24/(PI()*M36^2*M35)</f>
        <v>427262.47922849737</v>
      </c>
      <c r="J39" s="13" t="s">
        <v>145</v>
      </c>
      <c r="L39" s="50" t="s">
        <v>141</v>
      </c>
      <c r="M39" s="63">
        <f ca="1">I28</f>
        <v>866.42605598065347</v>
      </c>
      <c r="N39" s="64"/>
      <c r="O39" s="50" t="s">
        <v>146</v>
      </c>
      <c r="P39" s="51">
        <f ca="1">C7</f>
        <v>0.38280277777777777</v>
      </c>
      <c r="Q39" s="64"/>
      <c r="R39" s="53" t="s">
        <v>147</v>
      </c>
      <c r="S39" s="65">
        <f ca="1">INDIRECT("'" &amp; $B$40 &amp; "'!" &amp; B39 &amp; 9)</f>
        <v>0</v>
      </c>
      <c r="T39" s="54"/>
    </row>
    <row r="40" spans="1:22" x14ac:dyDescent="0.35">
      <c r="A40" s="66" t="s">
        <v>148</v>
      </c>
      <c r="B40" s="67" t="s">
        <v>242</v>
      </c>
      <c r="G40" s="25" t="s">
        <v>149</v>
      </c>
      <c r="H40" s="39" t="s">
        <v>150</v>
      </c>
      <c r="I40" s="22">
        <f ca="1">2/M36</f>
        <v>15094.33962264151</v>
      </c>
      <c r="J40" s="23" t="s">
        <v>13</v>
      </c>
      <c r="L40" s="50"/>
      <c r="M40" s="53"/>
      <c r="N40" s="52"/>
      <c r="O40" s="50" t="s">
        <v>151</v>
      </c>
      <c r="P40" s="51">
        <f ca="1">C13</f>
        <v>2.6499999999999999E-4</v>
      </c>
      <c r="Q40" s="52" t="s">
        <v>7</v>
      </c>
      <c r="R40" s="53"/>
      <c r="S40" s="58"/>
      <c r="T40" s="54"/>
    </row>
    <row r="41" spans="1:22" x14ac:dyDescent="0.35">
      <c r="A41" s="68" t="s">
        <v>152</v>
      </c>
      <c r="B41" s="69" t="str">
        <f ca="1">INDIRECT("'" &amp; $B$40 &amp; "'!" &amp; B39 &amp; 1)</f>
        <v>Le SiO2</v>
      </c>
      <c r="L41" s="50"/>
      <c r="M41" s="53"/>
      <c r="N41" s="52"/>
      <c r="O41" s="50" t="s">
        <v>153</v>
      </c>
      <c r="P41" s="51">
        <f ca="1">I17</f>
        <v>36505.160204642008</v>
      </c>
      <c r="Q41" s="52" t="s">
        <v>13</v>
      </c>
      <c r="R41" s="53"/>
      <c r="S41" s="58"/>
      <c r="T41" s="54"/>
    </row>
    <row r="42" spans="1:22" x14ac:dyDescent="0.35">
      <c r="A42" s="66" t="s">
        <v>154</v>
      </c>
      <c r="B42" s="67" t="s">
        <v>16</v>
      </c>
      <c r="C42" s="70"/>
      <c r="L42" s="71"/>
      <c r="M42" s="72"/>
      <c r="N42" s="73"/>
      <c r="O42" s="74" t="s">
        <v>141</v>
      </c>
      <c r="P42" s="75">
        <f ca="1">I19</f>
        <v>358.25425976941119</v>
      </c>
      <c r="Q42" s="73"/>
      <c r="R42" s="72"/>
      <c r="S42" s="75"/>
      <c r="T42" s="76"/>
    </row>
    <row r="43" spans="1:22" ht="15" thickBot="1" x14ac:dyDescent="0.4">
      <c r="A43" s="77" t="s">
        <v>155</v>
      </c>
      <c r="B43" s="78" t="str">
        <f ca="1">INDIRECT("'" &amp; $B$40 &amp; "'!" &amp; B42 &amp; 2)</f>
        <v>Ni</v>
      </c>
    </row>
    <row r="44" spans="1:22" x14ac:dyDescent="0.35">
      <c r="B44" s="70"/>
    </row>
    <row r="45" spans="1:22" x14ac:dyDescent="0.35">
      <c r="A45" t="s">
        <v>156</v>
      </c>
      <c r="H45" t="s">
        <v>5</v>
      </c>
      <c r="I45" s="79">
        <f ca="1">C4*1000</f>
        <v>4.3248174114185565</v>
      </c>
    </row>
    <row r="46" spans="1:22" x14ac:dyDescent="0.35">
      <c r="A46" t="s">
        <v>157</v>
      </c>
      <c r="H46" t="s">
        <v>42</v>
      </c>
      <c r="I46" s="79">
        <f ca="1">IF(B34="SSA",N8,IF(OR(B34="CO",B34="H2"),R12/C15,IF(B34="DISPERSION",R10/C15,R7/C15)))</f>
        <v>3.0609121518212428</v>
      </c>
      <c r="P46" s="80"/>
    </row>
    <row r="47" spans="1:22" x14ac:dyDescent="0.35">
      <c r="A47" t="s">
        <v>158</v>
      </c>
      <c r="H47" t="s">
        <v>82</v>
      </c>
      <c r="I47" s="79">
        <f ca="1">I29</f>
        <v>0.61594406980442151</v>
      </c>
    </row>
    <row r="56" spans="2:2" x14ac:dyDescent="0.35">
      <c r="B56" s="1" t="s">
        <v>159</v>
      </c>
    </row>
  </sheetData>
  <mergeCells count="9">
    <mergeCell ref="D1:E1"/>
    <mergeCell ref="M15:N15"/>
    <mergeCell ref="A19:B19"/>
    <mergeCell ref="A26:B26"/>
    <mergeCell ref="L33:T33"/>
    <mergeCell ref="V33:V34"/>
    <mergeCell ref="L34:N34"/>
    <mergeCell ref="O34:Q34"/>
    <mergeCell ref="R34:T34"/>
  </mergeCells>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CDEC-F390-49E3-8B75-00BC05516ED8}">
  <dimension ref="A1:P81"/>
  <sheetViews>
    <sheetView tabSelected="1" zoomScaleNormal="100" workbookViewId="0">
      <selection activeCell="D7" sqref="D7:I7"/>
    </sheetView>
  </sheetViews>
  <sheetFormatPr baseColWidth="10" defaultColWidth="8.81640625" defaultRowHeight="14.5" x14ac:dyDescent="0.35"/>
  <cols>
    <col min="1" max="1" width="3.1796875" customWidth="1"/>
    <col min="2" max="2" width="12.36328125" customWidth="1"/>
    <col min="3" max="3" width="30.36328125" customWidth="1"/>
    <col min="4" max="4" width="4.453125" customWidth="1"/>
    <col min="5" max="5" width="12.1796875" style="83" customWidth="1"/>
    <col min="6" max="6" width="1.1796875" customWidth="1"/>
    <col min="7" max="7" width="10.36328125" style="98" customWidth="1"/>
    <col min="8" max="8" width="0.81640625" customWidth="1"/>
    <col min="9" max="9" width="45" customWidth="1"/>
    <col min="10" max="10" width="50.1796875" customWidth="1"/>
    <col min="19" max="19" width="10.36328125" customWidth="1"/>
  </cols>
  <sheetData>
    <row r="1" spans="1:16" s="131" customFormat="1" ht="15" thickBot="1" x14ac:dyDescent="0.4">
      <c r="A1" s="84"/>
      <c r="B1" s="84"/>
      <c r="C1" s="84"/>
      <c r="D1" s="84"/>
      <c r="E1" s="151"/>
      <c r="F1" s="84"/>
      <c r="G1" s="94"/>
      <c r="H1" s="84"/>
      <c r="I1" s="84"/>
      <c r="J1" s="84"/>
      <c r="K1" s="84"/>
      <c r="L1" s="84"/>
      <c r="M1" s="84"/>
      <c r="N1" s="84"/>
      <c r="O1" s="84"/>
      <c r="P1" s="84"/>
    </row>
    <row r="2" spans="1:16" s="131" customFormat="1" x14ac:dyDescent="0.35">
      <c r="A2" s="84"/>
      <c r="B2" s="85" t="s">
        <v>220</v>
      </c>
      <c r="C2" s="132" t="s">
        <v>449</v>
      </c>
      <c r="D2" s="177" t="s">
        <v>543</v>
      </c>
      <c r="E2" s="178"/>
      <c r="F2" s="178"/>
      <c r="G2" s="178"/>
      <c r="H2" s="178"/>
      <c r="I2" s="179"/>
      <c r="J2" s="84"/>
      <c r="K2" s="84"/>
      <c r="L2" s="84"/>
      <c r="M2" s="84"/>
      <c r="N2" s="84"/>
      <c r="O2" s="84"/>
      <c r="P2" s="84"/>
    </row>
    <row r="3" spans="1:16" s="131" customFormat="1" x14ac:dyDescent="0.35">
      <c r="A3" s="84"/>
      <c r="B3" s="84"/>
      <c r="C3" s="133" t="s">
        <v>450</v>
      </c>
      <c r="D3" s="180"/>
      <c r="E3" s="181"/>
      <c r="F3" s="181"/>
      <c r="G3" s="181"/>
      <c r="H3" s="181"/>
      <c r="I3" s="182"/>
      <c r="J3" s="84"/>
      <c r="K3" s="84"/>
      <c r="L3" s="84"/>
      <c r="M3" s="84"/>
      <c r="N3" s="84"/>
      <c r="O3" s="84"/>
      <c r="P3" s="84"/>
    </row>
    <row r="4" spans="1:16" s="131" customFormat="1" x14ac:dyDescent="0.35">
      <c r="A4" s="84"/>
      <c r="B4" s="84"/>
      <c r="C4" s="133" t="s">
        <v>517</v>
      </c>
      <c r="D4" s="180"/>
      <c r="E4" s="181"/>
      <c r="F4" s="181"/>
      <c r="G4" s="181"/>
      <c r="H4" s="181"/>
      <c r="I4" s="182"/>
      <c r="J4" s="84"/>
      <c r="K4" s="84"/>
      <c r="L4" s="84"/>
      <c r="M4" s="84"/>
      <c r="N4" s="84"/>
      <c r="O4" s="84"/>
      <c r="P4" s="84"/>
    </row>
    <row r="5" spans="1:16" s="131" customFormat="1" x14ac:dyDescent="0.35">
      <c r="A5" s="84"/>
      <c r="B5" s="84"/>
      <c r="C5" s="133" t="s">
        <v>492</v>
      </c>
      <c r="D5" s="183"/>
      <c r="E5" s="181"/>
      <c r="F5" s="181"/>
      <c r="G5" s="181"/>
      <c r="H5" s="181"/>
      <c r="I5" s="182"/>
      <c r="J5" s="84"/>
      <c r="K5" s="84"/>
      <c r="L5" s="84"/>
      <c r="M5" s="84"/>
      <c r="N5" s="84"/>
      <c r="O5" s="84"/>
      <c r="P5" s="84"/>
    </row>
    <row r="6" spans="1:16" s="131" customFormat="1" x14ac:dyDescent="0.35">
      <c r="A6" s="84"/>
      <c r="B6" s="84"/>
      <c r="C6" s="133" t="s">
        <v>491</v>
      </c>
      <c r="D6" s="181" t="s">
        <v>544</v>
      </c>
      <c r="E6" s="181"/>
      <c r="F6" s="181"/>
      <c r="G6" s="181"/>
      <c r="H6" s="181"/>
      <c r="I6" s="182"/>
      <c r="J6" s="84"/>
      <c r="K6" s="84"/>
      <c r="L6" s="84"/>
      <c r="M6" s="84"/>
      <c r="N6" s="84"/>
      <c r="O6" s="84"/>
      <c r="P6" s="84"/>
    </row>
    <row r="7" spans="1:16" s="155" customFormat="1" x14ac:dyDescent="0.35">
      <c r="A7" s="84"/>
      <c r="B7" s="84"/>
      <c r="C7" s="133" t="s">
        <v>333</v>
      </c>
      <c r="D7" s="180" t="s">
        <v>545</v>
      </c>
      <c r="E7" s="181"/>
      <c r="F7" s="181"/>
      <c r="G7" s="181"/>
      <c r="H7" s="181"/>
      <c r="I7" s="182"/>
      <c r="J7" s="84"/>
      <c r="K7" s="84"/>
      <c r="L7" s="84"/>
      <c r="M7" s="84"/>
      <c r="N7" s="84"/>
      <c r="O7" s="84"/>
      <c r="P7" s="84"/>
    </row>
    <row r="8" spans="1:16" s="155" customFormat="1" x14ac:dyDescent="0.35">
      <c r="A8" s="84"/>
      <c r="B8" s="84"/>
      <c r="C8" s="133" t="s">
        <v>451</v>
      </c>
      <c r="D8" s="180" t="s">
        <v>452</v>
      </c>
      <c r="E8" s="181"/>
      <c r="F8" s="181"/>
      <c r="G8" s="181"/>
      <c r="H8" s="181"/>
      <c r="I8" s="182"/>
      <c r="J8" s="84"/>
      <c r="K8" s="84"/>
      <c r="L8" s="84"/>
      <c r="M8" s="84"/>
      <c r="N8" s="84"/>
      <c r="O8" s="84"/>
      <c r="P8" s="84"/>
    </row>
    <row r="9" spans="1:16" s="155" customFormat="1" x14ac:dyDescent="0.35">
      <c r="A9" s="84"/>
      <c r="B9" s="84"/>
      <c r="C9" s="169" t="s">
        <v>493</v>
      </c>
      <c r="D9" s="184">
        <v>44320</v>
      </c>
      <c r="E9" s="185"/>
      <c r="F9" s="185"/>
      <c r="G9" s="185"/>
      <c r="H9" s="185"/>
      <c r="I9" s="186"/>
      <c r="J9" s="84"/>
      <c r="K9" s="84"/>
      <c r="L9" s="84"/>
      <c r="M9" s="84"/>
      <c r="N9" s="84"/>
      <c r="O9" s="84"/>
      <c r="P9" s="84"/>
    </row>
    <row r="10" spans="1:16" s="155" customFormat="1" x14ac:dyDescent="0.35">
      <c r="A10" s="84"/>
      <c r="B10" s="84"/>
      <c r="C10" s="133" t="s">
        <v>453</v>
      </c>
      <c r="D10" s="187" t="s">
        <v>540</v>
      </c>
      <c r="E10" s="183"/>
      <c r="F10" s="183"/>
      <c r="G10" s="183"/>
      <c r="H10" s="183"/>
      <c r="I10" s="188"/>
      <c r="J10" s="84"/>
      <c r="K10" s="84"/>
      <c r="L10" s="84"/>
      <c r="M10" s="84"/>
      <c r="N10" s="84"/>
      <c r="O10" s="84"/>
      <c r="P10" s="84"/>
    </row>
    <row r="11" spans="1:16" s="155" customFormat="1" x14ac:dyDescent="0.35">
      <c r="A11" s="84"/>
      <c r="B11" s="84"/>
      <c r="C11" s="133" t="s">
        <v>454</v>
      </c>
      <c r="D11" s="187" t="s">
        <v>455</v>
      </c>
      <c r="E11" s="183"/>
      <c r="F11" s="183"/>
      <c r="G11" s="183"/>
      <c r="H11" s="183"/>
      <c r="I11" s="188"/>
      <c r="J11" s="84"/>
      <c r="K11" s="84"/>
      <c r="L11" s="84"/>
      <c r="M11" s="84"/>
      <c r="N11" s="84"/>
      <c r="O11" s="84"/>
      <c r="P11" s="84"/>
    </row>
    <row r="12" spans="1:16" s="155" customFormat="1" ht="15" thickBot="1" x14ac:dyDescent="0.4">
      <c r="A12" s="84"/>
      <c r="B12" s="84"/>
      <c r="C12" s="134" t="s">
        <v>456</v>
      </c>
      <c r="D12" s="192" t="s">
        <v>541</v>
      </c>
      <c r="E12" s="190"/>
      <c r="F12" s="190"/>
      <c r="G12" s="190"/>
      <c r="H12" s="190"/>
      <c r="I12" s="191"/>
      <c r="J12" s="84"/>
      <c r="K12" s="84"/>
      <c r="L12" s="84"/>
      <c r="M12" s="84"/>
      <c r="N12" s="84"/>
      <c r="O12" s="84"/>
      <c r="P12" s="84"/>
    </row>
    <row r="13" spans="1:16" s="155" customFormat="1" x14ac:dyDescent="0.35">
      <c r="A13" s="84"/>
      <c r="B13" s="84"/>
      <c r="C13" s="84"/>
      <c r="D13" s="84"/>
      <c r="E13" s="151"/>
      <c r="F13" s="84"/>
      <c r="G13" s="94"/>
      <c r="H13" s="84"/>
      <c r="I13" s="84"/>
      <c r="J13" s="84"/>
      <c r="K13" s="84"/>
      <c r="L13" s="84"/>
      <c r="M13" s="84"/>
      <c r="N13" s="84"/>
      <c r="O13" s="84"/>
      <c r="P13" s="84"/>
    </row>
    <row r="14" spans="1:16" s="146" customFormat="1" x14ac:dyDescent="0.35">
      <c r="A14" s="84"/>
      <c r="B14" s="84"/>
      <c r="C14" s="84"/>
      <c r="D14" s="84"/>
      <c r="E14" s="151"/>
      <c r="F14" s="84"/>
      <c r="G14" s="94"/>
      <c r="H14" s="84"/>
      <c r="I14" s="84"/>
      <c r="J14" s="84"/>
      <c r="K14" s="84"/>
      <c r="L14" s="84"/>
      <c r="M14" s="84"/>
      <c r="N14" s="84"/>
      <c r="O14" s="84"/>
      <c r="P14" s="84"/>
    </row>
    <row r="15" spans="1:16" x14ac:dyDescent="0.35">
      <c r="A15" s="84"/>
      <c r="B15" s="84"/>
      <c r="C15" s="85" t="s">
        <v>243</v>
      </c>
      <c r="D15" s="85"/>
      <c r="E15" s="95" t="s">
        <v>234</v>
      </c>
      <c r="F15" s="85"/>
      <c r="G15" s="95" t="s">
        <v>250</v>
      </c>
      <c r="H15" s="85"/>
      <c r="I15" s="85" t="s">
        <v>241</v>
      </c>
      <c r="J15" s="84"/>
      <c r="K15" s="84"/>
      <c r="L15" s="84"/>
      <c r="M15" s="84"/>
      <c r="N15" s="84"/>
      <c r="O15" s="84"/>
      <c r="P15" s="84"/>
    </row>
    <row r="16" spans="1:16" s="146" customFormat="1" x14ac:dyDescent="0.35">
      <c r="A16" s="145"/>
      <c r="B16" s="88" t="s">
        <v>400</v>
      </c>
      <c r="C16" s="89" t="s">
        <v>401</v>
      </c>
      <c r="D16" s="145" t="s">
        <v>59</v>
      </c>
      <c r="E16" s="108" t="s">
        <v>523</v>
      </c>
      <c r="F16" s="89"/>
      <c r="G16" s="89"/>
      <c r="H16" s="93"/>
      <c r="I16" s="93"/>
      <c r="J16" s="93"/>
      <c r="K16" s="84"/>
      <c r="L16" s="84"/>
      <c r="M16" s="84"/>
      <c r="N16" s="84"/>
      <c r="O16" s="84"/>
      <c r="P16" s="84"/>
    </row>
    <row r="17" spans="1:16" s="157" customFormat="1" x14ac:dyDescent="0.35">
      <c r="A17" s="84"/>
      <c r="B17" s="84"/>
      <c r="C17" s="85"/>
      <c r="D17" s="85"/>
      <c r="E17" s="95"/>
      <c r="F17" s="85"/>
      <c r="G17" s="95"/>
      <c r="H17" s="85"/>
      <c r="I17" s="85"/>
      <c r="J17" s="84"/>
      <c r="K17" s="84"/>
      <c r="L17" s="84"/>
      <c r="M17" s="84"/>
      <c r="N17" s="84"/>
      <c r="O17" s="84"/>
      <c r="P17" s="84"/>
    </row>
    <row r="18" spans="1:16" x14ac:dyDescent="0.35">
      <c r="A18" s="174"/>
      <c r="B18" s="88" t="s">
        <v>246</v>
      </c>
      <c r="C18" s="89" t="s">
        <v>5</v>
      </c>
      <c r="D18" s="90" t="s">
        <v>59</v>
      </c>
      <c r="E18" s="152">
        <v>3.8304654839288362E-2</v>
      </c>
      <c r="F18" s="89"/>
      <c r="G18" s="89" t="s">
        <v>7</v>
      </c>
      <c r="H18" s="89"/>
      <c r="I18" s="93" t="str">
        <f>IF(NOT(ISBLANK(E18)),IF(Checks!I11=FALSE,"Not a number",IF(Checks!J11=FALSE,"Must be positive number","")),"")</f>
        <v/>
      </c>
      <c r="J18" s="93"/>
      <c r="K18" s="84"/>
      <c r="L18" s="84"/>
      <c r="M18" s="84"/>
      <c r="N18" s="84"/>
      <c r="O18" s="84"/>
      <c r="P18" s="84"/>
    </row>
    <row r="19" spans="1:16" x14ac:dyDescent="0.35">
      <c r="A19" s="174"/>
      <c r="B19" s="89"/>
      <c r="C19" s="89" t="s">
        <v>15</v>
      </c>
      <c r="D19" s="90" t="s">
        <v>59</v>
      </c>
      <c r="E19" s="152">
        <v>8.0000000000000002E-3</v>
      </c>
      <c r="F19" s="89"/>
      <c r="G19" s="89" t="s">
        <v>7</v>
      </c>
      <c r="H19" s="89"/>
      <c r="I19" s="93" t="str">
        <f>IF(ISBLANK(E19),"",IF(Checks!I12=FALSE,"Not a number",IF(Checks!J12=FALSE,"Must be positive number","")))</f>
        <v/>
      </c>
      <c r="J19" s="93"/>
      <c r="K19" s="84"/>
      <c r="L19" s="84"/>
      <c r="M19" s="84"/>
      <c r="N19" s="84"/>
      <c r="O19" s="84"/>
      <c r="P19" s="84"/>
    </row>
    <row r="20" spans="1:16" s="142" customFormat="1" x14ac:dyDescent="0.35">
      <c r="A20" s="174"/>
      <c r="B20" s="89"/>
      <c r="C20" s="89" t="s">
        <v>460</v>
      </c>
      <c r="D20" s="90" t="s">
        <v>59</v>
      </c>
      <c r="E20" s="108">
        <v>0.2</v>
      </c>
      <c r="F20" s="89"/>
      <c r="G20" s="97" t="s">
        <v>58</v>
      </c>
      <c r="H20" s="89"/>
      <c r="I20" s="93" t="str">
        <f>IF(ISBLANK(E20),"",IF(Checks!I13=FALSE,"Not a number",IF(Checks!J13=FALSE,"Must be positive number","")))</f>
        <v/>
      </c>
      <c r="J20" s="93"/>
      <c r="K20" s="84"/>
      <c r="L20" s="84"/>
      <c r="M20" s="84"/>
      <c r="N20" s="84"/>
      <c r="O20" s="84"/>
      <c r="P20" s="84"/>
    </row>
    <row r="21" spans="1:16" s="142" customFormat="1" x14ac:dyDescent="0.35">
      <c r="A21" s="174"/>
      <c r="B21" s="89"/>
      <c r="C21" s="89" t="s">
        <v>368</v>
      </c>
      <c r="D21" s="141" t="s">
        <v>59</v>
      </c>
      <c r="E21" s="108">
        <v>37.700000000000003</v>
      </c>
      <c r="F21" s="89"/>
      <c r="G21" s="97" t="s">
        <v>34</v>
      </c>
      <c r="H21" s="89"/>
      <c r="I21" s="93" t="str">
        <f>IF(ISBLANK(E21),"",IF(Checks!I14=FALSE,"Not a number",IF(Checks!J14=FALSE,"Number must be between 0 and 100","")))</f>
        <v/>
      </c>
      <c r="J21" s="93"/>
      <c r="K21" s="84"/>
      <c r="L21" s="84"/>
      <c r="M21" s="84"/>
      <c r="N21" s="84"/>
      <c r="O21" s="84"/>
      <c r="P21" s="84"/>
    </row>
    <row r="22" spans="1:16" s="142" customFormat="1" x14ac:dyDescent="0.35">
      <c r="A22" s="174"/>
      <c r="B22" s="89"/>
      <c r="C22" s="89" t="s">
        <v>379</v>
      </c>
      <c r="D22" s="141" t="s">
        <v>59</v>
      </c>
      <c r="E22" s="108" t="s">
        <v>393</v>
      </c>
      <c r="F22" s="89"/>
      <c r="G22" s="97"/>
      <c r="H22" s="89"/>
      <c r="I22" s="93" t="str">
        <f>IF(ISBLANK(E22),"",IF(Checks!N15,"","must be either 'sphere' or 'cylinder'"))</f>
        <v/>
      </c>
      <c r="J22" s="93"/>
      <c r="K22" s="84"/>
      <c r="L22" s="84"/>
      <c r="M22" s="84"/>
      <c r="N22" s="84"/>
      <c r="O22" s="84"/>
      <c r="P22" s="84"/>
    </row>
    <row r="23" spans="1:16" s="142" customFormat="1" x14ac:dyDescent="0.35">
      <c r="A23" s="174"/>
      <c r="B23" s="89"/>
      <c r="C23" s="89" t="s">
        <v>380</v>
      </c>
      <c r="D23" s="141" t="str">
        <f>IF(Checks!H16,"*","")</f>
        <v/>
      </c>
      <c r="E23" s="108"/>
      <c r="F23" s="89"/>
      <c r="G23" s="97" t="s">
        <v>7</v>
      </c>
      <c r="H23" s="89"/>
      <c r="I23" s="93" t="str">
        <f>IF(ISBLANK(E23),"",IF(Checks!I16=FALSE,"Not a number",IF(Checks!J16=FALSE,"Must be positive number","")))</f>
        <v/>
      </c>
      <c r="J23" s="93" t="str">
        <f>IF(AND(IF(E22="cylinder",TRUE,FALSE),ISBLANK(E23)),"particle length must be provided if shape is 'cylinder'","")</f>
        <v/>
      </c>
      <c r="K23" s="84"/>
      <c r="L23" s="84"/>
      <c r="M23" s="84"/>
      <c r="N23" s="84"/>
      <c r="O23" s="84"/>
      <c r="P23" s="84"/>
    </row>
    <row r="24" spans="1:16" s="142" customFormat="1" x14ac:dyDescent="0.35">
      <c r="A24" s="174"/>
      <c r="B24" s="89"/>
      <c r="C24" s="89" t="s">
        <v>151</v>
      </c>
      <c r="D24" s="90" t="s">
        <v>59</v>
      </c>
      <c r="E24" s="152">
        <v>3.3500000000000001E-4</v>
      </c>
      <c r="F24" s="89"/>
      <c r="G24" s="97" t="s">
        <v>7</v>
      </c>
      <c r="H24" s="89"/>
      <c r="I24" s="93" t="str">
        <f>IF(ISBLANK(E24),"",IF(Checks!I17=FALSE,"Not a number",IF(Checks!J17=FALSE,"Must be positive number","")))</f>
        <v/>
      </c>
      <c r="J24" s="93"/>
      <c r="K24" s="84"/>
      <c r="L24" s="84"/>
      <c r="M24" s="84"/>
      <c r="N24" s="84"/>
      <c r="O24" s="84"/>
      <c r="P24" s="84"/>
    </row>
    <row r="25" spans="1:16" s="142" customFormat="1" x14ac:dyDescent="0.35">
      <c r="A25" s="174"/>
      <c r="B25" s="89"/>
      <c r="C25" s="89" t="s">
        <v>253</v>
      </c>
      <c r="D25" s="175" t="s">
        <v>397</v>
      </c>
      <c r="E25" s="108"/>
      <c r="F25" s="89"/>
      <c r="G25" s="96" t="s">
        <v>520</v>
      </c>
      <c r="H25" s="89"/>
      <c r="I25" s="93" t="str">
        <f>IF(ISBLANK(E25),"",IF(Checks!I18=FALSE,"Not a number",IF(Checks!J18=FALSE,"Must be positive number","")))</f>
        <v/>
      </c>
      <c r="J25" s="173" t="str">
        <f>IF(AND(thermal_mode="no",E69="no",ISBLANK(E34),ISBLANK(E35)),"thermal conductivities necessary, since 'isothermal' and 'adiabatic' are 'no' and 2* and 3* are not provided","")</f>
        <v/>
      </c>
      <c r="K25" s="84"/>
      <c r="L25" s="84"/>
      <c r="M25" s="84"/>
      <c r="N25" s="84"/>
      <c r="O25" s="84"/>
      <c r="P25" s="84"/>
    </row>
    <row r="26" spans="1:16" s="142" customFormat="1" x14ac:dyDescent="0.35">
      <c r="A26" s="174"/>
      <c r="B26" s="89"/>
      <c r="C26" s="89" t="s">
        <v>381</v>
      </c>
      <c r="D26" s="176"/>
      <c r="E26" s="108"/>
      <c r="F26" s="89"/>
      <c r="G26" s="96" t="s">
        <v>520</v>
      </c>
      <c r="H26" s="89"/>
      <c r="I26" s="93" t="str">
        <f>IF(ISBLANK(E26),"",IF(Checks!I19=FALSE,"Not a number",IF(Checks!J19=FALSE,"Must be positive number","")))</f>
        <v/>
      </c>
      <c r="J26" s="173"/>
      <c r="K26" s="84"/>
      <c r="L26" s="84"/>
      <c r="M26" s="84"/>
      <c r="N26" s="84"/>
      <c r="O26" s="84"/>
      <c r="P26" s="84"/>
    </row>
    <row r="27" spans="1:16" s="142" customFormat="1" x14ac:dyDescent="0.35">
      <c r="A27" s="174"/>
      <c r="B27" s="89"/>
      <c r="C27" s="89" t="s">
        <v>396</v>
      </c>
      <c r="D27" s="141"/>
      <c r="E27" s="108"/>
      <c r="F27" s="89"/>
      <c r="G27" s="97" t="s">
        <v>13</v>
      </c>
      <c r="H27" s="89"/>
      <c r="I27" s="93" t="str">
        <f>IF(ISBLANK(E27),"",IF(Checks!I20=FALSE,"Not a number",IF(Checks!J20=FALSE,"Must be positive number","")))</f>
        <v/>
      </c>
      <c r="J27" s="93"/>
      <c r="K27" s="84"/>
      <c r="L27" s="84"/>
      <c r="M27" s="84"/>
      <c r="N27" s="84"/>
      <c r="O27" s="84"/>
      <c r="P27" s="84"/>
    </row>
    <row r="28" spans="1:16" s="157" customFormat="1" ht="16.5" x14ac:dyDescent="0.35">
      <c r="A28" s="174"/>
      <c r="B28" s="89"/>
      <c r="C28" s="89" t="s">
        <v>464</v>
      </c>
      <c r="D28" s="156"/>
      <c r="E28" s="108"/>
      <c r="F28" s="89"/>
      <c r="G28" s="97" t="s">
        <v>325</v>
      </c>
      <c r="H28" s="89"/>
      <c r="I28" s="93"/>
      <c r="J28" s="93"/>
      <c r="K28" s="84"/>
      <c r="L28" s="84"/>
      <c r="M28" s="84"/>
      <c r="N28" s="84"/>
      <c r="O28" s="84"/>
      <c r="P28" s="84"/>
    </row>
    <row r="29" spans="1:16" s="157" customFormat="1" x14ac:dyDescent="0.35">
      <c r="A29" s="84"/>
      <c r="B29" s="84"/>
      <c r="C29" s="85"/>
      <c r="D29" s="85"/>
      <c r="E29" s="95"/>
      <c r="F29" s="85"/>
      <c r="G29" s="95"/>
      <c r="H29" s="85"/>
      <c r="I29" s="85"/>
      <c r="J29" s="84"/>
      <c r="K29" s="84"/>
      <c r="L29" s="84"/>
      <c r="M29" s="84"/>
      <c r="N29" s="84"/>
      <c r="O29" s="84"/>
      <c r="P29" s="84"/>
    </row>
    <row r="30" spans="1:16" s="142" customFormat="1" x14ac:dyDescent="0.35">
      <c r="A30" s="174"/>
      <c r="B30" s="88" t="s">
        <v>390</v>
      </c>
      <c r="C30" s="89" t="s">
        <v>197</v>
      </c>
      <c r="D30" s="90" t="str">
        <f>IF(Checks!H23,"*","")</f>
        <v/>
      </c>
      <c r="E30" s="108"/>
      <c r="F30" s="89"/>
      <c r="G30" s="96" t="s">
        <v>198</v>
      </c>
      <c r="H30" s="93"/>
      <c r="I30" s="93" t="str">
        <f>IF(ISBLANK(E30),"",IF(Checks!I23=FALSE,"Not a number",IF(Checks!J23=FALSE,"Must be positive number","")))</f>
        <v/>
      </c>
      <c r="J30" s="173" t="str">
        <f>IF(Checks!P23=FALSE,"You must provide a value for the wall temperature (if experiment is 'spaci'), and either complete sections 1*, 2* or 3* (unless 'adiabatic' or 'isothermal' is 'yes')","")</f>
        <v/>
      </c>
      <c r="K30" s="84"/>
      <c r="L30" s="84"/>
      <c r="M30" s="84"/>
      <c r="N30" s="84"/>
      <c r="O30" s="84"/>
      <c r="P30" s="84"/>
    </row>
    <row r="31" spans="1:16" s="142" customFormat="1" x14ac:dyDescent="0.35">
      <c r="A31" s="174"/>
      <c r="B31" s="88"/>
      <c r="C31" s="89" t="s">
        <v>251</v>
      </c>
      <c r="D31" s="193" t="s">
        <v>397</v>
      </c>
      <c r="E31" s="108"/>
      <c r="F31" s="89"/>
      <c r="G31" s="96" t="s">
        <v>7</v>
      </c>
      <c r="H31" s="93"/>
      <c r="I31" s="93" t="str">
        <f>IF(ISBLANK(E31),"",IF(Checks!I24=FALSE,"Not a number",IF(Checks!J24=FALSE,"Must be positive number","")))</f>
        <v/>
      </c>
      <c r="J31" s="173"/>
      <c r="K31" s="84"/>
      <c r="L31" s="84"/>
      <c r="M31" s="84"/>
      <c r="N31" s="84"/>
      <c r="O31" s="84"/>
      <c r="P31" s="84"/>
    </row>
    <row r="32" spans="1:16" s="142" customFormat="1" x14ac:dyDescent="0.35">
      <c r="A32" s="174"/>
      <c r="B32" s="88"/>
      <c r="C32" s="89" t="s">
        <v>252</v>
      </c>
      <c r="D32" s="194"/>
      <c r="E32" s="108"/>
      <c r="F32" s="89"/>
      <c r="G32" s="96" t="s">
        <v>520</v>
      </c>
      <c r="H32" s="93"/>
      <c r="I32" s="93" t="str">
        <f>IF(ISBLANK(E32),"",IF(Checks!I25=FALSE,"Not a number",IF(Checks!J25=FALSE,"Must be positive number","")))</f>
        <v/>
      </c>
      <c r="J32" s="173"/>
      <c r="K32" s="84"/>
      <c r="L32" s="84"/>
      <c r="M32" s="84"/>
      <c r="N32" s="84"/>
      <c r="O32" s="84"/>
      <c r="P32" s="84"/>
    </row>
    <row r="33" spans="1:16" s="142" customFormat="1" ht="16.5" x14ac:dyDescent="0.35">
      <c r="A33" s="174"/>
      <c r="B33" s="88"/>
      <c r="C33" s="89" t="s">
        <v>383</v>
      </c>
      <c r="D33" s="176"/>
      <c r="E33" s="108"/>
      <c r="F33" s="89"/>
      <c r="G33" s="96" t="s">
        <v>521</v>
      </c>
      <c r="H33" s="93"/>
      <c r="I33" s="93" t="str">
        <f>IF(ISBLANK(E33),"",IF(Checks!I26=FALSE,"Not a number",IF(Checks!J26=FALSE,"Must be positive number","")))</f>
        <v/>
      </c>
      <c r="J33" s="93"/>
      <c r="K33" s="84"/>
      <c r="L33" s="84"/>
      <c r="M33" s="84"/>
      <c r="N33" s="84"/>
      <c r="O33" s="84"/>
      <c r="P33" s="84"/>
    </row>
    <row r="34" spans="1:16" s="142" customFormat="1" ht="16.5" x14ac:dyDescent="0.35">
      <c r="A34" s="174"/>
      <c r="B34" s="88"/>
      <c r="C34" s="89" t="s">
        <v>387</v>
      </c>
      <c r="D34" s="150" t="s">
        <v>388</v>
      </c>
      <c r="E34" s="108"/>
      <c r="F34" s="89"/>
      <c r="G34" s="96" t="s">
        <v>521</v>
      </c>
      <c r="H34" s="93"/>
      <c r="I34" s="93" t="str">
        <f>IF(ISBLANK(E34),"",IF(Checks!I27=FALSE,"Not a number",IF(Checks!J27=FALSE,"Must be positive number","")))</f>
        <v/>
      </c>
      <c r="J34" s="93"/>
      <c r="K34" s="84"/>
      <c r="L34" s="84"/>
      <c r="M34" s="84"/>
      <c r="N34" s="84"/>
      <c r="O34" s="84"/>
      <c r="P34" s="84"/>
    </row>
    <row r="35" spans="1:16" s="142" customFormat="1" ht="16.5" x14ac:dyDescent="0.35">
      <c r="A35" s="174"/>
      <c r="B35" s="88"/>
      <c r="C35" s="89" t="s">
        <v>384</v>
      </c>
      <c r="D35" s="141" t="s">
        <v>389</v>
      </c>
      <c r="E35" s="108"/>
      <c r="F35" s="89"/>
      <c r="G35" s="96" t="s">
        <v>386</v>
      </c>
      <c r="H35" s="93"/>
      <c r="I35" s="93" t="str">
        <f>IF(ISBLANK(E35),"",IF(Checks!I28=FALSE,"Not a number",""))</f>
        <v/>
      </c>
      <c r="J35" s="93"/>
      <c r="K35" s="84"/>
      <c r="L35" s="84"/>
      <c r="M35" s="84"/>
      <c r="N35" s="84"/>
      <c r="O35" s="84"/>
      <c r="P35" s="84"/>
    </row>
    <row r="36" spans="1:16" x14ac:dyDescent="0.35">
      <c r="A36" s="84"/>
      <c r="B36" s="84"/>
      <c r="C36" s="84"/>
      <c r="D36" s="87"/>
      <c r="E36" s="151"/>
      <c r="F36" s="84"/>
      <c r="G36" s="94"/>
      <c r="H36" s="84"/>
      <c r="I36" s="84"/>
      <c r="J36" s="84"/>
      <c r="K36" s="84"/>
      <c r="L36" s="84"/>
      <c r="M36" s="84"/>
      <c r="N36" s="84"/>
      <c r="O36" s="84"/>
      <c r="P36" s="84"/>
    </row>
    <row r="37" spans="1:16" s="107" customFormat="1" ht="14.5" customHeight="1" x14ac:dyDescent="0.35">
      <c r="A37" s="174"/>
      <c r="B37" s="88" t="s">
        <v>4</v>
      </c>
      <c r="C37" s="89" t="s">
        <v>328</v>
      </c>
      <c r="D37" s="106" t="s">
        <v>59</v>
      </c>
      <c r="E37" s="108" t="s">
        <v>192</v>
      </c>
      <c r="F37" s="89"/>
      <c r="G37" s="97"/>
      <c r="H37" s="89"/>
      <c r="I37" s="93" t="str">
        <f>IF(ISBLANK(E37),"",IF(Checks!I30=FALSE,"Must be the chemical symbol of the active catalyst",IF(Checks!J30=FALSE,"Catalyst not in database","")))</f>
        <v/>
      </c>
      <c r="J37" s="93"/>
      <c r="K37" s="84"/>
      <c r="L37" s="84"/>
      <c r="M37" s="84"/>
      <c r="N37" s="84"/>
      <c r="O37" s="84"/>
      <c r="P37" s="84"/>
    </row>
    <row r="38" spans="1:16" x14ac:dyDescent="0.35">
      <c r="A38" s="174"/>
      <c r="B38" s="89"/>
      <c r="C38" s="89" t="s">
        <v>199</v>
      </c>
      <c r="D38" s="90" t="s">
        <v>59</v>
      </c>
      <c r="E38" s="108">
        <v>10</v>
      </c>
      <c r="F38" s="89"/>
      <c r="G38" s="97" t="s">
        <v>34</v>
      </c>
      <c r="H38" s="89"/>
      <c r="I38" s="93" t="str">
        <f>IF(ISBLANK(E38),"",IF(Checks!I31=FALSE,"Not a number",IF(Checks!J31=FALSE,"Number must be between 0 and 100","")))</f>
        <v/>
      </c>
      <c r="J38" s="93"/>
      <c r="K38" s="84"/>
      <c r="L38" s="84"/>
      <c r="M38" s="84"/>
      <c r="N38" s="84"/>
      <c r="O38" s="84"/>
      <c r="P38" s="84"/>
    </row>
    <row r="39" spans="1:16" x14ac:dyDescent="0.35">
      <c r="A39" s="174"/>
      <c r="B39" s="89"/>
      <c r="C39" s="89" t="s">
        <v>369</v>
      </c>
      <c r="D39" s="90"/>
      <c r="E39" s="108"/>
      <c r="F39" s="89"/>
      <c r="G39" s="97" t="s">
        <v>34</v>
      </c>
      <c r="H39" s="89"/>
      <c r="I39" s="93" t="str">
        <f>IF(ISBLANK(E39),"",IF(Checks!I32=FALSE,"Not a number",IF(Checks!J32=FALSE,"Number must be between 0 and 100","")))</f>
        <v/>
      </c>
      <c r="J39" s="93"/>
      <c r="K39" s="84"/>
      <c r="L39" s="84"/>
      <c r="M39" s="84"/>
      <c r="N39" s="84"/>
      <c r="O39" s="84"/>
      <c r="P39" s="84"/>
    </row>
    <row r="40" spans="1:16" x14ac:dyDescent="0.35">
      <c r="A40" s="84"/>
      <c r="B40" s="84"/>
      <c r="C40" s="84"/>
      <c r="D40" s="87"/>
      <c r="E40" s="94"/>
      <c r="F40" s="84"/>
      <c r="G40" s="94"/>
      <c r="H40" s="84"/>
      <c r="I40" s="84"/>
      <c r="J40" s="84"/>
      <c r="K40" s="84"/>
      <c r="L40" s="84"/>
      <c r="M40" s="84"/>
      <c r="N40" s="84"/>
      <c r="O40" s="84"/>
      <c r="P40" s="84"/>
    </row>
    <row r="41" spans="1:16" ht="15" customHeight="1" x14ac:dyDescent="0.35">
      <c r="A41" s="174"/>
      <c r="B41" s="88" t="s">
        <v>200</v>
      </c>
      <c r="C41" s="89" t="s">
        <v>48</v>
      </c>
      <c r="D41" s="196" t="s">
        <v>59</v>
      </c>
      <c r="E41" s="108"/>
      <c r="F41" s="89"/>
      <c r="G41" s="97" t="s">
        <v>36</v>
      </c>
      <c r="H41" s="89"/>
      <c r="I41" s="93" t="str">
        <f>IF(ISBLANK(E41),"",IF(Checks!I34=FALSE,"Not a number",IF(Checks!J34=FALSE,"Must be positive number","")))</f>
        <v/>
      </c>
      <c r="J41" s="173" t="str">
        <f>IF(Checks!P34=FALSE,"Only one of the values under 'SURFACE' should be provided","")</f>
        <v/>
      </c>
      <c r="K41" s="84"/>
      <c r="L41" s="84"/>
      <c r="M41" s="84"/>
      <c r="N41" s="84"/>
      <c r="O41" s="84"/>
      <c r="P41" s="84"/>
    </row>
    <row r="42" spans="1:16" x14ac:dyDescent="0.35">
      <c r="A42" s="174"/>
      <c r="B42" s="89"/>
      <c r="C42" s="89" t="s">
        <v>52</v>
      </c>
      <c r="D42" s="196"/>
      <c r="E42" s="108"/>
      <c r="F42" s="89"/>
      <c r="G42" s="97" t="s">
        <v>36</v>
      </c>
      <c r="H42" s="89"/>
      <c r="I42" s="93" t="str">
        <f>IF(ISBLANK(E42),"",IF(Checks!I35=FALSE,"Not a number",IF(Checks!J35=FALSE,"Must be positive number","")))</f>
        <v/>
      </c>
      <c r="J42" s="173"/>
      <c r="K42" s="84"/>
      <c r="L42" s="84"/>
      <c r="M42" s="84"/>
      <c r="N42" s="84"/>
      <c r="O42" s="84"/>
      <c r="P42" s="84"/>
    </row>
    <row r="43" spans="1:16" x14ac:dyDescent="0.35">
      <c r="A43" s="174"/>
      <c r="B43" s="89"/>
      <c r="C43" s="89" t="s">
        <v>11</v>
      </c>
      <c r="D43" s="196"/>
      <c r="E43" s="152"/>
      <c r="F43" s="89"/>
      <c r="G43" s="97" t="s">
        <v>7</v>
      </c>
      <c r="H43" s="89"/>
      <c r="I43" s="93" t="str">
        <f>IF(ISBLANK(E43),"",IF(Checks!I36=FALSE,"Not a number",IF(Checks!J36=FALSE,"Must be positive number","")))</f>
        <v/>
      </c>
      <c r="J43" s="173"/>
      <c r="K43" s="84"/>
      <c r="L43" s="84"/>
      <c r="M43" s="84"/>
      <c r="N43" s="84"/>
      <c r="O43" s="84"/>
      <c r="P43" s="84"/>
    </row>
    <row r="44" spans="1:16" x14ac:dyDescent="0.35">
      <c r="A44" s="174"/>
      <c r="B44" s="89"/>
      <c r="C44" s="89" t="s">
        <v>33</v>
      </c>
      <c r="D44" s="196"/>
      <c r="E44" s="108">
        <v>6</v>
      </c>
      <c r="F44" s="89"/>
      <c r="G44" s="97" t="s">
        <v>34</v>
      </c>
      <c r="H44" s="89"/>
      <c r="I44" s="93" t="str">
        <f>IF(ISBLANK(E44),"",IF(Checks!I37=FALSE,"Not a number",IF(Checks!J37=FALSE,"Number must be between 0 and 100","")))</f>
        <v/>
      </c>
      <c r="J44" s="173"/>
      <c r="K44" s="84"/>
      <c r="L44" s="84"/>
      <c r="M44" s="84"/>
      <c r="N44" s="84"/>
      <c r="O44" s="84"/>
      <c r="P44" s="84"/>
    </row>
    <row r="45" spans="1:16" ht="15" customHeight="1" x14ac:dyDescent="0.35">
      <c r="A45" s="174"/>
      <c r="B45" s="89"/>
      <c r="C45" s="89" t="s">
        <v>329</v>
      </c>
      <c r="D45" s="196"/>
      <c r="E45" s="108"/>
      <c r="F45" s="89"/>
      <c r="G45" s="97" t="s">
        <v>332</v>
      </c>
      <c r="H45" s="89"/>
      <c r="I45" s="93" t="str">
        <f>IF(ISBLANK(E45),"",IF(Checks!I38=FALSE,"Not a number",IF(Checks!J38=FALSE,"Must be positive number","")))</f>
        <v/>
      </c>
      <c r="J45" s="173"/>
      <c r="K45" s="84"/>
      <c r="L45" s="84"/>
      <c r="M45" s="84"/>
      <c r="N45" s="84"/>
      <c r="O45" s="84"/>
      <c r="P45" s="84"/>
    </row>
    <row r="46" spans="1:16" s="157" customFormat="1" ht="15" customHeight="1" x14ac:dyDescent="0.35">
      <c r="A46" s="174"/>
      <c r="B46" s="89"/>
      <c r="C46" s="89" t="s">
        <v>462</v>
      </c>
      <c r="D46" s="196"/>
      <c r="E46" s="108"/>
      <c r="F46" s="89"/>
      <c r="G46" s="97" t="s">
        <v>463</v>
      </c>
      <c r="H46" s="89"/>
      <c r="I46" s="93"/>
      <c r="J46" s="173"/>
      <c r="K46" s="84"/>
      <c r="L46" s="84"/>
      <c r="M46" s="84"/>
      <c r="N46" s="84"/>
      <c r="O46" s="84"/>
      <c r="P46" s="84"/>
    </row>
    <row r="47" spans="1:16" s="142" customFormat="1" ht="15" customHeight="1" x14ac:dyDescent="0.35">
      <c r="A47" s="174"/>
      <c r="B47" s="89"/>
      <c r="C47" s="89" t="s">
        <v>391</v>
      </c>
      <c r="D47" s="196"/>
      <c r="E47" s="108"/>
      <c r="F47" s="89"/>
      <c r="G47" s="97"/>
      <c r="H47" s="89"/>
      <c r="I47" s="93" t="str">
        <f>IF(ISBLANK(E47),"",IF(Checks!I40=FALSE,"Not a number",IF(Checks!J40=FALSE,"Must be positive number","")))</f>
        <v/>
      </c>
      <c r="J47" s="173"/>
      <c r="K47" s="84"/>
      <c r="L47" s="84"/>
      <c r="M47" s="84"/>
      <c r="N47" s="84"/>
      <c r="O47" s="84"/>
      <c r="P47" s="84"/>
    </row>
    <row r="48" spans="1:16" x14ac:dyDescent="0.35">
      <c r="A48" s="84"/>
      <c r="B48" s="84"/>
      <c r="C48" s="84"/>
      <c r="D48" s="87"/>
      <c r="E48" s="151"/>
      <c r="F48" s="84"/>
      <c r="G48" s="94"/>
      <c r="H48" s="84"/>
      <c r="I48" s="84"/>
      <c r="J48" s="84"/>
      <c r="K48" s="84"/>
      <c r="L48" s="84"/>
      <c r="M48" s="84"/>
      <c r="N48" s="84"/>
      <c r="O48" s="84"/>
      <c r="P48" s="84"/>
    </row>
    <row r="49" spans="1:16" ht="15" customHeight="1" x14ac:dyDescent="0.35">
      <c r="A49" s="174"/>
      <c r="B49" s="88" t="s">
        <v>202</v>
      </c>
      <c r="C49" s="89" t="s">
        <v>76</v>
      </c>
      <c r="D49" s="196" t="s">
        <v>59</v>
      </c>
      <c r="E49" s="108"/>
      <c r="F49" s="89"/>
      <c r="G49" s="89" t="s">
        <v>77</v>
      </c>
      <c r="H49" s="89"/>
      <c r="I49" s="93" t="str">
        <f>IF(ISBLANK(E49),"",IF(Checks!I42=FALSE,"Not a number",IF(Checks!J42=FALSE,"Must be positive number","")))</f>
        <v/>
      </c>
      <c r="J49" s="93" t="str">
        <f>IF(Checks!O42=FALSE,"Only one of the parameters shoud be provided","")</f>
        <v/>
      </c>
      <c r="K49" s="84"/>
      <c r="L49" s="84"/>
      <c r="M49" s="84"/>
      <c r="N49" s="84"/>
      <c r="O49" s="84"/>
      <c r="P49" s="84"/>
    </row>
    <row r="50" spans="1:16" x14ac:dyDescent="0.35">
      <c r="A50" s="174"/>
      <c r="B50" s="173" t="s">
        <v>468</v>
      </c>
      <c r="C50" s="89" t="s">
        <v>203</v>
      </c>
      <c r="D50" s="194"/>
      <c r="E50" s="108">
        <v>15000</v>
      </c>
      <c r="F50" s="89"/>
      <c r="G50" s="89" t="s">
        <v>522</v>
      </c>
      <c r="H50" s="89"/>
      <c r="I50" s="93" t="str">
        <f>IF(ISBLANK(E50),"",IF(Checks!I43=FALSE,"Not a number",IF(Checks!J43=FALSE,"Must be positive number","")))</f>
        <v/>
      </c>
      <c r="J50" s="93"/>
      <c r="K50" s="84"/>
      <c r="L50" s="84"/>
      <c r="M50" s="84"/>
      <c r="N50" s="84"/>
      <c r="O50" s="84"/>
      <c r="P50" s="84"/>
    </row>
    <row r="51" spans="1:16" x14ac:dyDescent="0.35">
      <c r="A51" s="174"/>
      <c r="B51" s="173"/>
      <c r="C51" s="89" t="s">
        <v>244</v>
      </c>
      <c r="D51" s="194"/>
      <c r="E51" s="108"/>
      <c r="F51" s="89"/>
      <c r="G51" s="89" t="s">
        <v>467</v>
      </c>
      <c r="H51" s="89"/>
      <c r="I51" s="93" t="str">
        <f>IF(ISBLANK(E51),"",IF(Checks!I44=FALSE,"Not a number",IF(Checks!J44=FALSE,"Must be positive number","")))</f>
        <v/>
      </c>
      <c r="J51" s="93"/>
      <c r="K51" s="84"/>
      <c r="L51" s="84"/>
      <c r="M51" s="84"/>
      <c r="N51" s="84"/>
      <c r="O51" s="84"/>
      <c r="P51" s="84"/>
    </row>
    <row r="52" spans="1:16" x14ac:dyDescent="0.35">
      <c r="A52" s="174"/>
      <c r="B52" s="173"/>
      <c r="C52" s="89" t="s">
        <v>82</v>
      </c>
      <c r="D52" s="197"/>
      <c r="E52" s="108"/>
      <c r="F52" s="89"/>
      <c r="G52" s="89" t="s">
        <v>83</v>
      </c>
      <c r="H52" s="89"/>
      <c r="I52" s="93" t="str">
        <f>IF(ISBLANK(E52),"",IF(Checks!I45=FALSE,"Not a number",IF(Checks!J45=FALSE,"Must be positive number","")))</f>
        <v/>
      </c>
      <c r="J52" s="93"/>
      <c r="K52" s="84"/>
      <c r="L52" s="84"/>
      <c r="M52" s="84"/>
      <c r="N52" s="84"/>
      <c r="O52" s="84"/>
      <c r="P52" s="84"/>
    </row>
    <row r="53" spans="1:16" x14ac:dyDescent="0.35">
      <c r="A53" s="84"/>
      <c r="B53" s="84"/>
      <c r="C53" s="84"/>
      <c r="D53" s="87"/>
      <c r="E53" s="151"/>
      <c r="F53" s="84"/>
      <c r="G53" s="94"/>
      <c r="H53" s="84"/>
      <c r="I53" s="84"/>
      <c r="J53" s="84"/>
      <c r="K53" s="84"/>
      <c r="L53" s="84"/>
      <c r="M53" s="84"/>
      <c r="N53" s="84"/>
      <c r="O53" s="84"/>
      <c r="P53" s="84"/>
    </row>
    <row r="54" spans="1:16" s="159" customFormat="1" x14ac:dyDescent="0.35">
      <c r="A54" s="174"/>
      <c r="B54" s="88" t="s">
        <v>466</v>
      </c>
      <c r="C54" s="89" t="s">
        <v>95</v>
      </c>
      <c r="D54" s="90" t="s">
        <v>59</v>
      </c>
      <c r="E54" s="108">
        <v>1</v>
      </c>
      <c r="F54" s="89"/>
      <c r="G54" s="96" t="s">
        <v>97</v>
      </c>
      <c r="H54" s="89"/>
      <c r="I54" s="93"/>
      <c r="J54" s="93"/>
      <c r="K54" s="84"/>
      <c r="L54" s="84"/>
      <c r="M54" s="84"/>
      <c r="N54" s="84"/>
      <c r="O54" s="84"/>
      <c r="P54" s="84"/>
    </row>
    <row r="55" spans="1:16" s="159" customFormat="1" x14ac:dyDescent="0.35">
      <c r="A55" s="174"/>
      <c r="B55" s="158"/>
      <c r="C55" s="89" t="s">
        <v>465</v>
      </c>
      <c r="D55" s="90"/>
      <c r="E55" s="108">
        <v>298</v>
      </c>
      <c r="F55" s="89"/>
      <c r="G55" s="96" t="s">
        <v>198</v>
      </c>
      <c r="H55" s="89"/>
      <c r="I55" s="93"/>
      <c r="J55" s="93"/>
      <c r="K55" s="84"/>
      <c r="L55" s="84"/>
      <c r="M55" s="84"/>
      <c r="N55" s="84"/>
      <c r="O55" s="84"/>
      <c r="P55" s="84"/>
    </row>
    <row r="56" spans="1:16" s="159" customFormat="1" x14ac:dyDescent="0.35">
      <c r="A56" s="84"/>
      <c r="B56" s="84"/>
      <c r="C56" s="84"/>
      <c r="D56" s="87"/>
      <c r="E56" s="94"/>
      <c r="F56" s="84"/>
      <c r="G56" s="94"/>
      <c r="H56" s="84"/>
      <c r="I56" s="84"/>
      <c r="J56" s="84"/>
      <c r="K56" s="84"/>
      <c r="L56" s="84"/>
      <c r="M56" s="84"/>
      <c r="N56" s="84"/>
      <c r="O56" s="84"/>
      <c r="P56" s="84"/>
    </row>
    <row r="57" spans="1:16" ht="16.5" x14ac:dyDescent="0.45">
      <c r="A57" s="174"/>
      <c r="B57" s="88" t="s">
        <v>248</v>
      </c>
      <c r="C57" s="92" t="s">
        <v>249</v>
      </c>
      <c r="D57" s="90" t="s">
        <v>59</v>
      </c>
      <c r="E57" s="108">
        <v>0.64</v>
      </c>
      <c r="F57" s="89"/>
      <c r="G57" s="173" t="s">
        <v>226</v>
      </c>
      <c r="H57" s="89"/>
      <c r="I57" s="93" t="str">
        <f>IF(ISBLANK(E57),"",IF(Checks!I50=FALSE,"Not a number",IF(Checks!J50=FALSE,"Number must be between 0 and 1","")))</f>
        <v/>
      </c>
      <c r="J57" s="93" t="str">
        <f>IF(Checks!P50=FALSE,"Mole fraction must sum up to 1","")</f>
        <v/>
      </c>
      <c r="K57" s="84"/>
      <c r="L57" s="84"/>
      <c r="M57" s="84"/>
      <c r="N57" s="84"/>
      <c r="O57" s="84"/>
      <c r="P57" s="84"/>
    </row>
    <row r="58" spans="1:16" x14ac:dyDescent="0.35">
      <c r="A58" s="174"/>
      <c r="B58" s="89"/>
      <c r="C58" s="92" t="s">
        <v>208</v>
      </c>
      <c r="D58" s="90"/>
      <c r="E58" s="108">
        <v>0</v>
      </c>
      <c r="F58" s="89"/>
      <c r="G58" s="198"/>
      <c r="H58" s="89"/>
      <c r="I58" s="93" t="str">
        <f>IF(ISBLANK(E58),"",IF(Checks!I51=FALSE,"Not a number",IF(Checks!J51=FALSE,"Number must be between 0 and 1","")))</f>
        <v/>
      </c>
      <c r="J58" s="93"/>
      <c r="K58" s="84"/>
      <c r="L58" s="84"/>
      <c r="M58" s="84"/>
      <c r="N58" s="84"/>
      <c r="O58" s="84"/>
      <c r="P58" s="84"/>
    </row>
    <row r="59" spans="1:16" x14ac:dyDescent="0.35">
      <c r="A59" s="174"/>
      <c r="B59" s="89"/>
      <c r="C59" s="92" t="s">
        <v>209</v>
      </c>
      <c r="D59" s="90"/>
      <c r="E59" s="108">
        <v>0.16</v>
      </c>
      <c r="F59" s="89"/>
      <c r="G59" s="198"/>
      <c r="H59" s="89"/>
      <c r="I59" s="93" t="str">
        <f>IF(ISBLANK(E59),"",IF(Checks!I52=FALSE,"Not a number",IF(Checks!J52=FALSE,"Number must be between 0 and 1","")))</f>
        <v/>
      </c>
      <c r="J59" s="93"/>
      <c r="K59" s="84"/>
      <c r="L59" s="84"/>
      <c r="M59" s="84"/>
      <c r="N59" s="84"/>
      <c r="O59" s="84"/>
      <c r="P59" s="84"/>
    </row>
    <row r="60" spans="1:16" x14ac:dyDescent="0.35">
      <c r="A60" s="174"/>
      <c r="B60" s="89"/>
      <c r="C60" s="92"/>
      <c r="D60" s="90"/>
      <c r="E60" s="108"/>
      <c r="F60" s="89"/>
      <c r="G60" s="198"/>
      <c r="H60" s="89"/>
      <c r="I60" s="93" t="str">
        <f>IF(ISBLANK(E60),"",IF(Checks!I53=FALSE,"Not a number",IF(Checks!J53=FALSE,"Number must be between 0 and 1","")))</f>
        <v/>
      </c>
      <c r="J60" s="93"/>
      <c r="K60" s="84"/>
      <c r="L60" s="84"/>
      <c r="M60" s="84"/>
      <c r="N60" s="84"/>
      <c r="O60" s="84"/>
      <c r="P60" s="84"/>
    </row>
    <row r="61" spans="1:16" x14ac:dyDescent="0.35">
      <c r="A61" s="174"/>
      <c r="B61" s="89"/>
      <c r="C61" s="92"/>
      <c r="D61" s="90"/>
      <c r="E61" s="108"/>
      <c r="F61" s="89"/>
      <c r="G61" s="198"/>
      <c r="H61" s="89"/>
      <c r="I61" s="93" t="str">
        <f>IF(ISBLANK(E61),"",IF(Checks!I54=FALSE,"Not a number",IF(Checks!J54=FALSE,"Number must be between 0 and 1","")))</f>
        <v/>
      </c>
      <c r="J61" s="93"/>
      <c r="K61" s="84"/>
      <c r="L61" s="84"/>
      <c r="M61" s="84"/>
      <c r="N61" s="84"/>
      <c r="O61" s="84"/>
      <c r="P61" s="84"/>
    </row>
    <row r="62" spans="1:16" x14ac:dyDescent="0.35">
      <c r="A62" s="174"/>
      <c r="B62" s="89"/>
      <c r="C62" s="92"/>
      <c r="D62" s="90"/>
      <c r="E62" s="108"/>
      <c r="F62" s="89"/>
      <c r="G62" s="198"/>
      <c r="H62" s="89"/>
      <c r="I62" s="93" t="str">
        <f>IF(ISBLANK(E62),"",IF(Checks!I55=FALSE,"Not a number",IF(Checks!J55=FALSE,"Number must be between 0 and 1","")))</f>
        <v/>
      </c>
      <c r="J62" s="93"/>
      <c r="K62" s="84"/>
      <c r="L62" s="84"/>
      <c r="M62" s="84"/>
      <c r="N62" s="84"/>
      <c r="O62" s="84"/>
      <c r="P62" s="84"/>
    </row>
    <row r="63" spans="1:16" x14ac:dyDescent="0.35">
      <c r="A63" s="174"/>
      <c r="B63" s="89"/>
      <c r="C63" s="92" t="s">
        <v>247</v>
      </c>
      <c r="D63" s="90"/>
      <c r="E63" s="108">
        <v>0.2</v>
      </c>
      <c r="F63" s="89"/>
      <c r="G63" s="198"/>
      <c r="H63" s="89"/>
      <c r="I63" s="93" t="str">
        <f>IF(ISBLANK(E63),"",IF(Checks!I56=FALSE,"Not a number",IF(Checks!J56=FALSE,"Number must be between 0 and 1","")))</f>
        <v/>
      </c>
      <c r="J63" s="93"/>
      <c r="K63" s="84"/>
      <c r="L63" s="84"/>
      <c r="M63" s="84"/>
      <c r="N63" s="84"/>
      <c r="O63" s="84"/>
      <c r="P63" s="84"/>
    </row>
    <row r="64" spans="1:16" x14ac:dyDescent="0.35">
      <c r="A64" s="174"/>
      <c r="B64" s="89"/>
      <c r="C64" s="92"/>
      <c r="D64" s="90"/>
      <c r="E64" s="108"/>
      <c r="F64" s="89"/>
      <c r="G64" s="198"/>
      <c r="H64" s="89"/>
      <c r="I64" s="93" t="str">
        <f>IF(ISBLANK(E64),"",IF(Checks!I57=FALSE,"Not a number",IF(Checks!J57=FALSE,"Number must be between 0 and 1","")))</f>
        <v/>
      </c>
      <c r="J64" s="93"/>
      <c r="K64" s="84"/>
      <c r="L64" s="84"/>
      <c r="M64" s="84"/>
      <c r="N64" s="84"/>
      <c r="O64" s="84"/>
      <c r="P64" s="84"/>
    </row>
    <row r="65" spans="1:16" x14ac:dyDescent="0.35">
      <c r="A65" s="174"/>
      <c r="B65" s="89"/>
      <c r="C65" s="92"/>
      <c r="D65" s="90"/>
      <c r="E65" s="108"/>
      <c r="F65" s="89"/>
      <c r="G65" s="198"/>
      <c r="H65" s="89"/>
      <c r="I65" s="93" t="str">
        <f>IF(ISBLANK(E65),"",IF(Checks!I58=FALSE,"Not a number",IF(Checks!J58=FALSE,"Number must be between 0 and 1","")))</f>
        <v/>
      </c>
      <c r="J65" s="93"/>
      <c r="K65" s="84"/>
      <c r="L65" s="84"/>
      <c r="M65" s="84"/>
      <c r="N65" s="84"/>
      <c r="O65" s="84"/>
      <c r="P65" s="84"/>
    </row>
    <row r="66" spans="1:16" x14ac:dyDescent="0.35">
      <c r="A66" s="174"/>
      <c r="B66" s="89"/>
      <c r="C66" s="92"/>
      <c r="D66" s="90"/>
      <c r="E66" s="108"/>
      <c r="F66" s="89"/>
      <c r="G66" s="198"/>
      <c r="H66" s="89"/>
      <c r="I66" s="93" t="str">
        <f>IF(ISBLANK(E66),"",IF(Checks!I59=FALSE,"Not a number",IF(Checks!J59=FALSE,"Number must be between 0 and 1","")))</f>
        <v/>
      </c>
      <c r="J66" s="93"/>
      <c r="K66" s="84"/>
      <c r="L66" s="84"/>
      <c r="M66" s="84"/>
      <c r="N66" s="84"/>
      <c r="O66" s="84"/>
      <c r="P66" s="84"/>
    </row>
    <row r="67" spans="1:16" x14ac:dyDescent="0.35">
      <c r="A67" s="84"/>
      <c r="B67" s="86"/>
      <c r="C67" s="84"/>
      <c r="D67" s="84"/>
      <c r="E67" s="151"/>
      <c r="F67" s="84"/>
      <c r="G67" s="94"/>
      <c r="H67" s="84"/>
      <c r="I67" s="84"/>
      <c r="J67" s="84"/>
      <c r="K67" s="84"/>
      <c r="L67" s="84"/>
      <c r="M67" s="84"/>
      <c r="N67" s="84"/>
      <c r="O67" s="84"/>
      <c r="P67" s="84"/>
    </row>
    <row r="68" spans="1:16" x14ac:dyDescent="0.35">
      <c r="A68" s="174"/>
      <c r="B68" s="91" t="s">
        <v>233</v>
      </c>
      <c r="C68" s="89" t="s">
        <v>227</v>
      </c>
      <c r="D68" s="90" t="s">
        <v>59</v>
      </c>
      <c r="E68" s="108" t="s">
        <v>237</v>
      </c>
      <c r="F68" s="89"/>
      <c r="G68" s="97"/>
      <c r="H68" s="89"/>
      <c r="I68" s="89" t="str">
        <f>IF(ISBLANK(E68),"",IF(Checks!I61=FALSE,"Must be 'yes' or 'no'",""))</f>
        <v/>
      </c>
      <c r="J68" s="93" t="str">
        <f>IF(AND(IF(thermal_mode="yes",TRUE,FALSE),IF(E69="yes",TRUE,FALSE)),"'isothermal' and 'adiabatic' must not both be true","")</f>
        <v/>
      </c>
      <c r="K68" s="84"/>
      <c r="L68" s="84"/>
      <c r="M68" s="84"/>
      <c r="N68" s="84"/>
      <c r="O68" s="84"/>
      <c r="P68" s="84"/>
    </row>
    <row r="69" spans="1:16" s="142" customFormat="1" x14ac:dyDescent="0.35">
      <c r="A69" s="174"/>
      <c r="B69" s="91"/>
      <c r="C69" s="89" t="s">
        <v>385</v>
      </c>
      <c r="D69" s="141" t="s">
        <v>59</v>
      </c>
      <c r="E69" s="108" t="s">
        <v>394</v>
      </c>
      <c r="F69" s="89"/>
      <c r="G69" s="97"/>
      <c r="H69" s="89"/>
      <c r="I69" s="89" t="str">
        <f>IF(ISBLANK(E69),"",IF(Checks!I62=FALSE,"Must be 'yes' or 'no'",""))</f>
        <v/>
      </c>
      <c r="J69" s="93"/>
      <c r="K69" s="84"/>
      <c r="L69" s="84"/>
      <c r="M69" s="84"/>
      <c r="N69" s="84"/>
      <c r="O69" s="84"/>
      <c r="P69" s="84"/>
    </row>
    <row r="70" spans="1:16" x14ac:dyDescent="0.35">
      <c r="A70" s="174"/>
      <c r="B70" s="89"/>
      <c r="C70" s="89" t="s">
        <v>461</v>
      </c>
      <c r="D70" s="90" t="s">
        <v>59</v>
      </c>
      <c r="E70" s="108" t="s">
        <v>394</v>
      </c>
      <c r="F70" s="89"/>
      <c r="G70" s="97"/>
      <c r="H70" s="89"/>
      <c r="I70" s="89" t="str">
        <f>IF(ISBLANK(E70),"",IF(Checks!I63=FALSE,"Must be 'yes' or 'no'",""))</f>
        <v/>
      </c>
      <c r="J70" s="93"/>
      <c r="K70" s="84"/>
      <c r="L70" s="84"/>
      <c r="M70" s="84"/>
      <c r="N70" s="84"/>
      <c r="O70" s="84"/>
      <c r="P70" s="84"/>
    </row>
    <row r="71" spans="1:16" x14ac:dyDescent="0.35">
      <c r="A71" s="84"/>
      <c r="B71" s="87" t="s">
        <v>245</v>
      </c>
      <c r="C71" s="84"/>
      <c r="D71" s="84"/>
      <c r="E71" s="151"/>
      <c r="F71" s="84"/>
      <c r="G71" s="94"/>
      <c r="H71" s="84"/>
      <c r="I71" s="84"/>
      <c r="J71" s="84"/>
      <c r="K71" s="84"/>
      <c r="L71" s="84"/>
      <c r="M71" s="84"/>
      <c r="N71" s="84"/>
      <c r="O71" s="84"/>
      <c r="P71" s="84"/>
    </row>
    <row r="72" spans="1:16" x14ac:dyDescent="0.35">
      <c r="A72" s="195" t="s">
        <v>240</v>
      </c>
      <c r="B72" s="195"/>
      <c r="C72" s="195"/>
      <c r="D72" s="195"/>
      <c r="E72" s="195"/>
      <c r="F72" s="84"/>
      <c r="G72" s="94"/>
      <c r="H72" s="84"/>
      <c r="I72" s="195" t="str">
        <f>IF(AND(Checks!P23,Checks!P11,Checks!P30,Checks!P34,Checks!P42,Checks!P50,Checks!P61,Checks!P9),"YES","NO")</f>
        <v>YES</v>
      </c>
      <c r="J72" s="84"/>
      <c r="K72" s="84"/>
      <c r="L72" s="84"/>
      <c r="M72" s="84"/>
      <c r="N72" s="84"/>
      <c r="O72" s="84"/>
      <c r="P72" s="84"/>
    </row>
    <row r="73" spans="1:16" x14ac:dyDescent="0.35">
      <c r="A73" s="195"/>
      <c r="B73" s="195"/>
      <c r="C73" s="195"/>
      <c r="D73" s="195"/>
      <c r="E73" s="195"/>
      <c r="F73" s="84"/>
      <c r="G73" s="94"/>
      <c r="H73" s="84"/>
      <c r="I73" s="195"/>
      <c r="J73" s="84"/>
      <c r="K73" s="84"/>
      <c r="L73" s="84"/>
      <c r="M73" s="84"/>
      <c r="N73" s="84"/>
      <c r="O73" s="84"/>
      <c r="P73" s="84"/>
    </row>
    <row r="74" spans="1:16" x14ac:dyDescent="0.35">
      <c r="A74" s="195"/>
      <c r="B74" s="195"/>
      <c r="C74" s="195"/>
      <c r="D74" s="195"/>
      <c r="E74" s="195"/>
      <c r="F74" s="84"/>
      <c r="G74" s="94"/>
      <c r="H74" s="84"/>
      <c r="I74" s="195"/>
      <c r="J74" s="84"/>
      <c r="K74" s="84"/>
      <c r="L74" s="84"/>
      <c r="M74" s="84"/>
      <c r="N74" s="84"/>
      <c r="O74" s="84"/>
      <c r="P74" s="84"/>
    </row>
    <row r="75" spans="1:16" x14ac:dyDescent="0.35">
      <c r="A75" s="84"/>
      <c r="B75" s="84"/>
      <c r="C75" s="84"/>
      <c r="D75" s="84"/>
      <c r="E75" s="151"/>
      <c r="F75" s="84"/>
      <c r="G75" s="94"/>
      <c r="H75" s="84"/>
      <c r="I75" s="84"/>
      <c r="J75" s="84"/>
      <c r="K75" s="84"/>
      <c r="L75" s="84"/>
      <c r="M75" s="84"/>
      <c r="N75" s="84"/>
      <c r="O75" s="84"/>
      <c r="P75" s="84"/>
    </row>
    <row r="76" spans="1:16" ht="15" thickBot="1" x14ac:dyDescent="0.4">
      <c r="A76" s="84"/>
      <c r="B76" s="84"/>
      <c r="C76" s="84"/>
      <c r="D76" s="84"/>
      <c r="E76" s="151"/>
      <c r="F76" s="84"/>
      <c r="G76" s="94"/>
      <c r="H76" s="84"/>
      <c r="I76" s="84"/>
      <c r="J76" s="84"/>
      <c r="K76" s="84"/>
      <c r="L76" s="84"/>
      <c r="M76" s="84"/>
      <c r="N76" s="84"/>
      <c r="O76" s="84"/>
      <c r="P76" s="84"/>
    </row>
    <row r="77" spans="1:16" x14ac:dyDescent="0.35">
      <c r="A77" s="84"/>
      <c r="B77" s="84"/>
      <c r="C77" s="132" t="s">
        <v>518</v>
      </c>
      <c r="D77" s="178"/>
      <c r="E77" s="178"/>
      <c r="F77" s="178"/>
      <c r="G77" s="178"/>
      <c r="H77" s="178"/>
      <c r="I77" s="179"/>
      <c r="J77" s="84"/>
      <c r="K77" s="84"/>
      <c r="L77" s="84"/>
      <c r="M77" s="84"/>
      <c r="N77" s="84"/>
      <c r="O77" s="84"/>
      <c r="P77" s="84"/>
    </row>
    <row r="78" spans="1:16" ht="15" thickBot="1" x14ac:dyDescent="0.4">
      <c r="A78" s="84"/>
      <c r="B78" s="84"/>
      <c r="C78" s="134" t="s">
        <v>519</v>
      </c>
      <c r="D78" s="189"/>
      <c r="E78" s="190"/>
      <c r="F78" s="190"/>
      <c r="G78" s="190"/>
      <c r="H78" s="190"/>
      <c r="I78" s="191"/>
      <c r="J78" s="84"/>
      <c r="K78" s="84"/>
      <c r="L78" s="84"/>
      <c r="M78" s="84"/>
      <c r="N78" s="84"/>
      <c r="O78" s="84"/>
      <c r="P78" s="84"/>
    </row>
    <row r="79" spans="1:16" x14ac:dyDescent="0.35">
      <c r="A79" s="84"/>
      <c r="B79" s="84"/>
      <c r="C79" s="84"/>
      <c r="D79" s="84"/>
      <c r="E79" s="151"/>
      <c r="F79" s="84"/>
      <c r="G79" s="94"/>
      <c r="H79" s="84"/>
      <c r="I79" s="84"/>
      <c r="J79" s="84"/>
      <c r="K79" s="84"/>
      <c r="L79" s="84"/>
      <c r="M79" s="84"/>
      <c r="N79" s="84"/>
      <c r="O79" s="84"/>
      <c r="P79" s="84"/>
    </row>
    <row r="80" spans="1:16" x14ac:dyDescent="0.35">
      <c r="A80" s="84"/>
      <c r="B80" s="84"/>
      <c r="C80" s="84"/>
      <c r="D80" s="84"/>
      <c r="E80" s="151"/>
      <c r="F80" s="84"/>
      <c r="G80" s="94"/>
      <c r="H80" s="84"/>
      <c r="I80" s="84"/>
      <c r="J80" s="84"/>
      <c r="K80" s="84"/>
      <c r="L80" s="84"/>
      <c r="M80" s="84"/>
      <c r="N80" s="84"/>
      <c r="O80" s="84"/>
      <c r="P80" s="84"/>
    </row>
    <row r="81" spans="1:16" x14ac:dyDescent="0.35">
      <c r="A81" s="84"/>
      <c r="B81" s="84"/>
      <c r="C81" s="84"/>
      <c r="D81" s="84"/>
      <c r="E81" s="151"/>
      <c r="F81" s="84"/>
      <c r="G81" s="94"/>
      <c r="H81" s="84"/>
      <c r="I81" s="84"/>
      <c r="J81" s="84"/>
      <c r="K81" s="84"/>
      <c r="L81" s="84"/>
      <c r="M81" s="84"/>
      <c r="N81" s="84"/>
      <c r="O81" s="84"/>
      <c r="P81" s="84"/>
    </row>
  </sheetData>
  <mergeCells count="32">
    <mergeCell ref="D77:I77"/>
    <mergeCell ref="D78:I78"/>
    <mergeCell ref="D12:I12"/>
    <mergeCell ref="A30:A35"/>
    <mergeCell ref="D31:D33"/>
    <mergeCell ref="A37:A39"/>
    <mergeCell ref="I72:I74"/>
    <mergeCell ref="A72:E74"/>
    <mergeCell ref="A68:A70"/>
    <mergeCell ref="D49:D52"/>
    <mergeCell ref="G57:G66"/>
    <mergeCell ref="A49:A52"/>
    <mergeCell ref="A57:A66"/>
    <mergeCell ref="A41:A47"/>
    <mergeCell ref="D41:D47"/>
    <mergeCell ref="A54:A55"/>
    <mergeCell ref="D7:I7"/>
    <mergeCell ref="D8:I8"/>
    <mergeCell ref="D9:I9"/>
    <mergeCell ref="D10:I10"/>
    <mergeCell ref="D11:I11"/>
    <mergeCell ref="D2:I2"/>
    <mergeCell ref="D3:I3"/>
    <mergeCell ref="D4:I4"/>
    <mergeCell ref="D5:I5"/>
    <mergeCell ref="D6:I6"/>
    <mergeCell ref="J41:J47"/>
    <mergeCell ref="A18:A28"/>
    <mergeCell ref="B50:B52"/>
    <mergeCell ref="J30:J32"/>
    <mergeCell ref="D25:D26"/>
    <mergeCell ref="J25:J26"/>
  </mergeCells>
  <conditionalFormatting sqref="I72 A72">
    <cfRule type="expression" dxfId="54" priority="51">
      <formula>$I$72="NO"</formula>
    </cfRule>
    <cfRule type="expression" dxfId="53" priority="52">
      <formula>$I$72="YES"</formula>
    </cfRule>
  </conditionalFormatting>
  <hyperlinks>
    <hyperlink ref="D12" r:id="rId1" xr:uid="{48D90CAA-1EB4-4B24-B7FC-3268405E8F89}"/>
    <hyperlink ref="D2" r:id="rId2" xr:uid="{1BA660AC-74A2-44CF-A746-5C345E22CA00}"/>
  </hyperlinks>
  <pageMargins left="0.7" right="0.7" top="0.75" bottom="0.75" header="0.3" footer="0.3"/>
  <pageSetup paperSize="9" orientation="portrait" r:id="rId3"/>
  <legacyDrawing r:id="rId4"/>
  <extLst>
    <ext xmlns:x14="http://schemas.microsoft.com/office/spreadsheetml/2009/9/main" uri="{78C0D931-6437-407d-A8EE-F0AAD7539E65}">
      <x14:conditionalFormattings>
        <x14:conditionalFormatting xmlns:xm="http://schemas.microsoft.com/office/excel/2006/main">
          <x14:cfRule type="expression" priority="187" id="{00000000-000E-0000-0000-000007000000}">
            <xm:f>Checks!N22=TRUE</xm:f>
            <x14:dxf>
              <fill>
                <patternFill patternType="solid">
                  <fgColor auto="1"/>
                  <bgColor theme="0" tint="-0.14996795556505021"/>
                </patternFill>
              </fill>
            </x14:dxf>
          </x14:cfRule>
          <xm:sqref>E37 E28</xm:sqref>
        </x14:conditionalFormatting>
        <x14:conditionalFormatting xmlns:xm="http://schemas.microsoft.com/office/excel/2006/main">
          <x14:cfRule type="expression" priority="205" id="{A9E65347-9136-45CC-A4EB-306FF5AC5376}">
            <xm:f>AND(Checks!N22=FALSE,NOT(ISBLANK(E28)))</xm:f>
            <x14:dxf>
              <fill>
                <patternFill>
                  <bgColor rgb="FFFF0000"/>
                </patternFill>
              </fill>
            </x14:dxf>
          </x14:cfRule>
          <xm:sqref>E37 E28</xm:sqref>
        </x14:conditionalFormatting>
        <x14:conditionalFormatting xmlns:xm="http://schemas.microsoft.com/office/excel/2006/main">
          <x14:cfRule type="expression" priority="676" id="{00000000-000E-0000-0000-000003000000}">
            <xm:f>Checks!P63=FALSE</xm:f>
            <x14:dxf>
              <fill>
                <patternFill>
                  <bgColor rgb="FFFF0000"/>
                </patternFill>
              </fill>
            </x14:dxf>
          </x14:cfRule>
          <x14:cfRule type="expression" priority="677" id="{00000000-000E-0000-0000-000004000000}">
            <xm:f>Checks!P63=TRUE</xm:f>
            <x14:dxf>
              <fill>
                <patternFill>
                  <bgColor rgb="FF92D050"/>
                </patternFill>
              </fill>
            </x14:dxf>
          </x14:cfRule>
          <xm:sqref>A69</xm:sqref>
        </x14:conditionalFormatting>
        <x14:conditionalFormatting xmlns:xm="http://schemas.microsoft.com/office/excel/2006/main">
          <x14:cfRule type="expression" priority="703" id="{00000000-000E-0000-0000-000007000000}">
            <xm:f>Checks!N49=TRUE</xm:f>
            <x14:dxf>
              <fill>
                <patternFill patternType="solid">
                  <fgColor auto="1"/>
                  <bgColor theme="0" tint="-0.14996795556505021"/>
                </patternFill>
              </fill>
            </x14:dxf>
          </x14:cfRule>
          <xm:sqref>E53</xm:sqref>
        </x14:conditionalFormatting>
        <x14:conditionalFormatting xmlns:xm="http://schemas.microsoft.com/office/excel/2006/main">
          <x14:cfRule type="expression" priority="704" id="{A9E65347-9136-45CC-A4EB-306FF5AC5376}">
            <xm:f>AND(Checks!N9=FALSE,NOT(ISBLANK(E16)))</xm:f>
            <x14:dxf>
              <fill>
                <patternFill>
                  <bgColor rgb="FFFF0000"/>
                </patternFill>
              </fill>
            </x14:dxf>
          </x14:cfRule>
          <xm:sqref>E57:E66 E68:E70 E49:E52 E16 E18:E27 E37:E39 E30:E35 E41:E47 E54:E55</xm:sqref>
        </x14:conditionalFormatting>
        <x14:conditionalFormatting xmlns:xm="http://schemas.microsoft.com/office/excel/2006/main">
          <x14:cfRule type="expression" priority="705" id="{00000000-000E-0000-0000-000003000000}">
            <xm:f>Checks!P9=FALSE</xm:f>
            <x14:dxf>
              <fill>
                <patternFill>
                  <bgColor rgb="FFFF0000"/>
                </patternFill>
              </fill>
            </x14:dxf>
          </x14:cfRule>
          <x14:cfRule type="expression" priority="706" id="{00000000-000E-0000-0000-000004000000}">
            <xm:f>Checks!P9=TRUE</xm:f>
            <x14:dxf>
              <fill>
                <patternFill>
                  <bgColor rgb="FF92D050"/>
                </patternFill>
              </fill>
            </x14:dxf>
          </x14:cfRule>
          <xm:sqref>A57:A62 A49:A52 A16 A18 A41 A37:A39 A30 A70 A68</xm:sqref>
        </x14:conditionalFormatting>
        <x14:conditionalFormatting xmlns:xm="http://schemas.microsoft.com/office/excel/2006/main">
          <x14:cfRule type="expression" priority="800" id="{00000000-000E-0000-0000-000007000000}">
            <xm:f>Checks!#REF!=TRUE</xm:f>
            <x14:dxf>
              <fill>
                <patternFill patternType="solid">
                  <fgColor auto="1"/>
                  <bgColor theme="0" tint="-0.14996795556505021"/>
                </patternFill>
              </fill>
            </x14:dxf>
          </x14:cfRule>
          <xm:sqref>E36</xm:sqref>
        </x14:conditionalFormatting>
        <x14:conditionalFormatting xmlns:xm="http://schemas.microsoft.com/office/excel/2006/main">
          <x14:cfRule type="expression" priority="812" id="{00000000-000E-0000-0000-000007000000}">
            <xm:f>Checks!N9=TRUE</xm:f>
            <x14:dxf>
              <fill>
                <patternFill patternType="solid">
                  <fgColor auto="1"/>
                  <bgColor theme="0" tint="-0.14996795556505021"/>
                </patternFill>
              </fill>
            </x14:dxf>
          </x14:cfRule>
          <xm:sqref>E54:E55 E57:E70 E37:E39 E16 E18:E27 E30:E35 E41:E52</xm:sqref>
        </x14:conditionalFormatting>
        <x14:conditionalFormatting xmlns:xm="http://schemas.microsoft.com/office/excel/2006/main">
          <x14:cfRule type="expression" priority="820" id="{00000000-000E-0000-0000-000003000000}">
            <xm:f>Checks!P50=FALSE</xm:f>
            <x14:dxf>
              <fill>
                <patternFill>
                  <bgColor rgb="FFFF0000"/>
                </patternFill>
              </fill>
            </x14:dxf>
          </x14:cfRule>
          <x14:cfRule type="expression" priority="821" id="{00000000-000E-0000-0000-000004000000}">
            <xm:f>Checks!P50=TRUE</xm:f>
            <x14:dxf>
              <fill>
                <patternFill>
                  <bgColor rgb="FF92D050"/>
                </patternFill>
              </fill>
            </x14:dxf>
          </x14:cfRule>
          <xm:sqref>A54:A55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22694E59-159D-47FC-B831-A2142A0F7E86}">
          <x14:formula1>
            <xm:f>Dropdowns!$A$1:$A$2</xm:f>
          </x14:formula1>
          <xm:sqref>E68 E69:E70</xm:sqref>
        </x14:dataValidation>
        <x14:dataValidation type="list" allowBlank="1" showInputMessage="1" showErrorMessage="1" xr:uid="{B63851F7-6511-4630-8EC8-E0867A1FCECE}">
          <x14:formula1>
            <xm:f>Dropdowns!$C$1:$C$2</xm:f>
          </x14:formula1>
          <xm:sqref>E16</xm:sqref>
        </x14:dataValidation>
        <x14:dataValidation type="list" allowBlank="1" showInputMessage="1" showErrorMessage="1" xr:uid="{CBAA40A4-9C8F-4DF0-8FBD-7190954D5508}">
          <x14:formula1>
            <xm:f>Calculations!$K$5:$K$19</xm:f>
          </x14:formula1>
          <xm:sqref>E37</xm:sqref>
        </x14:dataValidation>
        <x14:dataValidation type="list" allowBlank="1" showInputMessage="1" showErrorMessage="1" xr:uid="{B1DC9965-BEB3-4C62-8B15-6C9E58C77266}">
          <x14:formula1>
            <xm:f>Dropdowns!$E$1:$E$2</xm:f>
          </x14:formula1>
          <xm:sqref>E22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EB69F-B39F-4D38-94B4-B6D8D4444D92}">
  <dimension ref="A1:G9"/>
  <sheetViews>
    <sheetView workbookViewId="0">
      <selection activeCell="D8" sqref="D8"/>
    </sheetView>
  </sheetViews>
  <sheetFormatPr baseColWidth="10" defaultColWidth="8.81640625" defaultRowHeight="14.5" x14ac:dyDescent="0.35"/>
  <cols>
    <col min="1" max="1" width="9.1796875" style="128"/>
    <col min="2" max="2" width="9.1796875" style="130"/>
  </cols>
  <sheetData>
    <row r="1" spans="1:7" s="172" customFormat="1" x14ac:dyDescent="0.35">
      <c r="A1" s="102"/>
      <c r="B1" s="199" t="s">
        <v>535</v>
      </c>
      <c r="C1" s="199"/>
      <c r="D1" s="199"/>
      <c r="E1" s="199" t="s">
        <v>532</v>
      </c>
      <c r="F1" s="199"/>
    </row>
    <row r="2" spans="1:7" s="172" customFormat="1" x14ac:dyDescent="0.35">
      <c r="A2" s="102"/>
      <c r="B2" s="102"/>
      <c r="C2" s="102"/>
      <c r="D2" s="102"/>
    </row>
    <row r="3" spans="1:7" s="21" customFormat="1" x14ac:dyDescent="0.35">
      <c r="A3" s="127" t="s">
        <v>92</v>
      </c>
      <c r="B3" s="129" t="s">
        <v>542</v>
      </c>
      <c r="C3" s="21" t="s">
        <v>209</v>
      </c>
    </row>
    <row r="4" spans="1:7" x14ac:dyDescent="0.35">
      <c r="A4" s="128">
        <f>B4/273*Calculations!$B$14/pressure</f>
        <v>3.1717974519976287E-2</v>
      </c>
      <c r="B4" s="130">
        <v>522.29899999999998</v>
      </c>
      <c r="C4" s="105">
        <v>0.11545673125000003</v>
      </c>
      <c r="D4" s="105"/>
      <c r="E4" s="24"/>
      <c r="F4" s="24"/>
      <c r="G4" s="24"/>
    </row>
    <row r="5" spans="1:7" x14ac:dyDescent="0.35">
      <c r="A5" s="128">
        <f>B5/273*Calculations!$B$14/pressure</f>
        <v>3.4781197062498187E-2</v>
      </c>
      <c r="B5" s="130">
        <v>572.74099999999999</v>
      </c>
      <c r="C5" s="105">
        <v>0.54234384999999996</v>
      </c>
      <c r="D5" s="105"/>
      <c r="E5" s="105"/>
      <c r="F5" s="105"/>
      <c r="G5" s="105"/>
    </row>
    <row r="6" spans="1:7" x14ac:dyDescent="0.35">
      <c r="A6" s="128">
        <f>B6/273*Calculations!$B$14/pressure</f>
        <v>3.7838771936480879E-2</v>
      </c>
      <c r="B6" s="130">
        <v>623.09</v>
      </c>
      <c r="C6" s="105">
        <v>0.80216557500000008</v>
      </c>
      <c r="D6" s="105"/>
      <c r="E6" s="105"/>
      <c r="F6" s="105"/>
      <c r="G6" s="105"/>
    </row>
    <row r="7" spans="1:7" x14ac:dyDescent="0.35">
      <c r="A7" s="128">
        <f>B7/273*Calculations!$B$14/pressure</f>
        <v>4.0862278616372247E-2</v>
      </c>
      <c r="B7" s="130">
        <v>672.87800000000004</v>
      </c>
      <c r="C7" s="105">
        <v>0.77153493124999994</v>
      </c>
      <c r="D7" s="105"/>
      <c r="E7" s="105"/>
      <c r="F7" s="105"/>
      <c r="G7" s="105"/>
    </row>
    <row r="8" spans="1:7" x14ac:dyDescent="0.35">
      <c r="A8" s="128">
        <f>B8/273*Calculations!$B$14/pressure</f>
        <v>4.3911230168499377E-2</v>
      </c>
      <c r="B8" s="130">
        <v>723.08500000000004</v>
      </c>
      <c r="C8" s="105">
        <v>0.68921239374999999</v>
      </c>
      <c r="D8" s="105"/>
      <c r="E8" s="105"/>
      <c r="F8" s="105"/>
      <c r="G8" s="105"/>
    </row>
    <row r="9" spans="1:7" x14ac:dyDescent="0.35">
      <c r="A9" s="128">
        <f>B9/273*Calculations!$B$14/pressure</f>
        <v>4.6960060265389104E-2</v>
      </c>
      <c r="B9" s="130">
        <v>773.29</v>
      </c>
      <c r="C9" s="105">
        <v>0.61048820000000004</v>
      </c>
      <c r="D9" s="105"/>
      <c r="E9" s="105"/>
      <c r="F9" s="105"/>
      <c r="G9" s="105"/>
    </row>
  </sheetData>
  <mergeCells count="2">
    <mergeCell ref="B1:D1"/>
    <mergeCell ref="E1:F1"/>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0E1B118-09C1-43C1-B0F2-AAA475D265FB}">
          <x14:formula1>
            <xm:f>Dropdowns!$G$1:$G$3</xm:f>
          </x14:formula1>
          <xm:sqref>E1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C97C-6EDD-47C1-9C70-F610201CF0D5}">
  <dimension ref="A1:D48"/>
  <sheetViews>
    <sheetView workbookViewId="0">
      <selection activeCell="B43" sqref="B43"/>
    </sheetView>
  </sheetViews>
  <sheetFormatPr baseColWidth="10" defaultColWidth="8.81640625" defaultRowHeight="14.5" x14ac:dyDescent="0.35"/>
  <cols>
    <col min="1" max="1" width="54" customWidth="1"/>
    <col min="2" max="2" width="20.81640625" style="83" customWidth="1"/>
    <col min="3" max="3" width="13.1796875" style="139" customWidth="1"/>
    <col min="4" max="4" width="20.6328125" style="83" customWidth="1"/>
    <col min="9" max="9" width="21.81640625" customWidth="1"/>
  </cols>
  <sheetData>
    <row r="1" spans="1:4" s="137" customFormat="1" x14ac:dyDescent="0.35">
      <c r="A1" s="171" t="s">
        <v>357</v>
      </c>
      <c r="B1" s="98" t="s">
        <v>358</v>
      </c>
      <c r="C1" s="168" t="s">
        <v>359</v>
      </c>
      <c r="D1" s="83"/>
    </row>
    <row r="2" spans="1:4" x14ac:dyDescent="0.35">
      <c r="A2" s="171" t="s">
        <v>494</v>
      </c>
      <c r="B2" s="83" t="str">
        <f>IF(B21="spaci",wall_temperature,"{$data: T}")</f>
        <v>{$data: T}</v>
      </c>
      <c r="C2" s="168" t="str">
        <f>'User questionnaire'!G30</f>
        <v>K</v>
      </c>
    </row>
    <row r="3" spans="1:4" x14ac:dyDescent="0.35">
      <c r="A3" s="171" t="s">
        <v>495</v>
      </c>
      <c r="B3" s="83" t="str">
        <f>IF(B47="spaci",linear_velocity_calc,"{$data: u}")</f>
        <v>{$data: u}</v>
      </c>
      <c r="C3" s="168" t="s">
        <v>83</v>
      </c>
    </row>
    <row r="4" spans="1:4" x14ac:dyDescent="0.35">
      <c r="A4" s="171" t="str">
        <f>IF(ISBLANK('User questionnaire'!C57),"",_xlfn.CONCAT("initial.mole_fractions.",UPPER('User questionnaire'!C57)))</f>
        <v>initial.mole_fractions.H2</v>
      </c>
      <c r="B4" s="83">
        <f>IF(ISBLANK(species_1),"",species_1)</f>
        <v>0.64</v>
      </c>
      <c r="C4" s="168"/>
    </row>
    <row r="5" spans="1:4" x14ac:dyDescent="0.35">
      <c r="A5" s="171" t="str">
        <f>IF(ISBLANK('User questionnaire'!C58),"",_xlfn.CONCAT("initial.mole_fractions.",UPPER('User questionnaire'!C58)))</f>
        <v>initial.mole_fractions.CO</v>
      </c>
      <c r="B5" s="83">
        <f>IF(ISBLANK(species_2),"",species_2)</f>
        <v>0</v>
      </c>
      <c r="C5" s="168"/>
    </row>
    <row r="6" spans="1:4" x14ac:dyDescent="0.35">
      <c r="A6" s="171" t="str">
        <f>IF(ISBLANK('User questionnaire'!C59),"",_xlfn.CONCAT("initial.mole_fractions.",UPPER('User questionnaire'!C59)))</f>
        <v>initial.mole_fractions.CO2</v>
      </c>
      <c r="B6" s="83">
        <f>IF(ISBLANK(species_3),"",species_3)</f>
        <v>0.16</v>
      </c>
      <c r="C6" s="168"/>
    </row>
    <row r="7" spans="1:4" x14ac:dyDescent="0.35">
      <c r="A7" s="171" t="str">
        <f>IF(ISBLANK('User questionnaire'!C60),"",_xlfn.CONCAT("initial.mole_fractions.",UPPER('User questionnaire'!C60)))</f>
        <v/>
      </c>
      <c r="B7" s="83" t="str">
        <f>IF(ISBLANK(species_4),"",species_4)</f>
        <v/>
      </c>
      <c r="C7" s="168"/>
    </row>
    <row r="8" spans="1:4" x14ac:dyDescent="0.35">
      <c r="A8" s="171" t="str">
        <f>IF(ISBLANK('User questionnaire'!C61),"",_xlfn.CONCAT("initial.mole_fractions.",UPPER('User questionnaire'!C61)))</f>
        <v/>
      </c>
      <c r="B8" s="83" t="str">
        <f>IF(ISBLANK(species_5),"",species_5)</f>
        <v/>
      </c>
      <c r="C8" s="168"/>
    </row>
    <row r="9" spans="1:4" x14ac:dyDescent="0.35">
      <c r="A9" s="171" t="str">
        <f>IF(ISBLANK('User questionnaire'!C62),"",_xlfn.CONCAT("initial.mole_fractions.",UPPER('User questionnaire'!C62)))</f>
        <v/>
      </c>
      <c r="B9" s="83" t="str">
        <f>IF(ISBLANK(species_6),"",species_6)</f>
        <v/>
      </c>
      <c r="C9" s="168"/>
    </row>
    <row r="10" spans="1:4" x14ac:dyDescent="0.35">
      <c r="A10" s="171" t="str">
        <f>IF(ISBLANK('User questionnaire'!C63),"",_xlfn.CONCAT("initial.mole_fractions.",UPPER('User questionnaire'!C63)))</f>
        <v>initial.mole_fractions.AR</v>
      </c>
      <c r="B10" s="83">
        <f>IF(ISBLANK(species_7),"",species_7)</f>
        <v>0.2</v>
      </c>
      <c r="C10" s="168"/>
    </row>
    <row r="11" spans="1:4" x14ac:dyDescent="0.35">
      <c r="A11" s="171" t="str">
        <f>IF(ISBLANK('User questionnaire'!C64),"",_xlfn.CONCAT("initial.mole_fractions.",UPPER('User questionnaire'!C64)))</f>
        <v/>
      </c>
      <c r="B11" s="83" t="str">
        <f>IF(ISBLANK(species_8),"",species_8)</f>
        <v/>
      </c>
      <c r="C11" s="168"/>
    </row>
    <row r="12" spans="1:4" s="138" customFormat="1" x14ac:dyDescent="0.35">
      <c r="A12" s="171" t="str">
        <f>IF(ISBLANK('User questionnaire'!C65),"",_xlfn.CONCAT("initial.mole_fractions.",UPPER('User questionnaire'!C65)))</f>
        <v/>
      </c>
      <c r="B12" s="83" t="str">
        <f>IF(ISBLANK(species_9),"",species_9)</f>
        <v/>
      </c>
      <c r="C12" s="168"/>
      <c r="D12" s="83"/>
    </row>
    <row r="13" spans="1:4" s="138" customFormat="1" x14ac:dyDescent="0.35">
      <c r="A13" s="171" t="str">
        <f>IF(ISBLANK('User questionnaire'!C66),"",_xlfn.CONCAT("initial.mole_fractions.",UPPER('User questionnaire'!C66)))</f>
        <v/>
      </c>
      <c r="B13" s="83" t="str">
        <f>IF(ISBLANK(species_10),"",species_10)</f>
        <v/>
      </c>
      <c r="C13" s="168"/>
      <c r="D13" s="83"/>
    </row>
    <row r="14" spans="1:4" s="138" customFormat="1" x14ac:dyDescent="0.35">
      <c r="A14" s="171"/>
      <c r="B14" s="83"/>
      <c r="C14" s="168"/>
      <c r="D14" s="83"/>
    </row>
    <row r="15" spans="1:4" x14ac:dyDescent="0.35">
      <c r="A15" s="171" t="s">
        <v>496</v>
      </c>
      <c r="B15" s="83">
        <f>pressure</f>
        <v>1</v>
      </c>
      <c r="C15" s="168" t="str">
        <f>'User questionnaire'!G54</f>
        <v>bar</v>
      </c>
    </row>
    <row r="16" spans="1:4" x14ac:dyDescent="0.35">
      <c r="A16" s="171"/>
      <c r="C16" s="168"/>
    </row>
    <row r="17" spans="1:4" x14ac:dyDescent="0.35">
      <c r="A17" s="171" t="s">
        <v>497</v>
      </c>
      <c r="B17" s="83" t="s">
        <v>498</v>
      </c>
      <c r="C17" s="168"/>
    </row>
    <row r="18" spans="1:4" x14ac:dyDescent="0.35">
      <c r="A18" s="171" t="s">
        <v>499</v>
      </c>
      <c r="B18" s="83">
        <f>bed_diameter</f>
        <v>8.0000000000000002E-3</v>
      </c>
      <c r="C18" s="168" t="str">
        <f>'User questionnaire'!G19</f>
        <v>m</v>
      </c>
    </row>
    <row r="19" spans="1:4" x14ac:dyDescent="0.35">
      <c r="A19" s="171" t="s">
        <v>500</v>
      </c>
      <c r="B19" s="83" t="str">
        <f>'User questionnaire'!E22</f>
        <v>sphere</v>
      </c>
      <c r="C19" s="168"/>
    </row>
    <row r="20" spans="1:4" x14ac:dyDescent="0.35">
      <c r="A20" s="171" t="s">
        <v>501</v>
      </c>
      <c r="B20" s="83">
        <f>bed_length</f>
        <v>3.8304654839288362E-2</v>
      </c>
      <c r="C20" s="168" t="str">
        <f>'User questionnaire'!G18</f>
        <v>m</v>
      </c>
    </row>
    <row r="21" spans="1:4" x14ac:dyDescent="0.35">
      <c r="A21" s="171" t="s">
        <v>502</v>
      </c>
      <c r="B21" s="83">
        <f>bed_porosity</f>
        <v>37.700000000000003</v>
      </c>
      <c r="C21" s="168" t="str">
        <f>'User questionnaire'!G21</f>
        <v>%</v>
      </c>
    </row>
    <row r="22" spans="1:4" x14ac:dyDescent="0.35">
      <c r="A22" s="171" t="s">
        <v>503</v>
      </c>
      <c r="B22" s="83">
        <f>cat_diameter</f>
        <v>3.3500000000000001E-4</v>
      </c>
      <c r="C22" s="168" t="str">
        <f>'User questionnaire'!G24</f>
        <v>m</v>
      </c>
    </row>
    <row r="23" spans="1:4" s="142" customFormat="1" x14ac:dyDescent="0.35">
      <c r="A23" s="171" t="s">
        <v>504</v>
      </c>
      <c r="B23" s="83">
        <f>cat_therm_cond</f>
        <v>0</v>
      </c>
      <c r="C23" s="168" t="str">
        <f>'User questionnaire'!G25</f>
        <v>W/m K</v>
      </c>
      <c r="D23" s="83"/>
    </row>
    <row r="24" spans="1:4" x14ac:dyDescent="0.35">
      <c r="A24" s="171" t="s">
        <v>505</v>
      </c>
      <c r="B24" s="83">
        <f>'User questionnaire'!E26</f>
        <v>0</v>
      </c>
      <c r="C24" s="170" t="str">
        <f>'User questionnaire'!G26</f>
        <v>W/m K</v>
      </c>
    </row>
    <row r="25" spans="1:4" x14ac:dyDescent="0.35">
      <c r="A25" s="171" t="s">
        <v>506</v>
      </c>
      <c r="B25" s="83">
        <f>A_V_ratio</f>
        <v>11158.208955223879</v>
      </c>
      <c r="C25" s="168" t="s">
        <v>13</v>
      </c>
    </row>
    <row r="26" spans="1:4" s="157" customFormat="1" x14ac:dyDescent="0.35">
      <c r="A26" s="171" t="s">
        <v>507</v>
      </c>
      <c r="B26" s="83">
        <f>f_cat_geo</f>
        <v>37.202918284940672</v>
      </c>
      <c r="C26" s="168"/>
      <c r="D26" s="83"/>
    </row>
    <row r="27" spans="1:4" x14ac:dyDescent="0.35">
      <c r="A27" s="171" t="s">
        <v>508</v>
      </c>
      <c r="B27" s="83" t="str">
        <f>IF(B47="spaci",wall_temperature,"{$data: T}")</f>
        <v>{$data: T}</v>
      </c>
      <c r="C27" s="168" t="str">
        <f>'User questionnaire'!G30</f>
        <v>K</v>
      </c>
    </row>
    <row r="28" spans="1:4" x14ac:dyDescent="0.35">
      <c r="C28" s="168"/>
    </row>
    <row r="29" spans="1:4" x14ac:dyDescent="0.35">
      <c r="A29" s="171" t="s">
        <v>509</v>
      </c>
      <c r="B29" s="83">
        <f>wall_thickness</f>
        <v>0</v>
      </c>
      <c r="C29" s="168" t="str">
        <f>'User questionnaire'!G31</f>
        <v>m</v>
      </c>
    </row>
    <row r="30" spans="1:4" s="142" customFormat="1" x14ac:dyDescent="0.35">
      <c r="A30" s="171" t="s">
        <v>510</v>
      </c>
      <c r="B30" s="83">
        <f>wall_therm_cond</f>
        <v>0</v>
      </c>
      <c r="C30" s="170" t="str">
        <f>'User questionnaire'!G32</f>
        <v>W/m K</v>
      </c>
      <c r="D30" s="83"/>
    </row>
    <row r="31" spans="1:4" s="142" customFormat="1" x14ac:dyDescent="0.35">
      <c r="A31" s="171"/>
      <c r="B31" s="83"/>
      <c r="C31" s="168"/>
      <c r="D31" s="83"/>
    </row>
    <row r="32" spans="1:4" s="142" customFormat="1" x14ac:dyDescent="0.35">
      <c r="A32" s="171" t="s">
        <v>511</v>
      </c>
      <c r="B32" s="83">
        <f>'User questionnaire'!E33</f>
        <v>0</v>
      </c>
      <c r="C32" s="168" t="str">
        <f>'User questionnaire'!G33</f>
        <v>W/m2 K</v>
      </c>
      <c r="D32" s="83"/>
    </row>
    <row r="33" spans="1:4" x14ac:dyDescent="0.35">
      <c r="A33" s="171" t="s">
        <v>512</v>
      </c>
      <c r="B33" s="83">
        <f>'User questionnaire'!E34</f>
        <v>0</v>
      </c>
      <c r="C33" s="170" t="str">
        <f>'User questionnaire'!G34</f>
        <v>W/m2 K</v>
      </c>
    </row>
    <row r="34" spans="1:4" x14ac:dyDescent="0.35">
      <c r="A34" s="171" t="s">
        <v>513</v>
      </c>
      <c r="B34" s="83">
        <f>'User questionnaire'!E35</f>
        <v>0</v>
      </c>
      <c r="C34" s="170" t="str">
        <f>'User questionnaire'!G35</f>
        <v>W/m2</v>
      </c>
    </row>
    <row r="35" spans="1:4" s="142" customFormat="1" x14ac:dyDescent="0.35">
      <c r="B35" s="83"/>
      <c r="C35" s="168"/>
      <c r="D35" s="83"/>
    </row>
    <row r="36" spans="1:4" x14ac:dyDescent="0.35">
      <c r="A36" s="171"/>
      <c r="C36" s="168"/>
    </row>
    <row r="37" spans="1:4" s="142" customFormat="1" x14ac:dyDescent="0.35">
      <c r="A37" s="171" t="s">
        <v>514</v>
      </c>
      <c r="B37" s="83" t="str">
        <f>thermal_mode</f>
        <v>yes</v>
      </c>
      <c r="C37" s="168"/>
      <c r="D37" s="83"/>
    </row>
    <row r="38" spans="1:4" s="131" customFormat="1" x14ac:dyDescent="0.35">
      <c r="A38" s="171" t="s">
        <v>515</v>
      </c>
      <c r="B38" s="83" t="str">
        <f>'User questionnaire'!E69</f>
        <v>no</v>
      </c>
      <c r="C38" s="168"/>
      <c r="D38" s="83"/>
    </row>
    <row r="39" spans="1:4" s="131" customFormat="1" x14ac:dyDescent="0.35">
      <c r="A39" s="171" t="s">
        <v>516</v>
      </c>
      <c r="B39" s="83" t="str">
        <f>mass_transfer</f>
        <v>no</v>
      </c>
      <c r="C39" s="168"/>
      <c r="D39" s="83"/>
    </row>
    <row r="40" spans="1:4" s="131" customFormat="1" x14ac:dyDescent="0.35">
      <c r="A40" s="171"/>
      <c r="B40" s="83"/>
      <c r="C40" s="168"/>
      <c r="D40" s="83"/>
    </row>
    <row r="41" spans="1:4" s="131" customFormat="1" x14ac:dyDescent="0.35">
      <c r="A41" s="171"/>
      <c r="C41" s="168"/>
      <c r="D41" s="83"/>
    </row>
    <row r="42" spans="1:4" x14ac:dyDescent="0.35">
      <c r="A42" s="171" t="s">
        <v>334</v>
      </c>
      <c r="B42" s="83">
        <f>experiment_operators</f>
        <v>0</v>
      </c>
      <c r="C42" s="168"/>
    </row>
    <row r="43" spans="1:4" s="131" customFormat="1" x14ac:dyDescent="0.35">
      <c r="A43" s="171" t="s">
        <v>335</v>
      </c>
      <c r="B43" s="136">
        <f>experiment_date</f>
        <v>0</v>
      </c>
      <c r="C43" s="168"/>
      <c r="D43" s="83"/>
    </row>
    <row r="44" spans="1:4" x14ac:dyDescent="0.35">
      <c r="A44" s="171" t="s">
        <v>336</v>
      </c>
      <c r="B44" s="83" t="str">
        <f>catalyst_id</f>
        <v>10% Ni/MgAl2O4</v>
      </c>
      <c r="C44" s="168"/>
    </row>
    <row r="45" spans="1:4" x14ac:dyDescent="0.35">
      <c r="A45" s="171" t="s">
        <v>337</v>
      </c>
      <c r="B45" s="83" t="str">
        <f>experiment_name</f>
        <v>Experiment 17 - CO2 methanation  (thermal)</v>
      </c>
      <c r="C45" s="168"/>
    </row>
    <row r="46" spans="1:4" x14ac:dyDescent="0.35">
      <c r="A46" s="171" t="s">
        <v>382</v>
      </c>
      <c r="B46" s="83" t="s">
        <v>524</v>
      </c>
      <c r="C46" s="168"/>
    </row>
    <row r="47" spans="1:4" x14ac:dyDescent="0.35">
      <c r="A47" s="171" t="s">
        <v>440</v>
      </c>
      <c r="B47" s="83" t="str">
        <f>'User questionnaire'!E16</f>
        <v>end-of-pipe</v>
      </c>
    </row>
    <row r="48" spans="1:4" x14ac:dyDescent="0.35">
      <c r="A48" t="s">
        <v>536</v>
      </c>
      <c r="B48" s="83" t="str">
        <f>'Experimental data'!E1</f>
        <v>conversions</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47"/>
  <sheetViews>
    <sheetView topLeftCell="A18" workbookViewId="0">
      <selection activeCell="F37" sqref="F37"/>
    </sheetView>
  </sheetViews>
  <sheetFormatPr baseColWidth="10" defaultColWidth="8.81640625" defaultRowHeight="14.5" x14ac:dyDescent="0.35"/>
  <cols>
    <col min="1" max="1" width="18.81640625" customWidth="1"/>
    <col min="2" max="2" width="12" customWidth="1"/>
    <col min="3" max="3" width="11.453125"/>
    <col min="4" max="4" width="10.453125" customWidth="1"/>
    <col min="5" max="5" width="12.453125" customWidth="1"/>
    <col min="6" max="6" width="29.453125" customWidth="1"/>
    <col min="7" max="9" width="10.453125" customWidth="1"/>
    <col min="10" max="10" width="10.453125" style="107" customWidth="1"/>
    <col min="11" max="11" width="10.453125" style="101" customWidth="1"/>
    <col min="12" max="12" width="27.453125" style="102" customWidth="1"/>
    <col min="13" max="13" width="15" style="102" customWidth="1"/>
    <col min="14" max="14" width="19.36328125" style="103" customWidth="1"/>
    <col min="15" max="15" width="52" customWidth="1"/>
    <col min="16" max="1010" width="10.453125" customWidth="1"/>
  </cols>
  <sheetData>
    <row r="2" spans="1:16" ht="15" thickBot="1" x14ac:dyDescent="0.4">
      <c r="A2" s="91" t="s">
        <v>319</v>
      </c>
      <c r="B2" s="89"/>
      <c r="C2" s="89"/>
      <c r="F2" s="91" t="s">
        <v>320</v>
      </c>
      <c r="G2" s="89"/>
      <c r="H2" s="89"/>
      <c r="K2" s="101" t="s">
        <v>327</v>
      </c>
    </row>
    <row r="3" spans="1:16" ht="16.5" x14ac:dyDescent="0.35">
      <c r="A3" s="109" t="s">
        <v>313</v>
      </c>
      <c r="B3" s="110">
        <f>PI()*(bed_diameter/2)^2</f>
        <v>5.0265482457436686E-5</v>
      </c>
      <c r="C3" s="111" t="s">
        <v>292</v>
      </c>
      <c r="F3" s="109" t="s">
        <v>294</v>
      </c>
      <c r="G3" s="110"/>
      <c r="H3" s="111"/>
      <c r="L3" s="102" t="s">
        <v>352</v>
      </c>
      <c r="M3" s="102" t="s">
        <v>353</v>
      </c>
      <c r="N3" s="103" t="s">
        <v>354</v>
      </c>
      <c r="O3" s="104" t="s">
        <v>355</v>
      </c>
    </row>
    <row r="4" spans="1:16" ht="16.5" x14ac:dyDescent="0.35">
      <c r="A4" s="112" t="s">
        <v>76</v>
      </c>
      <c r="B4" s="113">
        <f>GHSV</f>
        <v>0</v>
      </c>
      <c r="C4" s="114" t="str">
        <f>'User questionnaire'!G49</f>
        <v>1/h</v>
      </c>
      <c r="F4" s="112" t="s">
        <v>283</v>
      </c>
      <c r="G4" s="113">
        <f>bed_length*PI()*(bed_diameter/2)*(bed_diameter/2)</f>
        <v>1.9254019558624166E-6</v>
      </c>
      <c r="H4" s="114" t="s">
        <v>285</v>
      </c>
      <c r="L4" s="102" t="s">
        <v>326</v>
      </c>
      <c r="M4" s="102" t="s">
        <v>325</v>
      </c>
      <c r="N4" s="103" t="s">
        <v>324</v>
      </c>
    </row>
    <row r="5" spans="1:16" x14ac:dyDescent="0.35">
      <c r="A5" s="112" t="s">
        <v>203</v>
      </c>
      <c r="B5" s="113">
        <f>WHSV</f>
        <v>15000</v>
      </c>
      <c r="C5" s="114" t="str">
        <f>'User questionnaire'!G50</f>
        <v>ml/g h</v>
      </c>
      <c r="F5" s="112" t="s">
        <v>284</v>
      </c>
      <c r="G5" s="113">
        <f>IF('User questionnaire'!E22="sphere",4/3*PI()*(cat_diameter/2)^3,PI()*(cat_diameter/2)^2*'User questionnaire'!E23)</f>
        <v>1.9684892318158896E-11</v>
      </c>
      <c r="H5" s="114" t="s">
        <v>285</v>
      </c>
      <c r="K5" s="101" t="s">
        <v>192</v>
      </c>
      <c r="L5" s="102">
        <v>2.5581395348837209E-5</v>
      </c>
      <c r="M5" s="102">
        <v>8908</v>
      </c>
      <c r="N5" s="103">
        <v>5.8689999999999999E-2</v>
      </c>
      <c r="O5" s="104"/>
    </row>
    <row r="6" spans="1:16" x14ac:dyDescent="0.35">
      <c r="A6" s="112" t="s">
        <v>205</v>
      </c>
      <c r="B6" s="113">
        <f>flow_rate</f>
        <v>0</v>
      </c>
      <c r="C6" s="114" t="str">
        <f>'User questionnaire'!G51</f>
        <v>slpm</v>
      </c>
      <c r="F6" s="112" t="s">
        <v>287</v>
      </c>
      <c r="G6" s="113">
        <f>1-(bed_porosity/100)</f>
        <v>0.623</v>
      </c>
      <c r="H6" s="114"/>
      <c r="K6" s="101" t="s">
        <v>338</v>
      </c>
      <c r="L6" s="102">
        <v>1.8936877076411959E-5</v>
      </c>
      <c r="M6" s="102">
        <v>1050</v>
      </c>
      <c r="N6" s="103">
        <v>0.10787000000000001</v>
      </c>
      <c r="P6" s="131"/>
    </row>
    <row r="7" spans="1:16" x14ac:dyDescent="0.35">
      <c r="A7" s="112" t="s">
        <v>82</v>
      </c>
      <c r="B7" s="115">
        <f>lin_vel</f>
        <v>0</v>
      </c>
      <c r="C7" s="114" t="str">
        <f>'User questionnaire'!G52</f>
        <v>m/s</v>
      </c>
      <c r="F7" s="112" t="s">
        <v>288</v>
      </c>
      <c r="G7" s="113">
        <f>particle_fraction*v_reactor</f>
        <v>1.1995254185022855E-6</v>
      </c>
      <c r="H7" s="114" t="s">
        <v>285</v>
      </c>
      <c r="K7" s="101" t="s">
        <v>339</v>
      </c>
      <c r="L7" s="102">
        <v>1.9102990033222593E-5</v>
      </c>
      <c r="M7" s="102">
        <v>1931</v>
      </c>
      <c r="N7" s="103">
        <v>0.19697000000000001</v>
      </c>
      <c r="P7" s="131"/>
    </row>
    <row r="8" spans="1:16" x14ac:dyDescent="0.35">
      <c r="A8" s="112"/>
      <c r="B8" s="113"/>
      <c r="C8" s="114"/>
      <c r="F8" s="112" t="s">
        <v>286</v>
      </c>
      <c r="G8" s="113">
        <f>solid_volume/v_particle</f>
        <v>60936.346468898315</v>
      </c>
      <c r="H8" s="114"/>
      <c r="K8" s="101" t="s">
        <v>340</v>
      </c>
      <c r="L8" s="102">
        <v>2.6910299003322263E-5</v>
      </c>
      <c r="M8" s="104">
        <v>7200</v>
      </c>
      <c r="N8" s="103">
        <v>5.1996000000000001E-2</v>
      </c>
      <c r="P8" s="131"/>
    </row>
    <row r="9" spans="1:16" x14ac:dyDescent="0.35">
      <c r="A9" s="112" t="s">
        <v>311</v>
      </c>
      <c r="B9" s="113">
        <f>GHSV*v_reactor/3600</f>
        <v>0</v>
      </c>
      <c r="C9" s="114" t="s">
        <v>310</v>
      </c>
      <c r="E9" s="24"/>
      <c r="F9" s="112" t="s">
        <v>291</v>
      </c>
      <c r="G9" s="113">
        <f>IF('User questionnaire'!E22="sphere",4*PI()*(cat_diameter/2)^2,2*PI()*(cat_diameter/2)^2+PI()*cat_diameter*'User questionnaire'!E23)</f>
        <v>3.5256523554911458E-7</v>
      </c>
      <c r="H9" s="114" t="s">
        <v>292</v>
      </c>
      <c r="K9" s="101" t="s">
        <v>341</v>
      </c>
      <c r="L9" s="102">
        <v>2.4252491694352159E-5</v>
      </c>
      <c r="M9" s="104">
        <v>8920</v>
      </c>
      <c r="N9" s="103">
        <v>0.63549999999999995</v>
      </c>
      <c r="P9" s="131"/>
    </row>
    <row r="10" spans="1:16" ht="15" thickBot="1" x14ac:dyDescent="0.4">
      <c r="A10" s="112" t="s">
        <v>312</v>
      </c>
      <c r="B10" s="115">
        <f>flow_rate_ghsv/bed_crosssection</f>
        <v>0</v>
      </c>
      <c r="C10" s="114" t="s">
        <v>83</v>
      </c>
      <c r="E10" s="24"/>
      <c r="F10" s="112" t="s">
        <v>293</v>
      </c>
      <c r="G10" s="113">
        <f>no_particles*a_particle</f>
        <v>2.148403734630959E-2</v>
      </c>
      <c r="H10" s="114" t="s">
        <v>292</v>
      </c>
      <c r="K10" s="101" t="s">
        <v>342</v>
      </c>
      <c r="L10" s="102">
        <v>2.7242524916943521E-5</v>
      </c>
      <c r="M10" s="104">
        <v>7860</v>
      </c>
      <c r="N10" s="103">
        <v>5.5844999999999999E-2</v>
      </c>
      <c r="P10" s="131"/>
    </row>
    <row r="11" spans="1:16" ht="15" thickBot="1" x14ac:dyDescent="0.4">
      <c r="A11" s="112" t="s">
        <v>314</v>
      </c>
      <c r="B11" s="113">
        <f>WHSV*cat_mass/1000000/3600</f>
        <v>8.3333333333333333E-7</v>
      </c>
      <c r="C11" s="114" t="s">
        <v>310</v>
      </c>
      <c r="F11" s="117" t="s">
        <v>153</v>
      </c>
      <c r="G11" s="118">
        <f>IF(ISNUMBER('User questionnaire'!E27),'User questionnaire'!E27,geometric_area/v_reactor)</f>
        <v>11158.208955223879</v>
      </c>
      <c r="H11" s="119" t="s">
        <v>13</v>
      </c>
      <c r="K11" s="101" t="s">
        <v>343</v>
      </c>
      <c r="L11" s="102">
        <v>2.1428571428571428E-5</v>
      </c>
      <c r="M11" s="104">
        <v>22420</v>
      </c>
      <c r="N11" s="103">
        <v>0.19221700000000003</v>
      </c>
      <c r="P11" s="131"/>
    </row>
    <row r="12" spans="1:16" x14ac:dyDescent="0.35">
      <c r="A12" s="112" t="s">
        <v>315</v>
      </c>
      <c r="B12" s="115">
        <f>flow_rate_whsv/bed_crosssection</f>
        <v>1.6578639905405767E-2</v>
      </c>
      <c r="C12" s="114" t="s">
        <v>83</v>
      </c>
      <c r="K12" s="101" t="s">
        <v>344</v>
      </c>
      <c r="L12" s="102">
        <v>2.2591362126245847E-5</v>
      </c>
      <c r="M12" s="104">
        <v>10200</v>
      </c>
      <c r="N12" s="103">
        <v>9.5950000000000008E-2</v>
      </c>
      <c r="P12" s="131"/>
    </row>
    <row r="13" spans="1:16" ht="15" thickBot="1" x14ac:dyDescent="0.4">
      <c r="A13" s="112" t="s">
        <v>316</v>
      </c>
      <c r="B13" s="116">
        <f>flow_rate/bed_crosssection/1000/60</f>
        <v>0</v>
      </c>
      <c r="C13" s="114" t="s">
        <v>83</v>
      </c>
      <c r="K13" s="101" t="s">
        <v>345</v>
      </c>
      <c r="L13" s="102">
        <v>2.5581395348837209E-5</v>
      </c>
      <c r="M13" s="104">
        <v>22480</v>
      </c>
      <c r="N13" s="103">
        <v>0.19020000000000001</v>
      </c>
      <c r="P13" s="131"/>
    </row>
    <row r="14" spans="1:16" ht="15" thickBot="1" x14ac:dyDescent="0.4">
      <c r="A14" s="117" t="s">
        <v>82</v>
      </c>
      <c r="B14" s="118">
        <f>IF(lin_vel&lt;&gt;0,lin_vel,IF(lin_vel_flow_rate&lt;&gt;0,lin_vel_flow_rate,IF(lin_vel_ghsv&lt;&gt;0,lin_vel_ghsv,lin_vel_whsv)))</f>
        <v>1.6578639905405767E-2</v>
      </c>
      <c r="C14" s="119" t="s">
        <v>83</v>
      </c>
      <c r="E14" s="91" t="s">
        <v>321</v>
      </c>
      <c r="F14" s="89"/>
      <c r="G14" s="89"/>
      <c r="H14" s="89"/>
      <c r="K14" s="101" t="s">
        <v>346</v>
      </c>
      <c r="L14" s="102">
        <v>2.0930232558139536E-5</v>
      </c>
      <c r="M14" s="104">
        <v>12020</v>
      </c>
      <c r="N14" s="103">
        <v>0.10642</v>
      </c>
      <c r="P14" s="131"/>
    </row>
    <row r="15" spans="1:16" x14ac:dyDescent="0.35">
      <c r="E15" s="109" t="s">
        <v>14</v>
      </c>
      <c r="F15" s="110" t="s">
        <v>11</v>
      </c>
      <c r="G15" s="120">
        <f>NP_diameter</f>
        <v>0</v>
      </c>
      <c r="H15" s="111" t="s">
        <v>7</v>
      </c>
      <c r="J15" s="102"/>
      <c r="K15" s="101" t="s">
        <v>347</v>
      </c>
      <c r="L15" s="102">
        <v>2.0598006644518274E-5</v>
      </c>
      <c r="M15" s="104">
        <v>21450</v>
      </c>
      <c r="N15" s="103">
        <v>0.19508400000000001</v>
      </c>
      <c r="P15" s="131"/>
    </row>
    <row r="16" spans="1:16" x14ac:dyDescent="0.35">
      <c r="E16" s="112"/>
      <c r="F16" s="113" t="s">
        <v>295</v>
      </c>
      <c r="G16" s="113">
        <f>cat_loading/100*cat_mass</f>
        <v>2.0000000000000004E-2</v>
      </c>
      <c r="H16" s="114" t="s">
        <v>58</v>
      </c>
      <c r="J16" s="102"/>
      <c r="K16" s="101" t="s">
        <v>348</v>
      </c>
      <c r="L16" s="102">
        <v>2.5249169435215947E-5</v>
      </c>
      <c r="M16" s="104">
        <v>20530</v>
      </c>
      <c r="N16" s="103">
        <v>0.18620699999999998</v>
      </c>
      <c r="P16" s="131"/>
    </row>
    <row r="17" spans="5:16" x14ac:dyDescent="0.35">
      <c r="E17" s="112"/>
      <c r="F17" s="113" t="s">
        <v>296</v>
      </c>
      <c r="G17" s="113">
        <f>G16/1000/VLOOKUP(active_species,Calculations!K:N,3,FALSE)</f>
        <v>2.2451728783116305E-9</v>
      </c>
      <c r="H17" s="114" t="s">
        <v>285</v>
      </c>
      <c r="J17" s="102"/>
      <c r="K17" s="101" t="s">
        <v>349</v>
      </c>
      <c r="L17" s="102">
        <v>2.1926910299003324E-5</v>
      </c>
      <c r="M17" s="104">
        <v>12400</v>
      </c>
      <c r="N17" s="103">
        <v>0.102905</v>
      </c>
      <c r="P17" s="131"/>
    </row>
    <row r="18" spans="5:16" x14ac:dyDescent="0.35">
      <c r="E18" s="112"/>
      <c r="F18" s="113" t="s">
        <v>297</v>
      </c>
      <c r="G18" s="121" t="e">
        <f>3/(NP_diameter/2)</f>
        <v>#DIV/0!</v>
      </c>
      <c r="H18" s="114" t="s">
        <v>13</v>
      </c>
      <c r="J18" s="102"/>
      <c r="K18" s="101" t="s">
        <v>350</v>
      </c>
      <c r="L18" s="102">
        <v>2.6079734219269102E-5</v>
      </c>
      <c r="M18" s="104">
        <v>12300</v>
      </c>
      <c r="N18" s="103">
        <v>0.10106999999999999</v>
      </c>
      <c r="P18" s="131"/>
    </row>
    <row r="19" spans="5:16" x14ac:dyDescent="0.35">
      <c r="E19" s="112"/>
      <c r="F19" s="113" t="s">
        <v>298</v>
      </c>
      <c r="G19" s="113" t="e">
        <f>v_metal*NP_A_V_ratio</f>
        <v>#DIV/0!</v>
      </c>
      <c r="H19" s="114" t="s">
        <v>292</v>
      </c>
      <c r="J19" s="102"/>
      <c r="K19" s="101" t="s">
        <v>351</v>
      </c>
      <c r="L19" s="102">
        <v>2.2425249169435217E-5</v>
      </c>
      <c r="M19" s="104">
        <v>19320</v>
      </c>
      <c r="N19" s="103">
        <v>0.18384</v>
      </c>
      <c r="P19" s="131"/>
    </row>
    <row r="20" spans="5:16" x14ac:dyDescent="0.35">
      <c r="E20" s="112"/>
      <c r="F20" s="113" t="s">
        <v>299</v>
      </c>
      <c r="G20" s="122" t="e">
        <f>0.5*a_metal_NP</f>
        <v>#DIV/0!</v>
      </c>
      <c r="H20" s="114" t="s">
        <v>292</v>
      </c>
      <c r="J20" s="102"/>
      <c r="P20" s="131"/>
    </row>
    <row r="21" spans="5:16" x14ac:dyDescent="0.35">
      <c r="E21" s="112" t="s">
        <v>303</v>
      </c>
      <c r="F21" s="113" t="s">
        <v>33</v>
      </c>
      <c r="G21" s="113">
        <f>NP_dispersion</f>
        <v>6</v>
      </c>
      <c r="H21" s="114"/>
      <c r="J21" s="102"/>
      <c r="P21" s="131"/>
    </row>
    <row r="22" spans="5:16" x14ac:dyDescent="0.35">
      <c r="E22" s="112"/>
      <c r="F22" s="113" t="s">
        <v>301</v>
      </c>
      <c r="G22" s="113">
        <f>G16/1000/VLOOKUP(active_species,Calculations!K:N,4,FALSE)</f>
        <v>3.4077355597205664E-4</v>
      </c>
      <c r="H22" s="114" t="s">
        <v>45</v>
      </c>
      <c r="J22" s="102"/>
      <c r="P22" s="131"/>
    </row>
    <row r="23" spans="5:16" x14ac:dyDescent="0.35">
      <c r="E23" s="112"/>
      <c r="F23" s="113" t="s">
        <v>302</v>
      </c>
      <c r="G23" s="113">
        <f>NP_dispersion*no_metal_atoms/100</f>
        <v>2.0446413358323401E-5</v>
      </c>
      <c r="H23" s="114" t="s">
        <v>45</v>
      </c>
      <c r="J23" s="102"/>
      <c r="P23" s="131"/>
    </row>
    <row r="24" spans="5:16" x14ac:dyDescent="0.35">
      <c r="E24" s="112"/>
      <c r="F24" s="113" t="s">
        <v>300</v>
      </c>
      <c r="G24" s="122">
        <f>G23/VLOOKUP(active_species,Calculations!K:N,2,FALSE)</f>
        <v>0.79926888582536926</v>
      </c>
      <c r="H24" s="114" t="s">
        <v>292</v>
      </c>
      <c r="J24" s="102"/>
      <c r="P24" s="131"/>
    </row>
    <row r="25" spans="5:16" x14ac:dyDescent="0.35">
      <c r="E25" s="112" t="s">
        <v>42</v>
      </c>
      <c r="F25" s="113" t="s">
        <v>304</v>
      </c>
      <c r="G25" s="113">
        <f>NP_SSA</f>
        <v>0</v>
      </c>
      <c r="H25" s="114" t="s">
        <v>43</v>
      </c>
      <c r="J25" s="102"/>
      <c r="P25" s="131"/>
    </row>
    <row r="26" spans="5:16" x14ac:dyDescent="0.35">
      <c r="E26" s="112"/>
      <c r="F26" s="113" t="s">
        <v>305</v>
      </c>
      <c r="G26" s="122">
        <f>IF(ISNUMBER(NP_SSA),G25*cat_mass,IF(ISNUMBER('User questionnaire'!E46),'User questionnaire'!E46*PI()*bed_length*(bed_diameter/2)^2,0))</f>
        <v>0</v>
      </c>
      <c r="H26" s="114" t="s">
        <v>292</v>
      </c>
      <c r="J26" s="102"/>
      <c r="P26" s="131"/>
    </row>
    <row r="27" spans="5:16" x14ac:dyDescent="0.35">
      <c r="E27" s="112" t="s">
        <v>61</v>
      </c>
      <c r="F27" s="113" t="s">
        <v>48</v>
      </c>
      <c r="G27" s="113">
        <f>H2_uptake</f>
        <v>0</v>
      </c>
      <c r="H27" s="114" t="s">
        <v>36</v>
      </c>
      <c r="J27" s="102"/>
      <c r="P27" s="131"/>
    </row>
    <row r="28" spans="5:16" x14ac:dyDescent="0.35">
      <c r="E28" s="112"/>
      <c r="F28" s="113" t="s">
        <v>52</v>
      </c>
      <c r="G28" s="113">
        <f>CO_uptake</f>
        <v>0</v>
      </c>
      <c r="H28" s="114" t="s">
        <v>36</v>
      </c>
      <c r="J28" s="102"/>
      <c r="P28" s="131"/>
    </row>
    <row r="29" spans="5:16" x14ac:dyDescent="0.35">
      <c r="E29" s="112"/>
      <c r="F29" s="113" t="s">
        <v>306</v>
      </c>
      <c r="G29" s="113">
        <f>H2_uptake*2*cat_mass</f>
        <v>0</v>
      </c>
      <c r="H29" s="114" t="s">
        <v>45</v>
      </c>
      <c r="J29" s="102"/>
    </row>
    <row r="30" spans="5:16" x14ac:dyDescent="0.35">
      <c r="E30" s="112"/>
      <c r="F30" s="113" t="s">
        <v>307</v>
      </c>
      <c r="G30" s="113">
        <f>CO_uptake*cat_mass</f>
        <v>0</v>
      </c>
      <c r="H30" s="114" t="s">
        <v>45</v>
      </c>
      <c r="J30" s="102"/>
    </row>
    <row r="31" spans="5:16" x14ac:dyDescent="0.35">
      <c r="E31" s="112"/>
      <c r="F31" s="113" t="s">
        <v>308</v>
      </c>
      <c r="G31" s="122">
        <f>no_sites_H2/VLOOKUP(active_species,Calculations!K:N,2,FALSE)</f>
        <v>0</v>
      </c>
      <c r="H31" s="114" t="s">
        <v>292</v>
      </c>
      <c r="J31" s="102"/>
    </row>
    <row r="32" spans="5:16" ht="15" thickBot="1" x14ac:dyDescent="0.4">
      <c r="E32" s="123"/>
      <c r="F32" s="124" t="s">
        <v>309</v>
      </c>
      <c r="G32" s="125">
        <f>no_sites_H2/VLOOKUP(active_species,Calculations!K:N,2,FALSE)</f>
        <v>0</v>
      </c>
      <c r="H32" s="126" t="s">
        <v>292</v>
      </c>
      <c r="J32" s="102"/>
    </row>
    <row r="33" spans="1:10" ht="14" customHeight="1" x14ac:dyDescent="0.35">
      <c r="A33" s="200"/>
      <c r="B33" s="200"/>
      <c r="C33" s="200"/>
      <c r="D33" s="200"/>
      <c r="E33" s="112"/>
      <c r="F33" s="113" t="s">
        <v>305</v>
      </c>
      <c r="G33" s="113">
        <f>IF(ISNUMBER(A_exposed_NP),A_exposed_NP,IF(A_exposed_disp&gt;0,A_exposed_disp,IF(A_exposed_SSA&gt;0,A_exposed_SSA,IF(A_exposed_H2&gt;0,A_exposed_H2,IF(A_exposed_CO&gt;0,A_exposed_CO)))))</f>
        <v>0.79926888582536926</v>
      </c>
      <c r="H33" s="114" t="s">
        <v>292</v>
      </c>
      <c r="J33" s="104"/>
    </row>
    <row r="34" spans="1:10" ht="15" thickBot="1" x14ac:dyDescent="0.4">
      <c r="A34" s="107"/>
      <c r="B34" s="200"/>
      <c r="C34" s="200"/>
      <c r="D34" s="200"/>
      <c r="E34" s="123"/>
      <c r="F34" s="124" t="s">
        <v>141</v>
      </c>
      <c r="G34" s="124">
        <f>IF(ISNUMBER('User questionnaire'!E47),'User questionnaire'!E47,catalytic_area/geometric_area)</f>
        <v>37.202918284940672</v>
      </c>
      <c r="H34" s="126"/>
      <c r="J34" s="102"/>
    </row>
    <row r="35" spans="1:10" x14ac:dyDescent="0.35">
      <c r="A35" s="107"/>
      <c r="B35" s="107"/>
      <c r="C35" s="107"/>
      <c r="D35" s="107"/>
      <c r="E35" s="107"/>
      <c r="F35" s="107"/>
      <c r="G35" s="107"/>
    </row>
    <row r="36" spans="1:10" x14ac:dyDescent="0.35">
      <c r="A36" s="107"/>
      <c r="B36" s="107"/>
      <c r="C36" s="107"/>
      <c r="D36" s="107"/>
      <c r="E36" s="107"/>
      <c r="F36" s="107"/>
      <c r="G36" s="157"/>
    </row>
    <row r="37" spans="1:10" x14ac:dyDescent="0.35">
      <c r="A37" s="107"/>
      <c r="B37" s="107"/>
      <c r="C37" s="107"/>
      <c r="D37" s="107"/>
      <c r="E37" s="107"/>
      <c r="F37" s="107"/>
      <c r="G37" s="107"/>
    </row>
    <row r="38" spans="1:10" x14ac:dyDescent="0.35">
      <c r="A38" s="107"/>
      <c r="B38" s="107"/>
      <c r="C38" s="107"/>
      <c r="D38" s="107"/>
      <c r="E38" s="107"/>
      <c r="F38" s="107"/>
      <c r="G38" s="107"/>
    </row>
    <row r="39" spans="1:10" x14ac:dyDescent="0.35">
      <c r="A39" s="107"/>
      <c r="B39" s="107"/>
      <c r="C39" s="107"/>
      <c r="D39" s="107"/>
      <c r="E39" s="107"/>
      <c r="F39" s="107"/>
      <c r="G39" s="107"/>
    </row>
    <row r="40" spans="1:10" x14ac:dyDescent="0.35">
      <c r="A40" s="107"/>
      <c r="B40" s="107"/>
      <c r="C40" s="107"/>
      <c r="D40" s="107"/>
      <c r="E40" s="107"/>
      <c r="F40" s="107"/>
      <c r="G40" s="107"/>
    </row>
    <row r="41" spans="1:10" x14ac:dyDescent="0.35">
      <c r="A41" s="107"/>
      <c r="B41" s="107"/>
      <c r="C41" s="107"/>
      <c r="D41" s="107"/>
      <c r="E41" s="107"/>
      <c r="F41" s="107"/>
      <c r="G41" s="107"/>
    </row>
    <row r="42" spans="1:10" x14ac:dyDescent="0.35">
      <c r="A42" s="107"/>
      <c r="B42" s="107"/>
      <c r="C42" s="107"/>
      <c r="D42" s="107"/>
      <c r="E42" s="107"/>
      <c r="F42" s="107"/>
      <c r="G42" s="107"/>
    </row>
    <row r="43" spans="1:10" x14ac:dyDescent="0.35">
      <c r="A43" s="107"/>
      <c r="B43" s="107"/>
      <c r="C43" s="107"/>
      <c r="D43" s="107"/>
      <c r="E43" s="107"/>
      <c r="F43" s="107"/>
      <c r="G43" s="107"/>
    </row>
    <row r="44" spans="1:10" x14ac:dyDescent="0.35">
      <c r="A44" s="107"/>
      <c r="B44" s="107"/>
      <c r="C44" s="107"/>
      <c r="D44" s="107"/>
      <c r="E44" s="107"/>
      <c r="F44" s="107"/>
      <c r="G44" s="107"/>
    </row>
    <row r="45" spans="1:10" x14ac:dyDescent="0.35">
      <c r="A45" s="107"/>
      <c r="B45" s="107"/>
      <c r="C45" s="107"/>
      <c r="D45" s="107"/>
      <c r="E45" s="107"/>
      <c r="F45" s="107"/>
      <c r="G45" s="107"/>
    </row>
    <row r="46" spans="1:10" x14ac:dyDescent="0.35">
      <c r="A46" s="107"/>
      <c r="B46" s="107"/>
      <c r="C46" s="107"/>
      <c r="D46" s="107"/>
      <c r="E46" s="107"/>
      <c r="F46" s="107"/>
      <c r="G46" s="107"/>
    </row>
    <row r="47" spans="1:10" x14ac:dyDescent="0.35">
      <c r="A47" s="107"/>
      <c r="B47" s="107"/>
      <c r="C47" s="107"/>
      <c r="D47" s="107"/>
      <c r="E47" s="107"/>
      <c r="F47" s="107"/>
      <c r="G47" s="107"/>
    </row>
  </sheetData>
  <mergeCells count="2">
    <mergeCell ref="A33:D33"/>
    <mergeCell ref="B34:D34"/>
  </mergeCells>
  <pageMargins left="0.7" right="0.7" top="0.78749999999999998" bottom="0.78749999999999998" header="0.51180555555555496" footer="0.51180555555555496"/>
  <pageSetup paperSize="9" firstPageNumber="0" orientation="portrait" horizontalDpi="300" verticalDpi="300" r:id="rId1"/>
  <cellWatches>
    <cellWatch r="G34"/>
  </cellWatch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35D3-EDDB-4C2A-9B76-F3BDEE685904}">
  <dimension ref="A1:P63"/>
  <sheetViews>
    <sheetView workbookViewId="0">
      <selection activeCell="H23" sqref="H23"/>
    </sheetView>
  </sheetViews>
  <sheetFormatPr baseColWidth="10" defaultColWidth="8.81640625" defaultRowHeight="14.5" x14ac:dyDescent="0.35"/>
  <cols>
    <col min="1" max="1" width="26.36328125" style="153" customWidth="1"/>
    <col min="2" max="2" width="8.81640625" style="153"/>
    <col min="6" max="6" width="10.36328125" customWidth="1"/>
    <col min="15" max="15" width="9.6328125" bestFit="1" customWidth="1"/>
  </cols>
  <sheetData>
    <row r="1" spans="1:16" s="140" customFormat="1" x14ac:dyDescent="0.35">
      <c r="A1" s="153"/>
      <c r="B1" s="153"/>
    </row>
    <row r="2" spans="1:16" s="140" customFormat="1" x14ac:dyDescent="0.35">
      <c r="A2" s="153"/>
      <c r="B2" s="153"/>
    </row>
    <row r="3" spans="1:16" s="140" customFormat="1" x14ac:dyDescent="0.35">
      <c r="A3" s="153"/>
      <c r="B3" s="153"/>
    </row>
    <row r="4" spans="1:16" s="140" customFormat="1" x14ac:dyDescent="0.35">
      <c r="A4" s="153"/>
      <c r="B4" s="153"/>
    </row>
    <row r="5" spans="1:16" s="140" customFormat="1" ht="14.25" customHeight="1" x14ac:dyDescent="0.35">
      <c r="A5" s="153"/>
      <c r="B5" s="153"/>
    </row>
    <row r="6" spans="1:16" s="140" customFormat="1" x14ac:dyDescent="0.35">
      <c r="A6" s="143" t="s">
        <v>357</v>
      </c>
      <c r="B6" s="143" t="s">
        <v>410</v>
      </c>
      <c r="C6" s="143" t="s">
        <v>406</v>
      </c>
      <c r="D6" s="143" t="s">
        <v>408</v>
      </c>
      <c r="E6" s="143"/>
      <c r="F6" s="143"/>
      <c r="G6" s="143"/>
      <c r="H6" s="143" t="s">
        <v>409</v>
      </c>
      <c r="I6" s="143" t="s">
        <v>406</v>
      </c>
      <c r="J6" s="143" t="s">
        <v>407</v>
      </c>
      <c r="K6" s="143" t="s">
        <v>419</v>
      </c>
      <c r="L6" s="143"/>
      <c r="M6" s="143"/>
      <c r="N6" s="143" t="s">
        <v>235</v>
      </c>
      <c r="O6" s="143" t="s">
        <v>239</v>
      </c>
      <c r="P6" s="143" t="s">
        <v>236</v>
      </c>
    </row>
    <row r="8" spans="1:16" s="153" customFormat="1" x14ac:dyDescent="0.35"/>
    <row r="9" spans="1:16" s="153" customFormat="1" x14ac:dyDescent="0.35">
      <c r="A9" s="153" t="str">
        <f>'User questionnaire'!C16</f>
        <v>type of experiment</v>
      </c>
      <c r="B9" s="153" t="s">
        <v>411</v>
      </c>
      <c r="C9" s="153" t="s">
        <v>405</v>
      </c>
      <c r="H9" s="82" t="b">
        <v>1</v>
      </c>
      <c r="I9" s="153" t="b">
        <f>IF(OR('User questionnaire'!E16="spaci",'User questionnaire'!E16="end-of-pipe"),TRUE,FALSE)</f>
        <v>1</v>
      </c>
      <c r="N9" s="153" t="b">
        <f>I9</f>
        <v>1</v>
      </c>
      <c r="O9" s="153" t="b">
        <f>N9</f>
        <v>1</v>
      </c>
      <c r="P9" s="153" t="b">
        <f>O9</f>
        <v>1</v>
      </c>
    </row>
    <row r="11" spans="1:16" x14ac:dyDescent="0.35">
      <c r="A11" s="153" t="str">
        <f>'User questionnaire'!C18</f>
        <v>length</v>
      </c>
      <c r="B11" s="153" t="s">
        <v>411</v>
      </c>
      <c r="C11" t="s">
        <v>232</v>
      </c>
      <c r="D11" t="s">
        <v>228</v>
      </c>
      <c r="H11" s="82" t="b">
        <v>1</v>
      </c>
      <c r="I11" s="82" t="b">
        <f>ISNUMBER('User questionnaire'!E18)</f>
        <v>1</v>
      </c>
      <c r="J11" s="82" t="b">
        <f>IF('User questionnaire'!E18&gt;0,TRUE,FALSE)</f>
        <v>1</v>
      </c>
      <c r="N11" s="82" t="b">
        <f>IF(AND(I11=TRUE,J11=TRUE),TRUE,FALSE)</f>
        <v>1</v>
      </c>
      <c r="O11" t="b">
        <f>N11</f>
        <v>1</v>
      </c>
      <c r="P11" t="b">
        <f>AND(O11:O17,O19)</f>
        <v>1</v>
      </c>
    </row>
    <row r="12" spans="1:16" x14ac:dyDescent="0.35">
      <c r="A12" s="153" t="str">
        <f>'User questionnaire'!C19</f>
        <v>diameter</v>
      </c>
      <c r="B12" s="153" t="s">
        <v>411</v>
      </c>
      <c r="C12" t="s">
        <v>232</v>
      </c>
      <c r="D12" t="s">
        <v>228</v>
      </c>
      <c r="H12" s="82" t="b">
        <v>1</v>
      </c>
      <c r="I12" s="82" t="b">
        <f>ISNUMBER('User questionnaire'!E19)</f>
        <v>1</v>
      </c>
      <c r="J12" s="82" t="b">
        <f>IF('User questionnaire'!E19&gt;0,TRUE,FALSE)</f>
        <v>1</v>
      </c>
      <c r="N12" s="82" t="b">
        <f>IF(AND(I12=TRUE,J12=TRUE),TRUE,FALSE)</f>
        <v>1</v>
      </c>
      <c r="O12" t="b">
        <f>N12</f>
        <v>1</v>
      </c>
    </row>
    <row r="13" spans="1:16" x14ac:dyDescent="0.35">
      <c r="A13" s="153" t="str">
        <f>'User questionnaire'!C20</f>
        <v>total mass</v>
      </c>
      <c r="B13" s="153" t="s">
        <v>411</v>
      </c>
      <c r="C13" t="s">
        <v>232</v>
      </c>
      <c r="D13" t="s">
        <v>228</v>
      </c>
      <c r="H13" s="82" t="b">
        <v>1</v>
      </c>
      <c r="I13" s="82" t="b">
        <f>ISNUMBER('User questionnaire'!E20)</f>
        <v>1</v>
      </c>
      <c r="J13" s="82" t="b">
        <f>IF('User questionnaire'!E20&gt;0,TRUE,FALSE)</f>
        <v>1</v>
      </c>
      <c r="N13" s="82" t="b">
        <f>IF(AND(I13=TRUE,J13=TRUE),TRUE,FALSE)</f>
        <v>1</v>
      </c>
      <c r="O13" t="b">
        <f t="shared" ref="O13:O17" si="0">N13</f>
        <v>1</v>
      </c>
    </row>
    <row r="14" spans="1:16" s="142" customFormat="1" x14ac:dyDescent="0.35">
      <c r="A14" s="153" t="str">
        <f>'User questionnaire'!C21</f>
        <v>bed porosity</v>
      </c>
      <c r="B14" s="153" t="s">
        <v>411</v>
      </c>
      <c r="C14" s="142" t="s">
        <v>232</v>
      </c>
      <c r="D14" s="142" t="s">
        <v>231</v>
      </c>
      <c r="H14" s="82" t="b">
        <v>1</v>
      </c>
      <c r="I14" s="82" t="b">
        <f>ISNUMBER('User questionnaire'!E21)</f>
        <v>1</v>
      </c>
      <c r="J14" s="82" t="b">
        <f>IF(AND('User questionnaire'!E21&gt;0,'User questionnaire'!E21&lt;100),TRUE,FALSE)</f>
        <v>1</v>
      </c>
      <c r="N14" s="82" t="b">
        <f t="shared" ref="N14" si="1">IF(AND(I14=TRUE,J14=TRUE),TRUE,FALSE)</f>
        <v>1</v>
      </c>
      <c r="O14" s="142" t="b">
        <f t="shared" ref="O14:O15" si="2">N14</f>
        <v>1</v>
      </c>
    </row>
    <row r="15" spans="1:16" x14ac:dyDescent="0.35">
      <c r="A15" s="153" t="str">
        <f>'User questionnaire'!C22</f>
        <v>particle shape</v>
      </c>
      <c r="B15" s="153" t="s">
        <v>411</v>
      </c>
      <c r="C15" t="s">
        <v>392</v>
      </c>
      <c r="H15" s="82" t="b">
        <v>1</v>
      </c>
      <c r="I15" s="82" t="b">
        <f>OR('User questionnaire'!E22="sphere",'User questionnaire'!E22="cylinder",)</f>
        <v>1</v>
      </c>
      <c r="N15" s="82" t="b">
        <f>I15</f>
        <v>1</v>
      </c>
      <c r="O15" t="b">
        <f t="shared" si="2"/>
        <v>1</v>
      </c>
    </row>
    <row r="16" spans="1:16" x14ac:dyDescent="0.35">
      <c r="A16" s="153" t="str">
        <f>'User questionnaire'!C23</f>
        <v>particle length</v>
      </c>
      <c r="B16" s="153" t="s">
        <v>413</v>
      </c>
      <c r="C16" t="s">
        <v>232</v>
      </c>
      <c r="D16" t="s">
        <v>228</v>
      </c>
      <c r="H16" s="82" t="b">
        <f>IF('User questionnaire'!E22="cylinder",TRUE,FALSE)</f>
        <v>0</v>
      </c>
      <c r="I16" s="82" t="b">
        <f>ISNUMBER('User questionnaire'!E23)</f>
        <v>0</v>
      </c>
      <c r="J16" s="82" t="b">
        <f>IF('User questionnaire'!E23&gt;0,TRUE,FALSE)</f>
        <v>0</v>
      </c>
      <c r="N16" s="82" t="b">
        <f t="shared" ref="N16" si="3">IF(AND(I16=TRUE,J16=TRUE),TRUE,FALSE)</f>
        <v>0</v>
      </c>
      <c r="O16" s="82" t="b">
        <f>NOT(AND(IF('User questionnaire'!E22="cylinder",TRUE,FALSE),NOT(N16)))</f>
        <v>1</v>
      </c>
    </row>
    <row r="17" spans="1:16" x14ac:dyDescent="0.35">
      <c r="A17" s="153" t="str">
        <f>'User questionnaire'!C24</f>
        <v>particle diameter</v>
      </c>
      <c r="B17" s="153" t="s">
        <v>411</v>
      </c>
      <c r="C17" t="s">
        <v>232</v>
      </c>
      <c r="D17" t="s">
        <v>228</v>
      </c>
      <c r="E17" t="s">
        <v>230</v>
      </c>
      <c r="H17" s="82" t="b">
        <v>1</v>
      </c>
      <c r="I17" s="82" t="b">
        <f>ISNUMBER('User questionnaire'!E24)</f>
        <v>1</v>
      </c>
      <c r="J17" s="82" t="b">
        <f>IF('User questionnaire'!E24&gt;0,TRUE,FALSE)</f>
        <v>1</v>
      </c>
      <c r="K17" s="82" t="b">
        <f>IF('User questionnaire'!E24&lt;'User questionnaire'!E19,TRUE,FALSE)</f>
        <v>1</v>
      </c>
      <c r="N17" s="82" t="b">
        <f>IF(AND(I17=TRUE,J17=TRUE,K17=TRUE),TRUE,FALSE)</f>
        <v>1</v>
      </c>
      <c r="O17" t="b">
        <f t="shared" si="0"/>
        <v>1</v>
      </c>
    </row>
    <row r="18" spans="1:16" x14ac:dyDescent="0.35">
      <c r="A18" s="153" t="str">
        <f>'User questionnaire'!C25</f>
        <v>particle thermal conductivity</v>
      </c>
      <c r="C18" t="s">
        <v>232</v>
      </c>
      <c r="D18" t="s">
        <v>228</v>
      </c>
      <c r="H18" s="82"/>
      <c r="I18" s="82" t="b">
        <f>ISNUMBER('User questionnaire'!E25)</f>
        <v>0</v>
      </c>
      <c r="J18" s="82" t="b">
        <f>IF('User questionnaire'!E25&gt;0,TRUE,FALSE)</f>
        <v>0</v>
      </c>
      <c r="N18" s="82" t="b">
        <f>IF(AND(I18=TRUE,J18=TRUE),TRUE,FALSE)</f>
        <v>0</v>
      </c>
    </row>
    <row r="19" spans="1:16" x14ac:dyDescent="0.35">
      <c r="A19" s="153" t="str">
        <f>'User questionnaire'!C26</f>
        <v>radial thermal conductivity</v>
      </c>
      <c r="C19" s="142" t="s">
        <v>232</v>
      </c>
      <c r="D19" s="142" t="s">
        <v>228</v>
      </c>
      <c r="H19" s="82"/>
      <c r="I19" s="82" t="b">
        <f>ISNUMBER('User questionnaire'!E26)</f>
        <v>0</v>
      </c>
      <c r="J19" s="82" t="b">
        <f>IF('User questionnaire'!E26&gt;0,TRUE,FALSE)</f>
        <v>0</v>
      </c>
      <c r="N19" s="82" t="b">
        <f t="shared" ref="N19:N20" si="4">IF(AND(I19=TRUE,J19=TRUE),TRUE,FALSE)</f>
        <v>0</v>
      </c>
      <c r="O19" s="142" t="b">
        <f>IF(AND(thermal_mode="no",'User questionnaire'!E69="no",ISBLANK('User questionnaire'!E34),ISBLANK('User questionnaire'!E35),OR(ISBLANK(cat_therm_cond),ISBLANK('User questionnaire'!E26))),FALSE,TRUE)</f>
        <v>1</v>
      </c>
    </row>
    <row r="20" spans="1:16" x14ac:dyDescent="0.35">
      <c r="A20" s="153" t="str">
        <f>'User questionnaire'!C27</f>
        <v>surface area to volume ratio</v>
      </c>
      <c r="B20" s="153" t="s">
        <v>414</v>
      </c>
      <c r="C20" s="142" t="s">
        <v>232</v>
      </c>
      <c r="D20" s="142" t="s">
        <v>228</v>
      </c>
      <c r="H20" s="82" t="b">
        <v>0</v>
      </c>
      <c r="I20" s="82" t="b">
        <f>ISNUMBER('User questionnaire'!E27)</f>
        <v>0</v>
      </c>
      <c r="J20" s="82" t="b">
        <f>IF('User questionnaire'!E27&gt;0,TRUE,FALSE)</f>
        <v>0</v>
      </c>
      <c r="N20" s="82" t="b">
        <f t="shared" si="4"/>
        <v>0</v>
      </c>
      <c r="O20" s="142" t="b">
        <f t="shared" ref="O20" si="5">N20</f>
        <v>0</v>
      </c>
    </row>
    <row r="21" spans="1:16" s="157" customFormat="1" x14ac:dyDescent="0.35">
      <c r="A21" s="157" t="str">
        <f>'User questionnaire'!C28</f>
        <v>material density</v>
      </c>
      <c r="B21" s="157" t="s">
        <v>414</v>
      </c>
      <c r="C21" s="157" t="s">
        <v>232</v>
      </c>
      <c r="D21" s="157" t="s">
        <v>228</v>
      </c>
      <c r="H21" s="82" t="b">
        <v>0</v>
      </c>
      <c r="I21" s="82" t="b">
        <f>ISNUMBER('User questionnaire'!E28)</f>
        <v>0</v>
      </c>
      <c r="J21" s="82" t="b">
        <f>IF('User questionnaire'!E28&gt;0,TRUE,FALSE)</f>
        <v>0</v>
      </c>
      <c r="N21" s="82" t="b">
        <f t="shared" ref="N21" si="6">IF(AND(I21=TRUE,J21=TRUE),TRUE,FALSE)</f>
        <v>0</v>
      </c>
      <c r="O21" s="157" t="b">
        <f t="shared" ref="O21" si="7">N21</f>
        <v>0</v>
      </c>
    </row>
    <row r="22" spans="1:16" s="157" customFormat="1" x14ac:dyDescent="0.35"/>
    <row r="23" spans="1:16" x14ac:dyDescent="0.35">
      <c r="A23" s="153" t="str">
        <f>'User questionnaire'!C30</f>
        <v>wall temperature</v>
      </c>
      <c r="B23" s="153" t="s">
        <v>414</v>
      </c>
      <c r="C23" t="s">
        <v>232</v>
      </c>
      <c r="D23" t="s">
        <v>228</v>
      </c>
      <c r="H23" s="82" t="b">
        <f>IF('User questionnaire'!E16="spaci",TRUE,FALSE)</f>
        <v>0</v>
      </c>
      <c r="I23" s="82" t="b">
        <f>ISNUMBER('User questionnaire'!E30)</f>
        <v>0</v>
      </c>
      <c r="J23" s="82" t="b">
        <f>IF('User questionnaire'!E30&gt;0,TRUE,FALSE)</f>
        <v>0</v>
      </c>
      <c r="N23" s="82" t="b">
        <f>IF(AND(I23=TRUE,J23=TRUE),TRUE,FALSE)</f>
        <v>0</v>
      </c>
      <c r="O23" t="b">
        <f>N23</f>
        <v>0</v>
      </c>
      <c r="P23" t="b">
        <f>OR(AND(OR(O23,IF('User questionnaire'!E16="end-of-pipe",TRUE,FALSE)),OR(O24:O28)),AND(OR(O23,IF('User questionnaire'!E16="end-of-pipe",TRUE,FALSE)),IF(COUNTIF('User questionnaire'!E68:E69,"no")&lt;2,TRUE,FALSE)))</f>
        <v>1</v>
      </c>
    </row>
    <row r="24" spans="1:16" x14ac:dyDescent="0.35">
      <c r="A24" s="153" t="str">
        <f>'User questionnaire'!C31</f>
        <v>wall thickness</v>
      </c>
      <c r="B24" s="153" t="s">
        <v>412</v>
      </c>
      <c r="C24" t="s">
        <v>232</v>
      </c>
      <c r="D24" t="s">
        <v>228</v>
      </c>
      <c r="H24" s="203"/>
      <c r="I24" s="82" t="b">
        <f>ISNUMBER('User questionnaire'!E31)</f>
        <v>0</v>
      </c>
      <c r="J24" s="82" t="b">
        <f>IF('User questionnaire'!E31&gt;0,TRUE,FALSE)</f>
        <v>0</v>
      </c>
      <c r="N24" s="82" t="b">
        <f>IF(AND(I24=TRUE,J24=TRUE),TRUE,FALSE)</f>
        <v>0</v>
      </c>
      <c r="O24" s="204" t="b">
        <f>AND(COUNTIF(N24:N26,TRUE)&gt;0,COUNTIF(N24:N26,TRUE)=4)</f>
        <v>0</v>
      </c>
      <c r="P24" s="142"/>
    </row>
    <row r="25" spans="1:16" x14ac:dyDescent="0.35">
      <c r="A25" s="153" t="str">
        <f>'User questionnaire'!C32</f>
        <v>wall thermal conductivity</v>
      </c>
      <c r="B25" s="153" t="s">
        <v>412</v>
      </c>
      <c r="C25" t="s">
        <v>232</v>
      </c>
      <c r="D25" t="s">
        <v>228</v>
      </c>
      <c r="H25" s="203"/>
      <c r="I25" s="82" t="b">
        <f>ISNUMBER('User questionnaire'!E32)</f>
        <v>0</v>
      </c>
      <c r="J25" s="82" t="b">
        <f>IF('User questionnaire'!E32&gt;0,TRUE,FALSE)</f>
        <v>0</v>
      </c>
      <c r="N25" s="82" t="b">
        <f>IF(AND(I25=TRUE,J25=TRUE),TRUE,FALSE)</f>
        <v>0</v>
      </c>
      <c r="O25" s="204"/>
      <c r="P25" s="142"/>
    </row>
    <row r="26" spans="1:16" x14ac:dyDescent="0.35">
      <c r="A26" s="153" t="str">
        <f>'User questionnaire'!C33</f>
        <v>outside heat transfer coeff</v>
      </c>
      <c r="B26" s="153" t="s">
        <v>412</v>
      </c>
      <c r="C26" t="s">
        <v>232</v>
      </c>
      <c r="D26" t="s">
        <v>228</v>
      </c>
      <c r="H26" s="203"/>
      <c r="I26" s="82" t="b">
        <f>ISNUMBER('User questionnaire'!E33)</f>
        <v>0</v>
      </c>
      <c r="J26" s="82" t="b">
        <f>IF('User questionnaire'!E33&gt;0,TRUE,FALSE)</f>
        <v>0</v>
      </c>
      <c r="N26" s="82" t="b">
        <f t="shared" ref="N26" si="8">IF(AND(I26=TRUE,J26=TRUE),TRUE,FALSE)</f>
        <v>0</v>
      </c>
      <c r="O26" s="204"/>
      <c r="P26" s="142"/>
    </row>
    <row r="27" spans="1:16" s="142" customFormat="1" x14ac:dyDescent="0.35">
      <c r="A27" s="153" t="str">
        <f>'User questionnaire'!C34</f>
        <v>overall heat transfer coeff</v>
      </c>
      <c r="B27" s="153" t="s">
        <v>412</v>
      </c>
      <c r="C27" s="142" t="s">
        <v>232</v>
      </c>
      <c r="D27" s="142" t="s">
        <v>228</v>
      </c>
      <c r="H27" s="82"/>
      <c r="I27" s="82" t="b">
        <f>ISNUMBER('User questionnaire'!E34)</f>
        <v>0</v>
      </c>
      <c r="J27" s="82" t="b">
        <f>IF('User questionnaire'!E34&gt;0,TRUE,FALSE)</f>
        <v>0</v>
      </c>
      <c r="N27" s="82" t="b">
        <f t="shared" ref="N27" si="9">IF(AND(I27=TRUE,J27=TRUE),TRUE,FALSE)</f>
        <v>0</v>
      </c>
      <c r="O27" s="142" t="b">
        <f t="shared" ref="O27:O28" si="10">N27</f>
        <v>0</v>
      </c>
    </row>
    <row r="28" spans="1:16" x14ac:dyDescent="0.35">
      <c r="A28" s="153" t="str">
        <f>'User questionnaire'!C35</f>
        <v>heat flux</v>
      </c>
      <c r="B28" s="153" t="s">
        <v>412</v>
      </c>
      <c r="C28" t="s">
        <v>232</v>
      </c>
      <c r="H28" s="82"/>
      <c r="I28" s="82" t="b">
        <f>ISNUMBER('User questionnaire'!E35)</f>
        <v>0</v>
      </c>
      <c r="N28" s="82" t="b">
        <f>I28</f>
        <v>0</v>
      </c>
      <c r="O28" s="142" t="b">
        <f t="shared" si="10"/>
        <v>0</v>
      </c>
    </row>
    <row r="29" spans="1:16" s="157" customFormat="1" x14ac:dyDescent="0.35"/>
    <row r="30" spans="1:16" s="107" customFormat="1" x14ac:dyDescent="0.35">
      <c r="A30" s="153" t="str">
        <f>'User questionnaire'!C37</f>
        <v>active catalyst/metal</v>
      </c>
      <c r="B30" s="153" t="s">
        <v>411</v>
      </c>
      <c r="C30" s="107" t="s">
        <v>322</v>
      </c>
      <c r="D30" s="107" t="s">
        <v>323</v>
      </c>
      <c r="H30" s="82" t="b">
        <v>1</v>
      </c>
      <c r="I30" s="82" t="b">
        <f>ISTEXT('User questionnaire'!E37)</f>
        <v>1</v>
      </c>
      <c r="J30" s="82" t="b">
        <f>IF(COUNTIF(Calculations!K:K,'User questionnaire'!E37)&gt;0,TRUE,FALSE)</f>
        <v>1</v>
      </c>
      <c r="N30" s="82" t="b">
        <f>IF(AND(I30=TRUE,J30=TRUE),TRUE,FALSE)</f>
        <v>1</v>
      </c>
      <c r="O30" s="107" t="b">
        <f>N30</f>
        <v>1</v>
      </c>
      <c r="P30" s="107" t="b">
        <f>AND(O30:O31)</f>
        <v>1</v>
      </c>
    </row>
    <row r="31" spans="1:16" x14ac:dyDescent="0.35">
      <c r="A31" s="153" t="str">
        <f>'User questionnaire'!C38</f>
        <v>metal loading</v>
      </c>
      <c r="B31" s="153" t="s">
        <v>411</v>
      </c>
      <c r="C31" t="s">
        <v>232</v>
      </c>
      <c r="D31" t="s">
        <v>231</v>
      </c>
      <c r="H31" s="82" t="b">
        <v>1</v>
      </c>
      <c r="I31" s="82" t="b">
        <f>ISNUMBER('User questionnaire'!E38)</f>
        <v>1</v>
      </c>
      <c r="J31" s="82" t="b">
        <f>IF(AND('User questionnaire'!E38&gt;0,'User questionnaire'!E38&lt;100),TRUE,FALSE)</f>
        <v>1</v>
      </c>
      <c r="N31" s="82" t="b">
        <f>IF(AND(I31=TRUE,J31=TRUE),TRUE,FALSE)</f>
        <v>1</v>
      </c>
      <c r="O31" t="b">
        <f>N31</f>
        <v>1</v>
      </c>
    </row>
    <row r="32" spans="1:16" x14ac:dyDescent="0.35">
      <c r="A32" s="153" t="str">
        <f>'User questionnaire'!C39</f>
        <v>particle porosity</v>
      </c>
      <c r="B32" s="153" t="s">
        <v>414</v>
      </c>
      <c r="C32" t="s">
        <v>232</v>
      </c>
      <c r="D32" t="s">
        <v>231</v>
      </c>
      <c r="H32" s="82" t="b">
        <v>0</v>
      </c>
      <c r="I32" s="82" t="b">
        <f>ISNUMBER('User questionnaire'!E39)</f>
        <v>0</v>
      </c>
      <c r="J32" s="82" t="b">
        <f>IF(AND('User questionnaire'!E39&gt;0,'User questionnaire'!E39&lt;100),TRUE,FALSE)</f>
        <v>0</v>
      </c>
      <c r="N32" s="82" t="b">
        <f>IF(AND(I32=TRUE,J32=TRUE),TRUE,FALSE)</f>
        <v>0</v>
      </c>
      <c r="O32" t="b">
        <f>N32</f>
        <v>0</v>
      </c>
    </row>
    <row r="34" spans="1:16" x14ac:dyDescent="0.35">
      <c r="A34" s="153" t="str">
        <f>'User questionnaire'!C41</f>
        <v>H2 uptake</v>
      </c>
      <c r="B34" s="201" t="s">
        <v>417</v>
      </c>
      <c r="C34" t="s">
        <v>232</v>
      </c>
      <c r="D34" t="s">
        <v>228</v>
      </c>
      <c r="H34" s="203" t="b">
        <v>1</v>
      </c>
      <c r="I34" s="82" t="b">
        <f>ISNUMBER('User questionnaire'!E41)</f>
        <v>0</v>
      </c>
      <c r="J34" s="82" t="b">
        <f>IF('User questionnaire'!E41&gt;=0,TRUE,FALSE)</f>
        <v>1</v>
      </c>
      <c r="N34" s="82" t="b">
        <f t="shared" ref="N34:N40" si="11">IF(AND(I34=TRUE,J34=TRUE),TRUE,FALSE)</f>
        <v>0</v>
      </c>
      <c r="O34" s="204" t="b">
        <f>IF(AND(COUNTIF(N34:N40,TRUE)=1,COUNTA('User questionnaire'!E41:E47)=1),TRUE,FALSE)</f>
        <v>1</v>
      </c>
      <c r="P34" t="b">
        <f>O34</f>
        <v>1</v>
      </c>
    </row>
    <row r="35" spans="1:16" x14ac:dyDescent="0.35">
      <c r="A35" s="153" t="str">
        <f>'User questionnaire'!C42</f>
        <v>CO uptake</v>
      </c>
      <c r="B35" s="202"/>
      <c r="C35" t="s">
        <v>232</v>
      </c>
      <c r="D35" t="s">
        <v>228</v>
      </c>
      <c r="H35" s="203"/>
      <c r="I35" s="82" t="b">
        <f>ISNUMBER('User questionnaire'!E42)</f>
        <v>0</v>
      </c>
      <c r="J35" s="82" t="b">
        <f>IF('User questionnaire'!E42&gt;=0,TRUE,FALSE)</f>
        <v>1</v>
      </c>
      <c r="N35" s="82" t="b">
        <f t="shared" si="11"/>
        <v>0</v>
      </c>
      <c r="O35" s="204"/>
    </row>
    <row r="36" spans="1:16" x14ac:dyDescent="0.35">
      <c r="A36" s="153" t="str">
        <f>'User questionnaire'!C43</f>
        <v>NP diameter</v>
      </c>
      <c r="B36" s="202"/>
      <c r="C36" t="s">
        <v>232</v>
      </c>
      <c r="D36" t="s">
        <v>228</v>
      </c>
      <c r="H36" s="203"/>
      <c r="I36" s="82" t="b">
        <f>ISNUMBER('User questionnaire'!E43)</f>
        <v>0</v>
      </c>
      <c r="J36" s="82" t="b">
        <f>IF('User questionnaire'!E43&gt;=0,TRUE,FALSE)</f>
        <v>1</v>
      </c>
      <c r="N36" s="82" t="b">
        <f t="shared" si="11"/>
        <v>0</v>
      </c>
      <c r="O36" s="204"/>
    </row>
    <row r="37" spans="1:16" x14ac:dyDescent="0.35">
      <c r="A37" s="153" t="str">
        <f>'User questionnaire'!C44</f>
        <v>dispersion</v>
      </c>
      <c r="B37" s="202"/>
      <c r="C37" t="s">
        <v>232</v>
      </c>
      <c r="D37" t="s">
        <v>231</v>
      </c>
      <c r="H37" s="203"/>
      <c r="I37" s="82" t="b">
        <f>ISNUMBER('User questionnaire'!E44)</f>
        <v>1</v>
      </c>
      <c r="J37" s="82" t="b">
        <f>IF(AND('User questionnaire'!E44&gt;0,'User questionnaire'!E44&lt;100),TRUE,FALSE)</f>
        <v>1</v>
      </c>
      <c r="N37" s="82" t="b">
        <f t="shared" si="11"/>
        <v>1</v>
      </c>
      <c r="O37" s="204"/>
    </row>
    <row r="38" spans="1:16" x14ac:dyDescent="0.35">
      <c r="A38" s="153" t="str">
        <f>'User questionnaire'!C45</f>
        <v>SSA (only metal)</v>
      </c>
      <c r="B38" s="202"/>
      <c r="C38" t="s">
        <v>232</v>
      </c>
      <c r="D38" t="s">
        <v>228</v>
      </c>
      <c r="H38" s="203"/>
      <c r="I38" s="82" t="b">
        <f>ISNUMBER('User questionnaire'!E45)</f>
        <v>0</v>
      </c>
      <c r="J38" s="82" t="b">
        <f>IF('User questionnaire'!E45&gt;=0,TRUE,FALSE)</f>
        <v>1</v>
      </c>
      <c r="N38" s="82" t="b">
        <f t="shared" si="11"/>
        <v>0</v>
      </c>
      <c r="O38" s="204"/>
    </row>
    <row r="39" spans="1:16" s="157" customFormat="1" x14ac:dyDescent="0.35">
      <c r="A39" s="157" t="str">
        <f>'User questionnaire'!C46</f>
        <v>volume-specific surface area</v>
      </c>
      <c r="B39" s="202"/>
      <c r="C39" s="157" t="s">
        <v>232</v>
      </c>
      <c r="D39" s="157" t="s">
        <v>228</v>
      </c>
      <c r="H39" s="203"/>
      <c r="I39" s="82" t="b">
        <f>ISNUMBER('User questionnaire'!E46)</f>
        <v>0</v>
      </c>
      <c r="J39" s="82" t="b">
        <f>IF('User questionnaire'!E46&gt;=0,TRUE,FALSE)</f>
        <v>1</v>
      </c>
      <c r="N39" s="82" t="b">
        <f t="shared" si="11"/>
        <v>0</v>
      </c>
      <c r="O39" s="204"/>
    </row>
    <row r="40" spans="1:16" s="142" customFormat="1" x14ac:dyDescent="0.35">
      <c r="A40" s="153" t="str">
        <f>'User questionnaire'!C47</f>
        <v>ratio catalytic / geometric area</v>
      </c>
      <c r="B40" s="202"/>
      <c r="C40" s="142" t="s">
        <v>232</v>
      </c>
      <c r="D40" s="142" t="s">
        <v>228</v>
      </c>
      <c r="H40" s="203"/>
      <c r="I40" s="82" t="b">
        <f>ISNUMBER('User questionnaire'!E47)</f>
        <v>0</v>
      </c>
      <c r="J40" s="82" t="b">
        <f>IF('User questionnaire'!E47&gt;0,TRUE,FALSE)</f>
        <v>0</v>
      </c>
      <c r="N40" s="82" t="b">
        <f t="shared" si="11"/>
        <v>0</v>
      </c>
      <c r="O40" s="204"/>
    </row>
    <row r="42" spans="1:16" x14ac:dyDescent="0.35">
      <c r="A42" s="153" t="str">
        <f>'User questionnaire'!C49</f>
        <v>GHSV</v>
      </c>
      <c r="B42" s="201" t="s">
        <v>418</v>
      </c>
      <c r="C42" t="s">
        <v>232</v>
      </c>
      <c r="D42" t="s">
        <v>228</v>
      </c>
      <c r="H42" s="203" t="b">
        <v>1</v>
      </c>
      <c r="I42" s="82" t="b">
        <f>ISNUMBER('User questionnaire'!E49)</f>
        <v>0</v>
      </c>
      <c r="J42" s="82" t="b">
        <f>IF('User questionnaire'!E49&gt;=0,TRUE,FALSE)</f>
        <v>1</v>
      </c>
      <c r="N42" s="82" t="b">
        <f t="shared" ref="N42:N48" si="12">IF(AND(I42=TRUE,J42=TRUE),TRUE,FALSE)</f>
        <v>0</v>
      </c>
      <c r="O42" s="204" t="b">
        <f>OR(IF(AND(COUNTIF(N42:N45,TRUE)=1,COUNTA('User questionnaire'!E49:E52)=1),TRUE,FALSE),AND(O23,IF('User questionnaire'!E68="no",TRUE,FALSE),IF('User questionnaire'!E69="no",TRUE,FALSE)))</f>
        <v>1</v>
      </c>
      <c r="P42" t="b">
        <f>AND(O42:O45)</f>
        <v>1</v>
      </c>
    </row>
    <row r="43" spans="1:16" x14ac:dyDescent="0.35">
      <c r="A43" s="153" t="str">
        <f>'User questionnaire'!C50</f>
        <v>WHSV</v>
      </c>
      <c r="B43" s="202"/>
      <c r="C43" t="s">
        <v>232</v>
      </c>
      <c r="D43" t="s">
        <v>228</v>
      </c>
      <c r="H43" s="203"/>
      <c r="I43" s="82" t="b">
        <f>ISNUMBER('User questionnaire'!E50)</f>
        <v>1</v>
      </c>
      <c r="J43" s="82" t="b">
        <f>IF('User questionnaire'!E50&gt;=0,TRUE,FALSE)</f>
        <v>1</v>
      </c>
      <c r="N43" s="82" t="b">
        <f t="shared" si="12"/>
        <v>1</v>
      </c>
      <c r="O43" s="204"/>
    </row>
    <row r="44" spans="1:16" x14ac:dyDescent="0.35">
      <c r="A44" s="153" t="str">
        <f>'User questionnaire'!C51</f>
        <v>volumetric flow rate</v>
      </c>
      <c r="B44" s="202"/>
      <c r="C44" t="s">
        <v>232</v>
      </c>
      <c r="D44" t="s">
        <v>228</v>
      </c>
      <c r="H44" s="203"/>
      <c r="I44" s="82" t="b">
        <f>ISNUMBER('User questionnaire'!E51)</f>
        <v>0</v>
      </c>
      <c r="J44" s="82" t="b">
        <f>IF('User questionnaire'!E51&gt;=0,TRUE,FALSE)</f>
        <v>1</v>
      </c>
      <c r="N44" s="82" t="b">
        <f t="shared" si="12"/>
        <v>0</v>
      </c>
      <c r="O44" s="204"/>
    </row>
    <row r="45" spans="1:16" x14ac:dyDescent="0.35">
      <c r="A45" s="153" t="str">
        <f>'User questionnaire'!C52</f>
        <v>linear velocity</v>
      </c>
      <c r="B45" s="202"/>
      <c r="C45" t="s">
        <v>232</v>
      </c>
      <c r="D45" t="s">
        <v>228</v>
      </c>
      <c r="H45" s="203"/>
      <c r="I45" s="82" t="b">
        <f>ISNUMBER('User questionnaire'!E52)</f>
        <v>0</v>
      </c>
      <c r="J45" s="82" t="b">
        <f>IF('User questionnaire'!E52&gt;=0,TRUE,FALSE)</f>
        <v>1</v>
      </c>
      <c r="N45" s="82" t="b">
        <f t="shared" si="12"/>
        <v>0</v>
      </c>
      <c r="O45" s="204"/>
    </row>
    <row r="46" spans="1:16" s="159" customFormat="1" x14ac:dyDescent="0.35">
      <c r="B46" s="161"/>
      <c r="H46" s="162"/>
      <c r="I46" s="82"/>
      <c r="J46" s="82"/>
      <c r="N46" s="82"/>
      <c r="O46" s="160"/>
    </row>
    <row r="47" spans="1:16" x14ac:dyDescent="0.35">
      <c r="A47" s="153" t="str">
        <f>'User questionnaire'!C54</f>
        <v>pressure</v>
      </c>
      <c r="B47" s="153" t="s">
        <v>411</v>
      </c>
      <c r="C47" t="s">
        <v>232</v>
      </c>
      <c r="D47" t="s">
        <v>228</v>
      </c>
      <c r="H47" s="82" t="b">
        <v>1</v>
      </c>
      <c r="I47" s="82" t="b">
        <f>ISNUMBER('User questionnaire'!E54)</f>
        <v>1</v>
      </c>
      <c r="J47" s="82" t="b">
        <f>IF('User questionnaire'!E54&gt;=0,TRUE,FALSE)</f>
        <v>1</v>
      </c>
      <c r="N47" s="82" t="b">
        <f t="shared" si="12"/>
        <v>1</v>
      </c>
      <c r="O47" t="b">
        <f>N47</f>
        <v>1</v>
      </c>
    </row>
    <row r="48" spans="1:16" x14ac:dyDescent="0.35">
      <c r="A48" s="153" t="str">
        <f>'User questionnaire'!C55</f>
        <v>reactor inlet temperature</v>
      </c>
      <c r="B48" s="153" t="s">
        <v>411</v>
      </c>
      <c r="C48" t="s">
        <v>232</v>
      </c>
      <c r="D48" t="s">
        <v>228</v>
      </c>
      <c r="H48" s="82" t="b">
        <v>1</v>
      </c>
      <c r="I48" s="82" t="b">
        <f>ISNUMBER('User questionnaire'!E55)</f>
        <v>1</v>
      </c>
      <c r="J48" s="82" t="b">
        <f>IF('User questionnaire'!E55&gt;=0,TRUE,FALSE)</f>
        <v>1</v>
      </c>
      <c r="N48" s="82" t="b">
        <f t="shared" si="12"/>
        <v>1</v>
      </c>
      <c r="O48" t="b">
        <f>N48</f>
        <v>1</v>
      </c>
    </row>
    <row r="50" spans="1:16" ht="14.5" customHeight="1" x14ac:dyDescent="0.35">
      <c r="A50" s="153" t="str">
        <f>'User questionnaire'!C57</f>
        <v>H2</v>
      </c>
      <c r="B50" s="153" t="s">
        <v>411</v>
      </c>
      <c r="C50" t="s">
        <v>232</v>
      </c>
      <c r="D50" t="s">
        <v>238</v>
      </c>
      <c r="E50" s="205" t="s">
        <v>229</v>
      </c>
      <c r="H50" s="82" t="b">
        <v>1</v>
      </c>
      <c r="I50" s="82" t="b">
        <f>ISNUMBER('User questionnaire'!E57)</f>
        <v>1</v>
      </c>
      <c r="J50" s="82" t="b">
        <f>IF(AND('User questionnaire'!E57&gt;=0,'User questionnaire'!E57&lt;=1),TRUE,FALSE)</f>
        <v>1</v>
      </c>
      <c r="K50" s="206" t="b">
        <f>IF(SUM('User questionnaire'!E57:E66)=1,TRUE,FALSE)</f>
        <v>1</v>
      </c>
      <c r="N50" s="82" t="b">
        <f t="shared" ref="N50:N59" si="13">IF(AND(I50=TRUE,J50=TRUE),TRUE,FALSE)</f>
        <v>1</v>
      </c>
      <c r="O50" s="202" t="b">
        <f>AND(COUNTIF(N50:N59,TRUE)&gt;0,COUNTIF(N50:N59,TRUE)=COUNTA('User questionnaire'!E57:E66),K50)</f>
        <v>1</v>
      </c>
      <c r="P50" t="b">
        <f>O50</f>
        <v>1</v>
      </c>
    </row>
    <row r="51" spans="1:16" x14ac:dyDescent="0.35">
      <c r="A51" s="153" t="str">
        <f>'User questionnaire'!C58</f>
        <v>CO</v>
      </c>
      <c r="B51" s="153" t="s">
        <v>414</v>
      </c>
      <c r="C51" t="s">
        <v>232</v>
      </c>
      <c r="D51" t="s">
        <v>238</v>
      </c>
      <c r="E51" s="205"/>
      <c r="H51" s="82" t="b">
        <v>0</v>
      </c>
      <c r="I51" s="82" t="b">
        <f>ISNUMBER('User questionnaire'!E58)</f>
        <v>1</v>
      </c>
      <c r="J51" s="82" t="b">
        <f>IF(AND('User questionnaire'!E58&gt;=0,'User questionnaire'!E58&lt;=1),TRUE,FALSE)</f>
        <v>1</v>
      </c>
      <c r="K51" s="206"/>
      <c r="N51" s="82" t="b">
        <f t="shared" si="13"/>
        <v>1</v>
      </c>
      <c r="O51" s="202"/>
    </row>
    <row r="52" spans="1:16" x14ac:dyDescent="0.35">
      <c r="A52" s="153" t="str">
        <f>'User questionnaire'!C59</f>
        <v>CO2</v>
      </c>
      <c r="B52" s="153" t="s">
        <v>414</v>
      </c>
      <c r="C52" t="s">
        <v>232</v>
      </c>
      <c r="D52" t="s">
        <v>238</v>
      </c>
      <c r="E52" s="205"/>
      <c r="H52" s="82" t="b">
        <v>0</v>
      </c>
      <c r="I52" s="82" t="b">
        <f>ISNUMBER('User questionnaire'!E59)</f>
        <v>1</v>
      </c>
      <c r="J52" s="82" t="b">
        <f>IF(AND('User questionnaire'!E59&gt;=0,'User questionnaire'!E59&lt;=1),TRUE,FALSE)</f>
        <v>1</v>
      </c>
      <c r="K52" s="206"/>
      <c r="N52" s="82" t="b">
        <f t="shared" si="13"/>
        <v>1</v>
      </c>
      <c r="O52" s="202"/>
    </row>
    <row r="53" spans="1:16" x14ac:dyDescent="0.35">
      <c r="A53" s="153">
        <f>'User questionnaire'!C60</f>
        <v>0</v>
      </c>
      <c r="B53" s="153" t="s">
        <v>414</v>
      </c>
      <c r="C53" t="s">
        <v>232</v>
      </c>
      <c r="D53" t="s">
        <v>238</v>
      </c>
      <c r="E53" s="205"/>
      <c r="H53" s="82" t="b">
        <v>0</v>
      </c>
      <c r="I53" s="82" t="b">
        <f>ISNUMBER('User questionnaire'!E60)</f>
        <v>0</v>
      </c>
      <c r="J53" s="82" t="b">
        <f>IF(AND('User questionnaire'!E60&gt;=0,'User questionnaire'!E60&lt;=1),TRUE,FALSE)</f>
        <v>1</v>
      </c>
      <c r="K53" s="206"/>
      <c r="N53" s="82" t="b">
        <f t="shared" si="13"/>
        <v>0</v>
      </c>
      <c r="O53" s="202"/>
    </row>
    <row r="54" spans="1:16" x14ac:dyDescent="0.35">
      <c r="A54" s="153">
        <f>'User questionnaire'!C61</f>
        <v>0</v>
      </c>
      <c r="B54" s="153" t="s">
        <v>414</v>
      </c>
      <c r="C54" t="s">
        <v>232</v>
      </c>
      <c r="D54" t="s">
        <v>238</v>
      </c>
      <c r="E54" s="205"/>
      <c r="H54" s="82" t="b">
        <v>0</v>
      </c>
      <c r="I54" s="82" t="b">
        <f>ISNUMBER('User questionnaire'!E61)</f>
        <v>0</v>
      </c>
      <c r="J54" s="82" t="b">
        <f>IF(AND('User questionnaire'!E61&gt;=0,'User questionnaire'!E61&lt;=1),TRUE,FALSE)</f>
        <v>1</v>
      </c>
      <c r="K54" s="206"/>
      <c r="N54" s="82" t="b">
        <f t="shared" si="13"/>
        <v>0</v>
      </c>
      <c r="O54" s="202"/>
    </row>
    <row r="55" spans="1:16" x14ac:dyDescent="0.35">
      <c r="A55" s="153">
        <f>'User questionnaire'!C62</f>
        <v>0</v>
      </c>
      <c r="B55" s="153" t="s">
        <v>414</v>
      </c>
      <c r="C55" t="s">
        <v>232</v>
      </c>
      <c r="D55" t="s">
        <v>238</v>
      </c>
      <c r="E55" s="205"/>
      <c r="H55" s="82" t="b">
        <v>0</v>
      </c>
      <c r="I55" s="82" t="b">
        <f>ISNUMBER('User questionnaire'!E62)</f>
        <v>0</v>
      </c>
      <c r="J55" s="82" t="b">
        <f>IF(AND('User questionnaire'!E62&gt;=0,'User questionnaire'!E62&lt;=1),TRUE,FALSE)</f>
        <v>1</v>
      </c>
      <c r="K55" s="206"/>
      <c r="N55" s="82" t="b">
        <f t="shared" si="13"/>
        <v>0</v>
      </c>
      <c r="O55" s="202"/>
    </row>
    <row r="56" spans="1:16" x14ac:dyDescent="0.35">
      <c r="A56" s="153" t="str">
        <f>'User questionnaire'!C63</f>
        <v>Ar</v>
      </c>
      <c r="B56" s="153" t="s">
        <v>414</v>
      </c>
      <c r="C56" t="s">
        <v>232</v>
      </c>
      <c r="D56" t="s">
        <v>238</v>
      </c>
      <c r="E56" s="205"/>
      <c r="H56" s="82" t="b">
        <v>0</v>
      </c>
      <c r="I56" s="82" t="b">
        <f>ISNUMBER('User questionnaire'!E63)</f>
        <v>1</v>
      </c>
      <c r="J56" s="82" t="b">
        <f>IF(AND('User questionnaire'!E63&gt;=0,'User questionnaire'!E63&lt;=1),TRUE,FALSE)</f>
        <v>1</v>
      </c>
      <c r="K56" s="206"/>
      <c r="N56" s="82" t="b">
        <f t="shared" si="13"/>
        <v>1</v>
      </c>
      <c r="O56" s="202"/>
    </row>
    <row r="57" spans="1:16" x14ac:dyDescent="0.35">
      <c r="A57" s="153">
        <f>'User questionnaire'!C64</f>
        <v>0</v>
      </c>
      <c r="B57" s="153" t="s">
        <v>414</v>
      </c>
      <c r="C57" t="s">
        <v>232</v>
      </c>
      <c r="D57" t="s">
        <v>238</v>
      </c>
      <c r="E57" s="205"/>
      <c r="H57" s="82" t="b">
        <v>0</v>
      </c>
      <c r="I57" s="82" t="b">
        <f>ISNUMBER('User questionnaire'!E64)</f>
        <v>0</v>
      </c>
      <c r="J57" s="82" t="b">
        <f>IF(AND('User questionnaire'!E64&gt;=0,'User questionnaire'!E64&lt;=1),TRUE,FALSE)</f>
        <v>1</v>
      </c>
      <c r="K57" s="206"/>
      <c r="N57" s="82" t="b">
        <f t="shared" si="13"/>
        <v>0</v>
      </c>
      <c r="O57" s="202"/>
    </row>
    <row r="58" spans="1:16" x14ac:dyDescent="0.35">
      <c r="A58" s="153">
        <f>'User questionnaire'!C65</f>
        <v>0</v>
      </c>
      <c r="B58" s="153" t="s">
        <v>414</v>
      </c>
      <c r="C58" t="s">
        <v>232</v>
      </c>
      <c r="D58" t="s">
        <v>238</v>
      </c>
      <c r="E58" s="205"/>
      <c r="H58" s="82" t="b">
        <v>0</v>
      </c>
      <c r="I58" s="82" t="b">
        <f>ISNUMBER('User questionnaire'!E65)</f>
        <v>0</v>
      </c>
      <c r="J58" s="82" t="b">
        <f>IF(AND('User questionnaire'!E65&gt;=0,'User questionnaire'!E65&lt;=1),TRUE,FALSE)</f>
        <v>1</v>
      </c>
      <c r="K58" s="206"/>
      <c r="N58" s="82" t="b">
        <f t="shared" si="13"/>
        <v>0</v>
      </c>
      <c r="O58" s="202"/>
    </row>
    <row r="59" spans="1:16" x14ac:dyDescent="0.35">
      <c r="A59" s="153">
        <f>'User questionnaire'!C66</f>
        <v>0</v>
      </c>
      <c r="B59" s="153" t="s">
        <v>414</v>
      </c>
      <c r="C59" t="s">
        <v>232</v>
      </c>
      <c r="D59" t="s">
        <v>238</v>
      </c>
      <c r="E59" s="205"/>
      <c r="H59" s="82" t="b">
        <v>0</v>
      </c>
      <c r="I59" s="82" t="b">
        <f>ISNUMBER('User questionnaire'!E66)</f>
        <v>0</v>
      </c>
      <c r="J59" s="82" t="b">
        <f>IF(AND('User questionnaire'!E66&gt;=0,'User questionnaire'!E66&lt;=1),TRUE,FALSE)</f>
        <v>1</v>
      </c>
      <c r="K59" s="206"/>
      <c r="N59" s="82" t="b">
        <f t="shared" si="13"/>
        <v>0</v>
      </c>
      <c r="O59" s="202"/>
    </row>
    <row r="61" spans="1:16" x14ac:dyDescent="0.35">
      <c r="A61" s="153" t="str">
        <f>'User questionnaire'!C68</f>
        <v>isothermal</v>
      </c>
      <c r="B61" s="153" t="s">
        <v>411</v>
      </c>
      <c r="C61" t="s">
        <v>395</v>
      </c>
      <c r="H61" s="82" t="b">
        <v>1</v>
      </c>
      <c r="I61" s="82" t="b">
        <f>OR('User questionnaire'!E68="yes",'User questionnaire'!E68="no")</f>
        <v>1</v>
      </c>
      <c r="N61" s="82" t="b">
        <f>I61</f>
        <v>1</v>
      </c>
      <c r="O61" s="204" t="b">
        <f>AND(N61,N62,NOT(AND(IF('User questionnaire'!E68="yes",TRUE,FALSE),IF('User questionnaire'!E69="yes",TRUE,FALSE))))</f>
        <v>1</v>
      </c>
      <c r="P61" t="b">
        <f>AND(O61:O63)</f>
        <v>1</v>
      </c>
    </row>
    <row r="62" spans="1:16" s="142" customFormat="1" x14ac:dyDescent="0.35">
      <c r="A62" s="153" t="str">
        <f>'User questionnaire'!C69</f>
        <v>adiabatic</v>
      </c>
      <c r="B62" s="153" t="s">
        <v>411</v>
      </c>
      <c r="C62" s="142" t="s">
        <v>395</v>
      </c>
      <c r="H62" s="82" t="b">
        <v>1</v>
      </c>
      <c r="I62" s="82" t="b">
        <f>OR('User questionnaire'!E69="yes",'User questionnaire'!E69="no")</f>
        <v>1</v>
      </c>
      <c r="N62" s="82" t="b">
        <f>I62</f>
        <v>1</v>
      </c>
      <c r="O62" s="204"/>
    </row>
    <row r="63" spans="1:16" x14ac:dyDescent="0.35">
      <c r="A63" s="153" t="str">
        <f>'User questionnaire'!C70</f>
        <v>external mass transfer resistance</v>
      </c>
      <c r="B63" s="153" t="s">
        <v>411</v>
      </c>
      <c r="C63" t="s">
        <v>395</v>
      </c>
      <c r="H63" s="82" t="b">
        <v>1</v>
      </c>
      <c r="I63" s="82" t="b">
        <f>OR('User questionnaire'!E70="yes",'User questionnaire'!E70="no")</f>
        <v>1</v>
      </c>
      <c r="N63" s="82" t="b">
        <f>I63</f>
        <v>1</v>
      </c>
      <c r="O63" t="b">
        <f>N63</f>
        <v>1</v>
      </c>
    </row>
  </sheetData>
  <mergeCells count="12">
    <mergeCell ref="O24:O26"/>
    <mergeCell ref="O61:O62"/>
    <mergeCell ref="O34:O40"/>
    <mergeCell ref="O42:O45"/>
    <mergeCell ref="E50:E59"/>
    <mergeCell ref="K50:K59"/>
    <mergeCell ref="O50:O59"/>
    <mergeCell ref="B34:B40"/>
    <mergeCell ref="B42:B45"/>
    <mergeCell ref="H34:H40"/>
    <mergeCell ref="H42:H45"/>
    <mergeCell ref="H24:H26"/>
  </mergeCells>
  <conditionalFormatting sqref="I51:J59 I43:N46 I47:P50 I41:P42 L51:N59 I18:J18 L18:P18 I17:P17 I36:K50 K20:M21 I34:P34 N15:O15 P20:P21 P34:P40 I60:P61 I63:P63 I62:N62 P62 I22:P32 I11:P14 I34:N40">
    <cfRule type="cellIs" dxfId="40" priority="48" operator="equal">
      <formula>TRUE</formula>
    </cfRule>
  </conditionalFormatting>
  <conditionalFormatting sqref="P43:P46 P51:P59 I51:J59">
    <cfRule type="cellIs" dxfId="39" priority="47" operator="equal">
      <formula>TRUE</formula>
    </cfRule>
  </conditionalFormatting>
  <conditionalFormatting sqref="O50 O23:O24 O17:O18 O30:P32 O34:P34 O11:O15 P35 O42 O61 O63 O47:O48">
    <cfRule type="cellIs" dxfId="38" priority="46" operator="equal">
      <formula>FALSE</formula>
    </cfRule>
  </conditionalFormatting>
  <conditionalFormatting sqref="P11:P14 P42 P50 P61:P62">
    <cfRule type="cellIs" dxfId="37" priority="45" operator="equal">
      <formula>FALSE</formula>
    </cfRule>
  </conditionalFormatting>
  <conditionalFormatting sqref="I16:J16">
    <cfRule type="cellIs" dxfId="36" priority="43" operator="equal">
      <formula>TRUE</formula>
    </cfRule>
  </conditionalFormatting>
  <conditionalFormatting sqref="I19:J20">
    <cfRule type="cellIs" dxfId="35" priority="42" operator="equal">
      <formula>TRUE</formula>
    </cfRule>
  </conditionalFormatting>
  <conditionalFormatting sqref="I28">
    <cfRule type="cellIs" dxfId="34" priority="41" operator="equal">
      <formula>TRUE</formula>
    </cfRule>
  </conditionalFormatting>
  <conditionalFormatting sqref="N16">
    <cfRule type="cellIs" dxfId="33" priority="39" operator="equal">
      <formula>TRUE</formula>
    </cfRule>
  </conditionalFormatting>
  <conditionalFormatting sqref="N19:N20">
    <cfRule type="cellIs" dxfId="32" priority="38" operator="equal">
      <formula>TRUE</formula>
    </cfRule>
  </conditionalFormatting>
  <conditionalFormatting sqref="O28">
    <cfRule type="cellIs" dxfId="31" priority="37" operator="equal">
      <formula>TRUE</formula>
    </cfRule>
  </conditionalFormatting>
  <conditionalFormatting sqref="O28">
    <cfRule type="cellIs" dxfId="30" priority="36" operator="equal">
      <formula>FALSE</formula>
    </cfRule>
  </conditionalFormatting>
  <conditionalFormatting sqref="O19:O20">
    <cfRule type="cellIs" dxfId="29" priority="33" operator="equal">
      <formula>TRUE</formula>
    </cfRule>
  </conditionalFormatting>
  <conditionalFormatting sqref="O19:O20">
    <cfRule type="cellIs" dxfId="28" priority="32" operator="equal">
      <formula>FALSE</formula>
    </cfRule>
  </conditionalFormatting>
  <conditionalFormatting sqref="N27">
    <cfRule type="cellIs" dxfId="27" priority="28" operator="equal">
      <formula>TRUE</formula>
    </cfRule>
  </conditionalFormatting>
  <conditionalFormatting sqref="O27">
    <cfRule type="cellIs" dxfId="26" priority="27" operator="equal">
      <formula>TRUE</formula>
    </cfRule>
  </conditionalFormatting>
  <conditionalFormatting sqref="O27">
    <cfRule type="cellIs" dxfId="25" priority="26" operator="equal">
      <formula>FALSE</formula>
    </cfRule>
  </conditionalFormatting>
  <conditionalFormatting sqref="H9">
    <cfRule type="cellIs" dxfId="24" priority="25" operator="equal">
      <formula>TRUE</formula>
    </cfRule>
  </conditionalFormatting>
  <conditionalFormatting sqref="H23:H24 H27:H28">
    <cfRule type="cellIs" dxfId="23" priority="24" operator="equal">
      <formula>TRUE</formula>
    </cfRule>
  </conditionalFormatting>
  <conditionalFormatting sqref="H11 H16 H18:H20">
    <cfRule type="cellIs" dxfId="22" priority="23" operator="equal">
      <formula>TRUE</formula>
    </cfRule>
  </conditionalFormatting>
  <conditionalFormatting sqref="I15">
    <cfRule type="cellIs" dxfId="21" priority="22" operator="equal">
      <formula>TRUE</formula>
    </cfRule>
  </conditionalFormatting>
  <conditionalFormatting sqref="O16">
    <cfRule type="cellIs" dxfId="20" priority="21" operator="equal">
      <formula>TRUE</formula>
    </cfRule>
  </conditionalFormatting>
  <conditionalFormatting sqref="H32">
    <cfRule type="cellIs" dxfId="19" priority="20" operator="equal">
      <formula>TRUE</formula>
    </cfRule>
  </conditionalFormatting>
  <conditionalFormatting sqref="H34">
    <cfRule type="cellIs" dxfId="18" priority="19" operator="equal">
      <formula>TRUE</formula>
    </cfRule>
  </conditionalFormatting>
  <conditionalFormatting sqref="H42">
    <cfRule type="cellIs" dxfId="17" priority="18" operator="equal">
      <formula>TRUE</formula>
    </cfRule>
  </conditionalFormatting>
  <conditionalFormatting sqref="H51:H59">
    <cfRule type="cellIs" dxfId="16" priority="17" operator="equal">
      <formula>TRUE</formula>
    </cfRule>
  </conditionalFormatting>
  <conditionalFormatting sqref="H50">
    <cfRule type="cellIs" dxfId="15" priority="11" operator="equal">
      <formula>TRUE</formula>
    </cfRule>
  </conditionalFormatting>
  <conditionalFormatting sqref="H12:H15">
    <cfRule type="cellIs" dxfId="14" priority="15" operator="equal">
      <formula>TRUE</formula>
    </cfRule>
  </conditionalFormatting>
  <conditionalFormatting sqref="H17">
    <cfRule type="cellIs" dxfId="13" priority="14" operator="equal">
      <formula>TRUE</formula>
    </cfRule>
  </conditionalFormatting>
  <conditionalFormatting sqref="H30:H31">
    <cfRule type="cellIs" dxfId="12" priority="13" operator="equal">
      <formula>TRUE</formula>
    </cfRule>
  </conditionalFormatting>
  <conditionalFormatting sqref="H47:H48">
    <cfRule type="cellIs" dxfId="11" priority="12" operator="equal">
      <formula>TRUE</formula>
    </cfRule>
  </conditionalFormatting>
  <conditionalFormatting sqref="H61:H63">
    <cfRule type="cellIs" dxfId="10" priority="10" operator="equal">
      <formula>TRUE</formula>
    </cfRule>
  </conditionalFormatting>
  <conditionalFormatting sqref="I9">
    <cfRule type="cellIs" dxfId="9" priority="9" operator="equal">
      <formula>TRUE</formula>
    </cfRule>
  </conditionalFormatting>
  <conditionalFormatting sqref="I9">
    <cfRule type="cellIs" dxfId="8" priority="8" operator="equal">
      <formula>FALSE</formula>
    </cfRule>
  </conditionalFormatting>
  <conditionalFormatting sqref="N9:P9">
    <cfRule type="cellIs" dxfId="7" priority="7" operator="equal">
      <formula>TRUE</formula>
    </cfRule>
  </conditionalFormatting>
  <conditionalFormatting sqref="N9:P9">
    <cfRule type="cellIs" dxfId="6" priority="6" operator="equal">
      <formula>FALSE</formula>
    </cfRule>
  </conditionalFormatting>
  <conditionalFormatting sqref="I21:J21">
    <cfRule type="cellIs" dxfId="5" priority="5" operator="equal">
      <formula>TRUE</formula>
    </cfRule>
  </conditionalFormatting>
  <conditionalFormatting sqref="H21">
    <cfRule type="cellIs" dxfId="4" priority="4" operator="equal">
      <formula>TRUE</formula>
    </cfRule>
  </conditionalFormatting>
  <conditionalFormatting sqref="N21">
    <cfRule type="cellIs" dxfId="3" priority="3" operator="equal">
      <formula>TRUE</formula>
    </cfRule>
  </conditionalFormatting>
  <conditionalFormatting sqref="O21">
    <cfRule type="cellIs" dxfId="2" priority="2" operator="equal">
      <formula>TRUE</formula>
    </cfRule>
  </conditionalFormatting>
  <conditionalFormatting sqref="O21">
    <cfRule type="cellIs" dxfId="1" priority="1" operator="equal">
      <formula>FALSE</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68BF-18B5-4D90-8E52-36C8D58433DF}">
  <dimension ref="A1:C27"/>
  <sheetViews>
    <sheetView workbookViewId="0">
      <selection activeCell="C28" sqref="C28"/>
    </sheetView>
  </sheetViews>
  <sheetFormatPr baseColWidth="10" defaultColWidth="8.81640625" defaultRowHeight="14.5" x14ac:dyDescent="0.35"/>
  <cols>
    <col min="1" max="1" width="14.81640625" customWidth="1"/>
    <col min="2" max="2" width="79.453125" customWidth="1"/>
    <col min="3" max="3" width="51.453125" customWidth="1"/>
  </cols>
  <sheetData>
    <row r="1" spans="1:3" x14ac:dyDescent="0.35">
      <c r="A1" s="143" t="s">
        <v>360</v>
      </c>
      <c r="B1" s="143" t="s">
        <v>361</v>
      </c>
      <c r="C1" s="143" t="s">
        <v>366</v>
      </c>
    </row>
    <row r="2" spans="1:3" x14ac:dyDescent="0.35">
      <c r="A2" t="s">
        <v>356</v>
      </c>
      <c r="B2" t="s">
        <v>362</v>
      </c>
      <c r="C2" t="s">
        <v>367</v>
      </c>
    </row>
    <row r="3" spans="1:3" x14ac:dyDescent="0.35">
      <c r="B3" t="s">
        <v>363</v>
      </c>
      <c r="C3" s="139" t="s">
        <v>367</v>
      </c>
    </row>
    <row r="4" spans="1:3" x14ac:dyDescent="0.35">
      <c r="B4" t="s">
        <v>364</v>
      </c>
      <c r="C4" s="139" t="s">
        <v>367</v>
      </c>
    </row>
    <row r="5" spans="1:3" x14ac:dyDescent="0.35">
      <c r="B5" t="s">
        <v>365</v>
      </c>
      <c r="C5" s="139" t="s">
        <v>367</v>
      </c>
    </row>
    <row r="6" spans="1:3" x14ac:dyDescent="0.35">
      <c r="A6" t="s">
        <v>370</v>
      </c>
      <c r="B6" t="s">
        <v>371</v>
      </c>
      <c r="C6" t="s">
        <v>367</v>
      </c>
    </row>
    <row r="7" spans="1:3" x14ac:dyDescent="0.35">
      <c r="B7" t="s">
        <v>398</v>
      </c>
      <c r="C7" t="s">
        <v>367</v>
      </c>
    </row>
    <row r="8" spans="1:3" x14ac:dyDescent="0.35">
      <c r="B8" t="s">
        <v>399</v>
      </c>
      <c r="C8" t="s">
        <v>367</v>
      </c>
    </row>
    <row r="9" spans="1:3" x14ac:dyDescent="0.35">
      <c r="A9" t="s">
        <v>402</v>
      </c>
      <c r="B9" t="s">
        <v>420</v>
      </c>
      <c r="C9" t="s">
        <v>367</v>
      </c>
    </row>
    <row r="10" spans="1:3" s="154" customFormat="1" x14ac:dyDescent="0.35">
      <c r="B10" s="154" t="s">
        <v>442</v>
      </c>
      <c r="C10" s="154" t="s">
        <v>367</v>
      </c>
    </row>
    <row r="11" spans="1:3" x14ac:dyDescent="0.35">
      <c r="B11" t="s">
        <v>421</v>
      </c>
      <c r="C11" t="s">
        <v>367</v>
      </c>
    </row>
    <row r="12" spans="1:3" x14ac:dyDescent="0.35">
      <c r="B12" t="s">
        <v>439</v>
      </c>
      <c r="C12" t="s">
        <v>367</v>
      </c>
    </row>
    <row r="13" spans="1:3" x14ac:dyDescent="0.35">
      <c r="B13" t="s">
        <v>441</v>
      </c>
      <c r="C13" t="s">
        <v>367</v>
      </c>
    </row>
    <row r="14" spans="1:3" x14ac:dyDescent="0.35">
      <c r="A14" t="s">
        <v>445</v>
      </c>
      <c r="B14" t="s">
        <v>446</v>
      </c>
      <c r="C14" t="s">
        <v>367</v>
      </c>
    </row>
    <row r="15" spans="1:3" x14ac:dyDescent="0.35">
      <c r="B15" t="s">
        <v>457</v>
      </c>
      <c r="C15" t="s">
        <v>367</v>
      </c>
    </row>
    <row r="16" spans="1:3" x14ac:dyDescent="0.35">
      <c r="B16" t="s">
        <v>458</v>
      </c>
      <c r="C16" t="s">
        <v>367</v>
      </c>
    </row>
    <row r="17" spans="1:3" x14ac:dyDescent="0.35">
      <c r="B17" t="s">
        <v>469</v>
      </c>
      <c r="C17" t="s">
        <v>367</v>
      </c>
    </row>
    <row r="18" spans="1:3" x14ac:dyDescent="0.35">
      <c r="B18" t="s">
        <v>442</v>
      </c>
      <c r="C18" t="s">
        <v>367</v>
      </c>
    </row>
    <row r="19" spans="1:3" x14ac:dyDescent="0.35">
      <c r="B19" t="s">
        <v>470</v>
      </c>
      <c r="C19" t="s">
        <v>367</v>
      </c>
    </row>
    <row r="20" spans="1:3" x14ac:dyDescent="0.35">
      <c r="B20" t="s">
        <v>487</v>
      </c>
      <c r="C20" t="s">
        <v>367</v>
      </c>
    </row>
    <row r="21" spans="1:3" x14ac:dyDescent="0.35">
      <c r="B21" t="s">
        <v>490</v>
      </c>
      <c r="C21" t="s">
        <v>367</v>
      </c>
    </row>
    <row r="22" spans="1:3" x14ac:dyDescent="0.35">
      <c r="A22" t="s">
        <v>524</v>
      </c>
      <c r="B22" t="s">
        <v>525</v>
      </c>
      <c r="C22" t="s">
        <v>367</v>
      </c>
    </row>
    <row r="23" spans="1:3" x14ac:dyDescent="0.35">
      <c r="B23" t="s">
        <v>526</v>
      </c>
      <c r="C23" t="s">
        <v>367</v>
      </c>
    </row>
    <row r="24" spans="1:3" x14ac:dyDescent="0.35">
      <c r="B24" t="s">
        <v>527</v>
      </c>
      <c r="C24" t="s">
        <v>367</v>
      </c>
    </row>
    <row r="25" spans="1:3" x14ac:dyDescent="0.35">
      <c r="B25" t="s">
        <v>531</v>
      </c>
      <c r="C25" t="s">
        <v>367</v>
      </c>
    </row>
    <row r="26" spans="1:3" x14ac:dyDescent="0.35">
      <c r="B26" t="s">
        <v>537</v>
      </c>
      <c r="C26" t="s">
        <v>367</v>
      </c>
    </row>
    <row r="27" spans="1:3" x14ac:dyDescent="0.35">
      <c r="B27" t="s">
        <v>538</v>
      </c>
      <c r="C27" t="s">
        <v>539</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287-183C-4D3C-B3A0-67BB0D81A565}">
  <dimension ref="A1:G23"/>
  <sheetViews>
    <sheetView workbookViewId="0">
      <selection activeCell="E23" sqref="E23"/>
    </sheetView>
  </sheetViews>
  <sheetFormatPr baseColWidth="10" defaultColWidth="8.81640625" defaultRowHeight="14.5" x14ac:dyDescent="0.35"/>
  <cols>
    <col min="1" max="1" width="41.6328125" customWidth="1"/>
    <col min="2" max="2" width="81.453125" bestFit="1" customWidth="1"/>
    <col min="3" max="3" width="10.1796875" bestFit="1" customWidth="1"/>
    <col min="4" max="4" width="11.6328125" style="100" customWidth="1"/>
  </cols>
  <sheetData>
    <row r="1" spans="1:7" x14ac:dyDescent="0.35">
      <c r="A1" s="143" t="s">
        <v>255</v>
      </c>
      <c r="B1" s="143" t="s">
        <v>259</v>
      </c>
      <c r="C1" s="143" t="s">
        <v>254</v>
      </c>
      <c r="D1" s="144" t="s">
        <v>280</v>
      </c>
      <c r="E1" s="143" t="s">
        <v>256</v>
      </c>
      <c r="F1" s="143" t="s">
        <v>257</v>
      </c>
      <c r="G1" s="143" t="s">
        <v>277</v>
      </c>
    </row>
    <row r="2" spans="1:7" x14ac:dyDescent="0.35">
      <c r="A2" t="s">
        <v>258</v>
      </c>
      <c r="B2" t="s">
        <v>260</v>
      </c>
      <c r="C2" s="99">
        <v>44285</v>
      </c>
      <c r="D2" s="100">
        <v>1</v>
      </c>
      <c r="E2" t="s">
        <v>262</v>
      </c>
      <c r="F2" t="s">
        <v>262</v>
      </c>
    </row>
    <row r="3" spans="1:7" x14ac:dyDescent="0.35">
      <c r="A3" t="s">
        <v>261</v>
      </c>
      <c r="B3" t="s">
        <v>271</v>
      </c>
      <c r="C3" s="99">
        <v>44285</v>
      </c>
      <c r="D3" s="100">
        <v>2</v>
      </c>
      <c r="E3" t="s">
        <v>262</v>
      </c>
      <c r="F3" t="s">
        <v>262</v>
      </c>
    </row>
    <row r="4" spans="1:7" x14ac:dyDescent="0.35">
      <c r="A4" t="s">
        <v>263</v>
      </c>
      <c r="B4" t="s">
        <v>289</v>
      </c>
      <c r="C4" s="99">
        <v>44285</v>
      </c>
      <c r="D4" s="100">
        <v>3</v>
      </c>
      <c r="E4" t="s">
        <v>262</v>
      </c>
      <c r="F4" t="s">
        <v>262</v>
      </c>
    </row>
    <row r="5" spans="1:7" x14ac:dyDescent="0.35">
      <c r="B5" t="s">
        <v>290</v>
      </c>
      <c r="C5" s="99">
        <v>44285</v>
      </c>
      <c r="D5" s="100">
        <v>3</v>
      </c>
      <c r="E5" t="s">
        <v>262</v>
      </c>
      <c r="F5" t="s">
        <v>262</v>
      </c>
    </row>
    <row r="6" spans="1:7" x14ac:dyDescent="0.35">
      <c r="A6" t="s">
        <v>264</v>
      </c>
      <c r="B6" t="s">
        <v>265</v>
      </c>
      <c r="C6" s="99">
        <v>44285</v>
      </c>
      <c r="D6" s="100">
        <v>3</v>
      </c>
      <c r="E6" t="s">
        <v>262</v>
      </c>
      <c r="F6" t="s">
        <v>262</v>
      </c>
    </row>
    <row r="7" spans="1:7" x14ac:dyDescent="0.35">
      <c r="A7" t="s">
        <v>266</v>
      </c>
      <c r="B7" t="s">
        <v>267</v>
      </c>
      <c r="C7" s="99">
        <v>44285</v>
      </c>
      <c r="D7" s="100">
        <v>2</v>
      </c>
      <c r="E7" t="s">
        <v>262</v>
      </c>
      <c r="F7" t="s">
        <v>262</v>
      </c>
    </row>
    <row r="8" spans="1:7" x14ac:dyDescent="0.35">
      <c r="A8" t="s">
        <v>268</v>
      </c>
      <c r="B8" t="s">
        <v>269</v>
      </c>
      <c r="C8" s="99">
        <v>44285</v>
      </c>
      <c r="D8" s="100">
        <v>2</v>
      </c>
      <c r="E8" t="s">
        <v>262</v>
      </c>
      <c r="F8" t="s">
        <v>262</v>
      </c>
    </row>
    <row r="9" spans="1:7" x14ac:dyDescent="0.35">
      <c r="B9" s="135" t="s">
        <v>279</v>
      </c>
      <c r="C9" s="99">
        <v>44285</v>
      </c>
      <c r="D9" s="100">
        <v>1</v>
      </c>
      <c r="E9" t="s">
        <v>262</v>
      </c>
      <c r="F9" t="s">
        <v>262</v>
      </c>
      <c r="G9" t="s">
        <v>278</v>
      </c>
    </row>
    <row r="10" spans="1:7" x14ac:dyDescent="0.35">
      <c r="A10" t="s">
        <v>270</v>
      </c>
      <c r="B10" t="s">
        <v>272</v>
      </c>
      <c r="C10" s="99">
        <v>44285</v>
      </c>
      <c r="D10" s="100">
        <v>2</v>
      </c>
      <c r="E10" t="s">
        <v>262</v>
      </c>
      <c r="F10" t="s">
        <v>262</v>
      </c>
    </row>
    <row r="11" spans="1:7" x14ac:dyDescent="0.35">
      <c r="A11" t="s">
        <v>273</v>
      </c>
      <c r="B11" t="s">
        <v>274</v>
      </c>
      <c r="C11" s="99">
        <v>44285</v>
      </c>
      <c r="D11" s="100">
        <v>2</v>
      </c>
      <c r="E11" t="s">
        <v>262</v>
      </c>
      <c r="F11" t="s">
        <v>262</v>
      </c>
    </row>
    <row r="12" spans="1:7" x14ac:dyDescent="0.35">
      <c r="A12" t="s">
        <v>276</v>
      </c>
      <c r="B12" t="s">
        <v>275</v>
      </c>
      <c r="C12" s="99">
        <v>44285</v>
      </c>
      <c r="D12" s="100">
        <v>2</v>
      </c>
    </row>
    <row r="13" spans="1:7" x14ac:dyDescent="0.35">
      <c r="A13" t="s">
        <v>281</v>
      </c>
      <c r="B13" t="s">
        <v>282</v>
      </c>
      <c r="C13" s="99">
        <v>44286</v>
      </c>
      <c r="D13" s="100">
        <v>3</v>
      </c>
      <c r="E13" t="s">
        <v>262</v>
      </c>
      <c r="F13" t="s">
        <v>262</v>
      </c>
    </row>
    <row r="14" spans="1:7" x14ac:dyDescent="0.35">
      <c r="A14" t="s">
        <v>317</v>
      </c>
      <c r="B14" t="s">
        <v>318</v>
      </c>
      <c r="C14" s="99">
        <v>44292</v>
      </c>
      <c r="D14" s="100">
        <v>2</v>
      </c>
      <c r="E14" t="s">
        <v>262</v>
      </c>
      <c r="F14" t="s">
        <v>262</v>
      </c>
    </row>
    <row r="15" spans="1:7" x14ac:dyDescent="0.35">
      <c r="A15" t="s">
        <v>331</v>
      </c>
      <c r="B15" t="s">
        <v>330</v>
      </c>
      <c r="C15" s="99">
        <v>44295</v>
      </c>
      <c r="D15" s="100">
        <v>2</v>
      </c>
      <c r="E15" t="s">
        <v>262</v>
      </c>
      <c r="F15" t="s">
        <v>262</v>
      </c>
    </row>
    <row r="16" spans="1:7" x14ac:dyDescent="0.35">
      <c r="A16" t="s">
        <v>372</v>
      </c>
      <c r="B16" t="s">
        <v>373</v>
      </c>
      <c r="C16" s="99">
        <v>44314</v>
      </c>
      <c r="D16" s="100">
        <v>2</v>
      </c>
    </row>
    <row r="17" spans="1:5" x14ac:dyDescent="0.35">
      <c r="A17" t="s">
        <v>403</v>
      </c>
      <c r="B17" t="s">
        <v>404</v>
      </c>
      <c r="C17" s="99">
        <v>44315</v>
      </c>
      <c r="D17" s="100">
        <v>2</v>
      </c>
    </row>
    <row r="18" spans="1:5" x14ac:dyDescent="0.35">
      <c r="A18" t="s">
        <v>415</v>
      </c>
      <c r="B18" t="s">
        <v>416</v>
      </c>
      <c r="C18" s="99">
        <v>44315</v>
      </c>
      <c r="D18" s="100">
        <v>3</v>
      </c>
      <c r="E18" t="s">
        <v>262</v>
      </c>
    </row>
    <row r="19" spans="1:5" x14ac:dyDescent="0.35">
      <c r="A19" t="s">
        <v>422</v>
      </c>
      <c r="B19" t="s">
        <v>423</v>
      </c>
      <c r="C19" s="99">
        <v>44315</v>
      </c>
      <c r="D19" s="100">
        <v>2</v>
      </c>
    </row>
    <row r="20" spans="1:5" x14ac:dyDescent="0.35">
      <c r="A20" t="s">
        <v>443</v>
      </c>
      <c r="B20" t="s">
        <v>444</v>
      </c>
      <c r="C20" s="99">
        <v>44315</v>
      </c>
      <c r="D20" s="100">
        <v>2</v>
      </c>
    </row>
    <row r="21" spans="1:5" x14ac:dyDescent="0.35">
      <c r="A21" t="s">
        <v>447</v>
      </c>
      <c r="B21" t="s">
        <v>448</v>
      </c>
      <c r="C21" s="99">
        <v>44315</v>
      </c>
      <c r="D21" s="100">
        <v>3</v>
      </c>
    </row>
    <row r="22" spans="1:5" x14ac:dyDescent="0.35">
      <c r="A22" t="s">
        <v>473</v>
      </c>
      <c r="B22" t="s">
        <v>474</v>
      </c>
      <c r="C22" s="99">
        <v>44316</v>
      </c>
      <c r="D22" s="100">
        <v>2</v>
      </c>
    </row>
    <row r="23" spans="1:5" x14ac:dyDescent="0.35">
      <c r="A23" t="s">
        <v>485</v>
      </c>
      <c r="B23" t="s">
        <v>486</v>
      </c>
      <c r="C23" s="99">
        <v>44316</v>
      </c>
      <c r="D23" s="100">
        <v>2</v>
      </c>
    </row>
  </sheetData>
  <conditionalFormatting sqref="G1 E1:F1048576">
    <cfRule type="cellIs" dxfId="0" priority="1" operator="equal">
      <formula>"Yes"</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3AAA-412D-43D6-8155-A4444378ED27}">
  <dimension ref="A1:C1"/>
  <sheetViews>
    <sheetView workbookViewId="0">
      <selection activeCell="C2" sqref="C2"/>
    </sheetView>
  </sheetViews>
  <sheetFormatPr baseColWidth="10" defaultColWidth="8.81640625" defaultRowHeight="14.5" x14ac:dyDescent="0.35"/>
  <cols>
    <col min="1" max="1" width="36.453125" customWidth="1"/>
    <col min="2" max="2" width="32.453125" customWidth="1"/>
  </cols>
  <sheetData>
    <row r="1" spans="1:3" x14ac:dyDescent="0.35">
      <c r="A1" s="143" t="s">
        <v>433</v>
      </c>
      <c r="B1" s="143" t="s">
        <v>434</v>
      </c>
      <c r="C1" s="143" t="s">
        <v>360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73</vt:i4>
      </vt:variant>
    </vt:vector>
  </HeadingPairs>
  <TitlesOfParts>
    <vt:vector size="85" baseType="lpstr">
      <vt:lpstr>README</vt:lpstr>
      <vt:lpstr>User questionnaire</vt:lpstr>
      <vt:lpstr>Experimental data</vt:lpstr>
      <vt:lpstr>Normalized parameters</vt:lpstr>
      <vt:lpstr>Calculations</vt:lpstr>
      <vt:lpstr>Checks</vt:lpstr>
      <vt:lpstr>Changelog</vt:lpstr>
      <vt:lpstr>TODO</vt:lpstr>
      <vt:lpstr>User feedback</vt:lpstr>
      <vt:lpstr>Dropdowns</vt:lpstr>
      <vt:lpstr>Old input (for Testing)</vt:lpstr>
      <vt:lpstr>Calculations old</vt:lpstr>
      <vt:lpstr>A_exposed_CO</vt:lpstr>
      <vt:lpstr>A_exposed_disp</vt:lpstr>
      <vt:lpstr>A_exposed_H2</vt:lpstr>
      <vt:lpstr>A_exposed_NP</vt:lpstr>
      <vt:lpstr>A_exposed_SSA</vt:lpstr>
      <vt:lpstr>a_metal_NP</vt:lpstr>
      <vt:lpstr>a_particle</vt:lpstr>
      <vt:lpstr>A_V_ratio</vt:lpstr>
      <vt:lpstr>active_species</vt:lpstr>
      <vt:lpstr>bed_crosssection</vt:lpstr>
      <vt:lpstr>bed_diameter</vt:lpstr>
      <vt:lpstr>bed_length</vt:lpstr>
      <vt:lpstr>bed_porosity</vt:lpstr>
      <vt:lpstr>cat_diameter</vt:lpstr>
      <vt:lpstr>cat_loading</vt:lpstr>
      <vt:lpstr>cat_mass</vt:lpstr>
      <vt:lpstr>cat_therm_cond</vt:lpstr>
      <vt:lpstr>catalyst_id</vt:lpstr>
      <vt:lpstr>catalytic_area</vt:lpstr>
      <vt:lpstr>CO_uptake</vt:lpstr>
      <vt:lpstr>experiment_date</vt:lpstr>
      <vt:lpstr>experiment_name</vt:lpstr>
      <vt:lpstr>experiment_operators</vt:lpstr>
      <vt:lpstr>experiment_source</vt:lpstr>
      <vt:lpstr>f_cat_geo</vt:lpstr>
      <vt:lpstr>flow_rate</vt:lpstr>
      <vt:lpstr>flow_rate_ghsv</vt:lpstr>
      <vt:lpstr>flow_rate_whsv</vt:lpstr>
      <vt:lpstr>geometric_area</vt:lpstr>
      <vt:lpstr>GHSV</vt:lpstr>
      <vt:lpstr>H2_uptake</vt:lpstr>
      <vt:lpstr>inlet_temp</vt:lpstr>
      <vt:lpstr>length</vt:lpstr>
      <vt:lpstr>lin_vel</vt:lpstr>
      <vt:lpstr>lin_vel_flow_rate</vt:lpstr>
      <vt:lpstr>lin_vel_ghsv</vt:lpstr>
      <vt:lpstr>lin_vel_whsv</vt:lpstr>
      <vt:lpstr>linear_velocity_calc</vt:lpstr>
      <vt:lpstr>m_metal</vt:lpstr>
      <vt:lpstr>mass_transfer</vt:lpstr>
      <vt:lpstr>no_exposed_atoms</vt:lpstr>
      <vt:lpstr>no_metal_atoms</vt:lpstr>
      <vt:lpstr>no_particles</vt:lpstr>
      <vt:lpstr>no_sites_CO</vt:lpstr>
      <vt:lpstr>no_sites_H2</vt:lpstr>
      <vt:lpstr>NP_A_V_ratio</vt:lpstr>
      <vt:lpstr>NP_diameter</vt:lpstr>
      <vt:lpstr>NP_dispersion</vt:lpstr>
      <vt:lpstr>NP_SSA</vt:lpstr>
      <vt:lpstr>particle_fraction</vt:lpstr>
      <vt:lpstr>particle_porosity</vt:lpstr>
      <vt:lpstr>pressure</vt:lpstr>
      <vt:lpstr>solid_volume</vt:lpstr>
      <vt:lpstr>source</vt:lpstr>
      <vt:lpstr>species_1</vt:lpstr>
      <vt:lpstr>species_10</vt:lpstr>
      <vt:lpstr>species_2</vt:lpstr>
      <vt:lpstr>species_3</vt:lpstr>
      <vt:lpstr>species_4</vt:lpstr>
      <vt:lpstr>species_5</vt:lpstr>
      <vt:lpstr>species_6</vt:lpstr>
      <vt:lpstr>species_7</vt:lpstr>
      <vt:lpstr>species_8</vt:lpstr>
      <vt:lpstr>species_9</vt:lpstr>
      <vt:lpstr>test</vt:lpstr>
      <vt:lpstr>thermal_mode</vt:lpstr>
      <vt:lpstr>v_metal</vt:lpstr>
      <vt:lpstr>v_particle</vt:lpstr>
      <vt:lpstr>v_reactor</vt:lpstr>
      <vt:lpstr>wall_temperature</vt:lpstr>
      <vt:lpstr>wall_therm_cond</vt:lpstr>
      <vt:lpstr>wall_thickness</vt:lpstr>
      <vt:lpstr>WHSV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Giehr, Andreas (IKFT)</dc:creator>
  <dc:description/>
  <cp:lastModifiedBy>Chacko, Rinu (ITCP)</cp:lastModifiedBy>
  <cp:revision>50</cp:revision>
  <cp:lastPrinted>2021-03-26T09:44:32Z</cp:lastPrinted>
  <dcterms:created xsi:type="dcterms:W3CDTF">2017-11-09T12:36:14Z</dcterms:created>
  <dcterms:modified xsi:type="dcterms:W3CDTF">2021-05-05T08:38:23Z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