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inetpub\wwwroot\WebAPI\App_Data\Documents\"/>
    </mc:Choice>
  </mc:AlternateContent>
  <bookViews>
    <workbookView xWindow="0" yWindow="0" windowWidth="20490" windowHeight="7365" tabRatio="788"/>
  </bookViews>
  <sheets>
    <sheet name="BS2" sheetId="25" r:id="rId1"/>
    <sheet name="Sheet1" sheetId="24" r:id="rId2"/>
  </sheets>
  <externalReferences>
    <externalReference r:id="rId3"/>
  </externalReferences>
  <definedNames>
    <definedName name="_xlnm.Print_Area" localSheetId="0">'BS2'!$A$1:$I$47</definedName>
    <definedName name="_xlnm.Print_Area" localSheetId="1">Sheet1!$A$1:$I$92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" i="25" l="1"/>
  <c r="G82" i="25"/>
  <c r="G81" i="25"/>
  <c r="G79" i="25"/>
  <c r="G77" i="25"/>
  <c r="H77" i="25" s="1"/>
  <c r="H79" i="25" s="1"/>
  <c r="H72" i="25"/>
  <c r="G72" i="25"/>
  <c r="F72" i="25"/>
  <c r="H71" i="25"/>
  <c r="H75" i="25" s="1"/>
  <c r="G71" i="25"/>
  <c r="F71" i="25"/>
  <c r="G69" i="25"/>
  <c r="G67" i="25"/>
  <c r="F67" i="25"/>
  <c r="C67" i="25"/>
  <c r="H66" i="25"/>
  <c r="G66" i="25"/>
  <c r="F66" i="25"/>
  <c r="C66" i="25"/>
  <c r="C52" i="25"/>
  <c r="B52" i="25"/>
  <c r="A52" i="25"/>
  <c r="P51" i="25"/>
  <c r="C51" i="25"/>
  <c r="B51" i="25"/>
  <c r="A51" i="25"/>
  <c r="Q50" i="25"/>
  <c r="O50" i="25"/>
  <c r="C50" i="25"/>
  <c r="B50" i="25"/>
  <c r="A50" i="25"/>
  <c r="Q49" i="25"/>
  <c r="O49" i="25"/>
  <c r="B49" i="25"/>
  <c r="A49" i="25"/>
  <c r="C49" i="25" s="1"/>
  <c r="Q48" i="25"/>
  <c r="B48" i="25"/>
  <c r="A48" i="25"/>
  <c r="C48" i="25" s="1"/>
  <c r="Q47" i="25"/>
  <c r="C47" i="25"/>
  <c r="B47" i="25"/>
  <c r="A47" i="25"/>
  <c r="Q46" i="25"/>
  <c r="O46" i="25"/>
  <c r="C46" i="25"/>
  <c r="B46" i="25"/>
  <c r="A46" i="25"/>
  <c r="Q45" i="25"/>
  <c r="O45" i="25"/>
  <c r="B45" i="25"/>
  <c r="A45" i="25"/>
  <c r="C45" i="25" s="1"/>
  <c r="Q44" i="25"/>
  <c r="B44" i="25"/>
  <c r="A44" i="25"/>
  <c r="C44" i="25" s="1"/>
  <c r="Q43" i="25"/>
  <c r="C43" i="25"/>
  <c r="B43" i="25"/>
  <c r="A43" i="25"/>
  <c r="Q42" i="25"/>
  <c r="O42" i="25"/>
  <c r="C42" i="25"/>
  <c r="B42" i="25"/>
  <c r="A42" i="25"/>
  <c r="Q41" i="25"/>
  <c r="Q51" i="25" s="1"/>
  <c r="O41" i="25"/>
  <c r="B41" i="25"/>
  <c r="A41" i="25"/>
  <c r="C41" i="25" s="1"/>
  <c r="Q40" i="25"/>
  <c r="A40" i="25"/>
  <c r="Q39" i="25"/>
  <c r="B39" i="25"/>
  <c r="A39" i="25"/>
  <c r="C39" i="25" s="1"/>
  <c r="Q38" i="25"/>
  <c r="C38" i="25"/>
  <c r="B38" i="25"/>
  <c r="A38" i="25"/>
  <c r="A37" i="25"/>
  <c r="B36" i="25"/>
  <c r="A36" i="25"/>
  <c r="C36" i="25" s="1"/>
  <c r="B35" i="25"/>
  <c r="A35" i="25"/>
  <c r="C35" i="25" s="1"/>
  <c r="P34" i="25"/>
  <c r="O34" i="25"/>
  <c r="B34" i="25"/>
  <c r="A34" i="25"/>
  <c r="C34" i="25" s="1"/>
  <c r="P33" i="25"/>
  <c r="B33" i="25"/>
  <c r="A33" i="25"/>
  <c r="C33" i="25" s="1"/>
  <c r="P32" i="25"/>
  <c r="C32" i="25"/>
  <c r="B32" i="25"/>
  <c r="A32" i="25"/>
  <c r="B31" i="25"/>
  <c r="A31" i="25"/>
  <c r="C31" i="25" s="1"/>
  <c r="C30" i="25"/>
  <c r="B30" i="25"/>
  <c r="A30" i="25"/>
  <c r="O29" i="25"/>
  <c r="C29" i="25"/>
  <c r="B29" i="25"/>
  <c r="A29" i="25"/>
  <c r="B28" i="25"/>
  <c r="A28" i="25"/>
  <c r="C28" i="25" s="1"/>
  <c r="A27" i="25"/>
  <c r="P26" i="25"/>
  <c r="Q26" i="25" s="1"/>
  <c r="P20" i="25"/>
  <c r="Q20" i="25" s="1"/>
  <c r="O16" i="25"/>
  <c r="P15" i="25" s="1"/>
  <c r="P16" i="25" s="1"/>
  <c r="B16" i="25"/>
  <c r="A16" i="25"/>
  <c r="C16" i="25" s="1"/>
  <c r="A15" i="25"/>
  <c r="H10" i="25"/>
  <c r="B6" i="25"/>
  <c r="P25" i="25" l="1"/>
  <c r="Q25" i="25" s="1"/>
  <c r="P22" i="25"/>
  <c r="Q22" i="25" s="1"/>
  <c r="P28" i="25"/>
  <c r="Q28" i="25" s="1"/>
  <c r="P27" i="25"/>
  <c r="Q27" i="25" s="1"/>
  <c r="P23" i="25"/>
  <c r="Q23" i="25" s="1"/>
  <c r="P21" i="25"/>
  <c r="Q21" i="25" s="1"/>
  <c r="P19" i="25"/>
  <c r="P24" i="25"/>
  <c r="Q24" i="25" s="1"/>
  <c r="H69" i="25"/>
  <c r="O47" i="25"/>
  <c r="O43" i="25"/>
  <c r="O38" i="25"/>
  <c r="O48" i="25"/>
  <c r="H67" i="25"/>
  <c r="G75" i="25"/>
  <c r="G87" i="25"/>
  <c r="O30" i="25"/>
  <c r="G84" i="25"/>
  <c r="O39" i="25"/>
  <c r="O40" i="25"/>
  <c r="O44" i="25"/>
  <c r="H81" i="25"/>
  <c r="H84" i="25" s="1"/>
  <c r="N21" i="25" l="1"/>
  <c r="D29" i="25" s="1"/>
  <c r="F29" i="25" s="1"/>
  <c r="G29" i="25" s="1"/>
  <c r="N26" i="25"/>
  <c r="D34" i="25" s="1"/>
  <c r="F34" i="25" s="1"/>
  <c r="G34" i="25" s="1"/>
  <c r="N20" i="25"/>
  <c r="N33" i="25"/>
  <c r="D39" i="25" s="1"/>
  <c r="F39" i="25" s="1"/>
  <c r="G39" i="25" s="1"/>
  <c r="N32" i="25"/>
  <c r="N28" i="25"/>
  <c r="D36" i="25" s="1"/>
  <c r="F36" i="25" s="1"/>
  <c r="G36" i="25" s="1"/>
  <c r="N27" i="25"/>
  <c r="D35" i="25" s="1"/>
  <c r="F35" i="25" s="1"/>
  <c r="G35" i="25" s="1"/>
  <c r="N23" i="25"/>
  <c r="D31" i="25" s="1"/>
  <c r="F31" i="25" s="1"/>
  <c r="G31" i="25" s="1"/>
  <c r="N15" i="25"/>
  <c r="N25" i="25"/>
  <c r="D33" i="25" s="1"/>
  <c r="F33" i="25" s="1"/>
  <c r="G33" i="25" s="1"/>
  <c r="N19" i="25"/>
  <c r="N24" i="25"/>
  <c r="D32" i="25" s="1"/>
  <c r="F32" i="25" s="1"/>
  <c r="G32" i="25" s="1"/>
  <c r="N22" i="25"/>
  <c r="D30" i="25" s="1"/>
  <c r="F30" i="25" s="1"/>
  <c r="G30" i="25" s="1"/>
  <c r="G88" i="25"/>
  <c r="H87" i="25"/>
  <c r="Q19" i="25"/>
  <c r="Q29" i="25" s="1"/>
  <c r="P29" i="25"/>
  <c r="P30" i="25" s="1"/>
  <c r="O51" i="25"/>
  <c r="H32" i="25" l="1"/>
  <c r="H31" i="25"/>
  <c r="N29" i="25"/>
  <c r="D28" i="25"/>
  <c r="F28" i="25" s="1"/>
  <c r="G28" i="25" s="1"/>
  <c r="H88" i="25"/>
  <c r="H33" i="25"/>
  <c r="H36" i="25"/>
  <c r="H34" i="25"/>
  <c r="H39" i="25"/>
  <c r="H35" i="25"/>
  <c r="H30" i="25"/>
  <c r="N50" i="25"/>
  <c r="D52" i="25" s="1"/>
  <c r="F52" i="25" s="1"/>
  <c r="G52" i="25" s="1"/>
  <c r="N46" i="25"/>
  <c r="D48" i="25" s="1"/>
  <c r="F48" i="25" s="1"/>
  <c r="G48" i="25" s="1"/>
  <c r="N42" i="25"/>
  <c r="D44" i="25" s="1"/>
  <c r="F44" i="25" s="1"/>
  <c r="G44" i="25" s="1"/>
  <c r="N47" i="25"/>
  <c r="D49" i="25" s="1"/>
  <c r="F49" i="25" s="1"/>
  <c r="G49" i="25" s="1"/>
  <c r="N45" i="25"/>
  <c r="D47" i="25" s="1"/>
  <c r="F47" i="25" s="1"/>
  <c r="G47" i="25" s="1"/>
  <c r="N41" i="25"/>
  <c r="D43" i="25" s="1"/>
  <c r="F43" i="25" s="1"/>
  <c r="G43" i="25" s="1"/>
  <c r="Q15" i="25"/>
  <c r="Q16" i="25" s="1"/>
  <c r="N48" i="25"/>
  <c r="D50" i="25" s="1"/>
  <c r="F50" i="25" s="1"/>
  <c r="G50" i="25" s="1"/>
  <c r="N44" i="25"/>
  <c r="D46" i="25" s="1"/>
  <c r="F46" i="25" s="1"/>
  <c r="G46" i="25" s="1"/>
  <c r="N43" i="25"/>
  <c r="D45" i="25" s="1"/>
  <c r="F45" i="25" s="1"/>
  <c r="G45" i="25" s="1"/>
  <c r="N40" i="25"/>
  <c r="D42" i="25" s="1"/>
  <c r="F42" i="25" s="1"/>
  <c r="G42" i="25" s="1"/>
  <c r="N39" i="25"/>
  <c r="D41" i="25" s="1"/>
  <c r="F41" i="25" s="1"/>
  <c r="G41" i="25" s="1"/>
  <c r="N38" i="25"/>
  <c r="N16" i="25"/>
  <c r="N30" i="25" s="1"/>
  <c r="N49" i="25"/>
  <c r="D51" i="25" s="1"/>
  <c r="F51" i="25" s="1"/>
  <c r="G51" i="25" s="1"/>
  <c r="N34" i="25"/>
  <c r="D38" i="25"/>
  <c r="F38" i="25" s="1"/>
  <c r="G38" i="25" s="1"/>
  <c r="H29" i="25"/>
  <c r="H51" i="25" l="1"/>
  <c r="H44" i="25"/>
  <c r="H43" i="25"/>
  <c r="H41" i="25"/>
  <c r="H50" i="25"/>
  <c r="H49" i="25"/>
  <c r="H42" i="25"/>
  <c r="H45" i="25"/>
  <c r="H48" i="25"/>
  <c r="G64" i="25"/>
  <c r="H28" i="25"/>
  <c r="H38" i="25"/>
  <c r="N51" i="25"/>
  <c r="D16" i="25"/>
  <c r="H46" i="25"/>
  <c r="H47" i="25"/>
  <c r="H52" i="25"/>
  <c r="D63" i="25" l="1"/>
  <c r="F16" i="25"/>
  <c r="G16" i="25" s="1"/>
  <c r="H64" i="25"/>
  <c r="G25" i="25" l="1"/>
  <c r="H16" i="25"/>
  <c r="H25" i="25" s="1"/>
  <c r="H85" i="25" s="1"/>
  <c r="G85" i="25" l="1"/>
  <c r="G86" i="25"/>
  <c r="H86" i="25" l="1"/>
  <c r="E56" i="24" l="1"/>
  <c r="F17" i="24" l="1"/>
  <c r="H28" i="24"/>
  <c r="H27" i="24"/>
  <c r="G66" i="24" l="1"/>
  <c r="G70" i="24"/>
  <c r="E62" i="24"/>
  <c r="E61" i="24"/>
  <c r="H70" i="24" l="1"/>
  <c r="E60" i="24"/>
  <c r="B6" i="24"/>
  <c r="E55" i="24"/>
  <c r="G72" i="24" l="1"/>
  <c r="G62" i="24"/>
  <c r="H62" i="24" s="1"/>
  <c r="H72" i="24"/>
  <c r="G61" i="24"/>
  <c r="H61" i="24" s="1"/>
  <c r="G60" i="24"/>
  <c r="H60" i="24" s="1"/>
  <c r="G68" i="24"/>
  <c r="H66" i="24"/>
  <c r="G64" i="24" l="1"/>
  <c r="G76" i="24" s="1"/>
  <c r="H64" i="24"/>
  <c r="H68" i="24"/>
  <c r="E20" i="24" l="1"/>
  <c r="G20" i="24" s="1"/>
  <c r="H20" i="24" s="1"/>
  <c r="E18" i="24"/>
  <c r="G18" i="24" s="1"/>
  <c r="H18" i="24" s="1"/>
  <c r="E19" i="24"/>
  <c r="G19" i="24" s="1"/>
  <c r="H19" i="24" s="1"/>
  <c r="E17" i="24" l="1"/>
  <c r="G17" i="24" s="1"/>
  <c r="H17" i="24" l="1"/>
  <c r="E16" i="24"/>
  <c r="G16" i="24" s="1"/>
  <c r="H16" i="24" s="1"/>
  <c r="G25" i="24" l="1"/>
  <c r="H25" i="24"/>
  <c r="C52" i="24"/>
  <c r="H53" i="24" l="1"/>
  <c r="G53" i="24"/>
  <c r="G74" i="24" s="1"/>
  <c r="H74" i="24" s="1"/>
  <c r="G56" i="24" l="1"/>
  <c r="H56" i="24" s="1"/>
  <c r="G55" i="24" l="1"/>
  <c r="H76" i="24" l="1"/>
  <c r="H55" i="24"/>
  <c r="G58" i="24"/>
  <c r="G73" i="24" l="1"/>
  <c r="G75" i="24"/>
  <c r="H75" i="24" s="1"/>
  <c r="H58" i="24"/>
  <c r="H73" i="24" s="1"/>
  <c r="I75" i="25" l="1"/>
  <c r="I42" i="25"/>
  <c r="I44" i="25"/>
  <c r="I47" i="25"/>
  <c r="I39" i="25"/>
  <c r="I28" i="25"/>
  <c r="I32" i="25"/>
  <c r="I35" i="25"/>
  <c r="I84" i="25"/>
  <c r="I33" i="25"/>
  <c r="I34" i="25"/>
  <c r="I45" i="25"/>
  <c r="I87" i="25"/>
  <c r="I51" i="25"/>
  <c r="I72" i="25"/>
  <c r="I69" i="25"/>
  <c r="I71" i="25"/>
  <c r="I38" i="25"/>
  <c r="I30" i="25"/>
  <c r="I66" i="25"/>
  <c r="I29" i="25"/>
  <c r="I85" i="25"/>
  <c r="I82" i="25"/>
  <c r="I90" i="25"/>
  <c r="I46" i="25"/>
  <c r="I77" i="25"/>
  <c r="I81" i="25"/>
  <c r="I36" i="25"/>
  <c r="I88" i="25"/>
  <c r="I16" i="25"/>
  <c r="I48" i="25"/>
  <c r="I50" i="25"/>
  <c r="I79" i="25"/>
  <c r="I31" i="25"/>
  <c r="I43" i="25"/>
  <c r="I25" i="25"/>
  <c r="I49" i="25"/>
  <c r="I41" i="25"/>
  <c r="I52" i="25"/>
  <c r="I67" i="25"/>
  <c r="I64" i="25"/>
  <c r="I86" i="25"/>
  <c r="I72" i="24"/>
  <c r="I20" i="24"/>
  <c r="I78" i="24"/>
  <c r="I73" i="24"/>
  <c r="I76" i="24"/>
  <c r="I19" i="24"/>
  <c r="I62" i="24"/>
  <c r="I61" i="24"/>
  <c r="I70" i="24"/>
  <c r="I74" i="24"/>
  <c r="I58" i="24"/>
  <c r="I64" i="24"/>
  <c r="I68" i="24"/>
  <c r="I27" i="24"/>
  <c r="I56" i="24"/>
  <c r="I16" i="24"/>
  <c r="I75" i="24"/>
  <c r="I17" i="24"/>
  <c r="I25" i="24"/>
  <c r="I55" i="24"/>
  <c r="I53" i="24"/>
  <c r="I18" i="24"/>
  <c r="I28" i="24"/>
  <c r="I66" i="24"/>
  <c r="I60" i="24"/>
  <c r="I77" i="24"/>
  <c r="I89" i="25"/>
  <c r="G78" i="24"/>
  <c r="G77" i="24"/>
  <c r="H77" i="24"/>
  <c r="H78" i="24"/>
  <c r="G90" i="25"/>
  <c r="G89" i="25"/>
  <c r="H89" i="25"/>
  <c r="H90" i="25"/>
</calcChain>
</file>

<file path=xl/sharedStrings.xml><?xml version="1.0" encoding="utf-8"?>
<sst xmlns="http://schemas.openxmlformats.org/spreadsheetml/2006/main" count="301" uniqueCount="228">
  <si>
    <t>Songkla Canning Public Company Limited</t>
  </si>
  <si>
    <t>F3ACXX26-1-15/01/16</t>
  </si>
  <si>
    <t>Page</t>
  </si>
  <si>
    <t>1 / 1</t>
  </si>
  <si>
    <t>PRODUCT COSTING SHEET (TN / PF)</t>
  </si>
  <si>
    <t>DATE  :</t>
  </si>
  <si>
    <t xml:space="preserve">TO  : </t>
  </si>
  <si>
    <t>SPECIFICATION / CODE  :</t>
  </si>
  <si>
    <t>ATTN  :</t>
  </si>
  <si>
    <t>PACKAGING TYPE / SIZE :</t>
  </si>
  <si>
    <t>FROM :</t>
  </si>
  <si>
    <t>NET WEIGHT  :</t>
  </si>
  <si>
    <t>DRAIN WEIGHT  :</t>
  </si>
  <si>
    <t>REF. #</t>
  </si>
  <si>
    <t>PACKING PER CARTON  :</t>
  </si>
  <si>
    <t>TEST NO.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</si>
  <si>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</si>
  <si>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</si>
  <si>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</si>
  <si>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</si>
  <si>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</si>
  <si>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</si>
  <si>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</si>
  <si>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</si>
  <si>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</si>
  <si>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</si>
  <si>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</si>
  <si>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</si>
  <si>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</si>
  <si>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</si>
  <si>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</si>
  <si>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</si>
  <si>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</si>
  <si>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</si>
  <si>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SUB TOTAL 1 - RAW MATERIALS</t>
  </si>
  <si>
    <t>2. INGREDIENTS :</t>
  </si>
  <si>
    <t>SUB TOTAL 2 - INGREDIENTS</t>
  </si>
  <si>
    <t>LABOUR &amp; OVERHEAD</t>
  </si>
  <si>
    <t>GRAND TOTAL</t>
  </si>
  <si>
    <t>MARGIN</t>
  </si>
  <si>
    <t>COST PER CASE FOB BANGKOK</t>
  </si>
  <si>
    <t>REMARK  :</t>
  </si>
  <si>
    <t>Valid until</t>
  </si>
  <si>
    <t>PREPARED BY PRODUCT COST SECTION</t>
  </si>
  <si>
    <t xml:space="preserve">REVIEW BY </t>
  </si>
  <si>
    <t xml:space="preserve">Broken Rice หุง95C, 8 นาที </t>
  </si>
  <si>
    <t>N1AVG00000320</t>
  </si>
  <si>
    <t>Green peas</t>
  </si>
  <si>
    <t>N1AVG00000700</t>
  </si>
  <si>
    <t>Diced carrots(china) 1.0 cm</t>
  </si>
  <si>
    <t>N1AVG00000140</t>
  </si>
  <si>
    <t>2. Solution Portion (Hot gravy 65-70°C)</t>
  </si>
  <si>
    <t>3. Chicken RSC (C061) portion</t>
  </si>
  <si>
    <t>Chicken MDM</t>
  </si>
  <si>
    <t>N19LC0001AC02</t>
  </si>
  <si>
    <t>Tuna red meat</t>
  </si>
  <si>
    <t>2XA1N10000NN</t>
  </si>
  <si>
    <t>Chicken Dinner with Vegetables in gravy</t>
  </si>
  <si>
    <t>Clear oval cup 71.4 x 91.4 x 33.7 mm</t>
  </si>
  <si>
    <t>SP16/146</t>
  </si>
  <si>
    <t>51C32Z00HLNN</t>
  </si>
  <si>
    <t>51FXX200ZGFA</t>
  </si>
  <si>
    <t xml:space="preserve">Of  raw materials + ingredients </t>
  </si>
  <si>
    <t>Jan -  2017 Shipment</t>
  </si>
  <si>
    <t>CUSTOMER  :</t>
  </si>
  <si>
    <t xml:space="preserve">PRODUCT  NAME /  DESCRIPTION  : </t>
  </si>
  <si>
    <t>SCC, BKK</t>
  </si>
  <si>
    <t>K. Wasuma</t>
  </si>
  <si>
    <t>K.Untakorn, K.Grittinee</t>
  </si>
  <si>
    <t>REV. # 0</t>
  </si>
  <si>
    <t>NEW FORMULA</t>
  </si>
  <si>
    <t>-</t>
  </si>
  <si>
    <t>OVAL CUP 71.4X91.4X29.5MM ORANGE-ALL NEW EKA PAK</t>
  </si>
  <si>
    <t>LABOUR PACKING</t>
  </si>
  <si>
    <t>Of primary packaging</t>
  </si>
  <si>
    <t>Of  secondary packaging</t>
  </si>
  <si>
    <t>1.%Yield based on std of production 16/5/2016</t>
  </si>
  <si>
    <t>18/10/2016</t>
  </si>
  <si>
    <t>PF593771</t>
  </si>
  <si>
    <t>Chicken RSC chunk (C061) 1-3 cm.</t>
  </si>
  <si>
    <t>3. Primary PACKAGING :</t>
  </si>
  <si>
    <t>SUB TOTAL 3 - Primary PACKAGING</t>
  </si>
  <si>
    <t>4. Secondary PACKAGING :</t>
  </si>
  <si>
    <t>SUB TOTAL 4 - Secondary PACKAGING</t>
  </si>
  <si>
    <t>5. LABOUR &amp; OVERHEAD</t>
  </si>
  <si>
    <t>SUB TOTAL 5 - LABOUR &amp; OVERHEAD</t>
  </si>
  <si>
    <t>6.UPCHARGE</t>
  </si>
  <si>
    <t>SUB TOTAL 6 - UPCHARGE</t>
  </si>
  <si>
    <t>PLAIN FOIL LID SIZE 220MMX800</t>
  </si>
  <si>
    <t>Sleeve box 7 color with offset printing water base</t>
  </si>
  <si>
    <t>Tray Pack 7  1 colors with Flexo printing white corrugate</t>
  </si>
  <si>
    <t>Outer carton Pack 14  1 colors with Flexo printing Brown carton</t>
  </si>
  <si>
    <t>MOQ 400</t>
  </si>
  <si>
    <t>MOQ 5,000</t>
  </si>
  <si>
    <t>LOSS</t>
  </si>
  <si>
    <t>Petpharm  / South Korea</t>
  </si>
  <si>
    <t>2.Packaging cost are estimated product Calico Bay Pack 14</t>
  </si>
  <si>
    <t>P08-59072,12.10.16</t>
  </si>
  <si>
    <t>Confidential</t>
  </si>
  <si>
    <t xml:space="preserve">       </t>
  </si>
  <si>
    <t xml:space="preserve"> F3RPRD02-3-14/05/16</t>
  </si>
  <si>
    <t>Draft from SCC</t>
  </si>
  <si>
    <t>บริษัท สงขลาแคนนิ่ง จำกัด (มหาชน)</t>
  </si>
  <si>
    <t xml:space="preserve">PRODUCT COSTING SHEET (For USPN) </t>
  </si>
  <si>
    <t>EXPERIMENT</t>
  </si>
  <si>
    <t>เลขอ้างอิง :</t>
  </si>
  <si>
    <t>P09-60125</t>
  </si>
  <si>
    <t>US Pet Nutrition / Mars / USA</t>
  </si>
  <si>
    <t>Single invoice</t>
  </si>
  <si>
    <t>27/7/2017</t>
  </si>
  <si>
    <t>วันที่ทดลอง :</t>
  </si>
  <si>
    <t>14.07.17</t>
  </si>
  <si>
    <t>Tuna recipe in gravy</t>
  </si>
  <si>
    <t>ลูกค้า : __Mars___________________</t>
  </si>
  <si>
    <t>ผู้ขอ : __________________________</t>
  </si>
  <si>
    <t>Nuthnapin</t>
  </si>
  <si>
    <t>K.Nuthnapin</t>
  </si>
  <si>
    <t>100x145x25 mm., Aluminium standing pouch</t>
  </si>
  <si>
    <t>ข้อมูลเบื้องต้น :</t>
  </si>
  <si>
    <t xml:space="preserve">ชื่อผลิตภัณฑ์ / หัวเรื่อง : ___Tuna recipe in gravy___________________________________________________ </t>
  </si>
  <si>
    <t>สถานที่ทดลอง : ____________________________</t>
  </si>
  <si>
    <t>Lab RP</t>
  </si>
  <si>
    <t>Packaging : ____100x145x25 mm., Aluminium standing pouch_____________________________</t>
  </si>
  <si>
    <t>จำนวน : __10_________________</t>
  </si>
  <si>
    <t>เวลาฆ่าเชื้อ : ___________</t>
  </si>
  <si>
    <t>COSTING SHEET NO REF. #</t>
  </si>
  <si>
    <t>PF602261</t>
  </si>
  <si>
    <t>อื่นๆ :  ___________________________________________________________________</t>
  </si>
  <si>
    <t xml:space="preserve"> </t>
  </si>
  <si>
    <t xml:space="preserve">ขั้นตอน / สูตรการทดลอง </t>
  </si>
  <si>
    <t>MAT CODE</t>
  </si>
  <si>
    <t>Ingredient List</t>
  </si>
  <si>
    <t>ส่วนผสม</t>
  </si>
  <si>
    <t>Material Code</t>
  </si>
  <si>
    <t>g/ pouch</t>
  </si>
  <si>
    <t>%/pouch</t>
  </si>
  <si>
    <t>%/portion</t>
  </si>
  <si>
    <t>Batch(Kg)</t>
  </si>
  <si>
    <t>1. Meat Portion</t>
  </si>
  <si>
    <t>Chopped Tuna chunk 0.7-1.2 cm.</t>
  </si>
  <si>
    <t>ชั้ง T015 ตัดขนาด 0.7-1.2 cm.</t>
  </si>
  <si>
    <t>2XP10CTK0027</t>
  </si>
  <si>
    <t>Total</t>
  </si>
  <si>
    <t xml:space="preserve">2. Solution Portion </t>
  </si>
  <si>
    <t>Water</t>
  </si>
  <si>
    <t>น้ำ</t>
  </si>
  <si>
    <t>Starch solution (Hot water 70C)</t>
  </si>
  <si>
    <t>Choline chloride 75% liquid</t>
  </si>
  <si>
    <t>โคลีนคลอไรด์เหลว</t>
  </si>
  <si>
    <t>Fish Extract</t>
  </si>
  <si>
    <t>น้ำปลาสกัดเข้มข้น 2XA20E000001</t>
  </si>
  <si>
    <t>Guar gum</t>
  </si>
  <si>
    <t>กัวกัม</t>
  </si>
  <si>
    <t>Glycine</t>
  </si>
  <si>
    <t>ไกลซีน</t>
  </si>
  <si>
    <t>Glucose (Dextrose)</t>
  </si>
  <si>
    <t>กลูโคส(เด็กโทรส)</t>
  </si>
  <si>
    <t>Taurine</t>
  </si>
  <si>
    <t>ทอรีน</t>
  </si>
  <si>
    <t>Thiamine Mononitrate (B1)</t>
  </si>
  <si>
    <t>ไทเอมีนโมโนไนเตรต</t>
  </si>
  <si>
    <t>Potassium Chloride</t>
  </si>
  <si>
    <t>โพแทสเซียมคลอไรด์</t>
  </si>
  <si>
    <t>Tapfil 8</t>
  </si>
  <si>
    <t>แป้งแทปฟิล 8</t>
  </si>
  <si>
    <t>g/ can</t>
  </si>
  <si>
    <t>%/can</t>
  </si>
  <si>
    <t>3. Tuna Chunk (Normal chunk) (T015)</t>
  </si>
  <si>
    <t xml:space="preserve">Tuna red meat </t>
  </si>
  <si>
    <t>เลือดปลาทูน่าบด</t>
  </si>
  <si>
    <t>2XA10MTN0001</t>
  </si>
  <si>
    <t>Salt</t>
  </si>
  <si>
    <t>เกลือ</t>
  </si>
  <si>
    <t>Pea protein</t>
  </si>
  <si>
    <t>โปรตีนถั่ว</t>
  </si>
  <si>
    <t>Dried whole egg powder (HF)</t>
  </si>
  <si>
    <t>ไข่รวมผง (HF)</t>
  </si>
  <si>
    <t>Sunflower oil</t>
  </si>
  <si>
    <t>น้ำมันทานตะวัน</t>
  </si>
  <si>
    <t>**Water (แบ่งน้ำออก 3/4 ละลายเคมีข้างล่างตาม process spec)</t>
  </si>
  <si>
    <t>Feline Vitamins Premix MDF(85 B6)</t>
  </si>
  <si>
    <t>ไวตามิน MDF(85 B6)</t>
  </si>
  <si>
    <t>Feline Mineral Premix MDF</t>
  </si>
  <si>
    <t>ฟีไลน์มินเนอรอลพรีมิกซ์ MDF</t>
  </si>
  <si>
    <t>Titanium dioxide</t>
  </si>
  <si>
    <t>ไทเทเนียมไดออกไซด์</t>
  </si>
  <si>
    <t>Tricalcium phosphate</t>
  </si>
  <si>
    <t>ไตรแคลเซียมฟอสเฟต</t>
  </si>
  <si>
    <t>Calcium sulfate</t>
  </si>
  <si>
    <t>แคลเซียมซัลเฟต</t>
  </si>
  <si>
    <t>Magnesium oxide</t>
  </si>
  <si>
    <t>แมกนีเซียมออกไซด์</t>
  </si>
  <si>
    <t>การดำเนินการอื่นๆ</t>
  </si>
  <si>
    <t xml:space="preserve">    ความหนืดเกรวี่ : _________________________</t>
  </si>
  <si>
    <t xml:space="preserve">     Incubate(ระบุสภาวะ,เวลา) : _______________________________</t>
  </si>
  <si>
    <t xml:space="preserve">    ส่ง Check (แล็ปใน / แล็ปนอก) โปรดระบุค่าที่ต้องเช็ค : ___________________</t>
  </si>
  <si>
    <t xml:space="preserve">    อื่นๆ โปรดระบุ  _________________________________________</t>
  </si>
  <si>
    <t xml:space="preserve">    ส่งตัวอย่างให้ K._________________________ จำนวน _________________________ ทาง ____________________</t>
  </si>
  <si>
    <t xml:space="preserve">    เอกสาร</t>
  </si>
  <si>
    <t>ผลการตรวจสอบ</t>
  </si>
  <si>
    <t>สรุปผลการทดลอง</t>
  </si>
  <si>
    <t>ทดลอง/ตรวจโดย  _____________________________</t>
  </si>
  <si>
    <t>เตรียม/ตรวจสอบโดย  _________________________</t>
  </si>
  <si>
    <t>3. PACKAGING :</t>
  </si>
  <si>
    <t>หัวหน้าแผนก / ผู้จัดการฝ่ายวิจัยและพัฒนา</t>
  </si>
  <si>
    <t>STD.PH 100x145x25 mm. 8 colours</t>
  </si>
  <si>
    <t>MOQ 100,000</t>
  </si>
  <si>
    <t>Cylinder</t>
  </si>
  <si>
    <t>SUB TOTAL 3 - PACKAGING</t>
  </si>
  <si>
    <t>INB ปรุ  100X145X25 MM Pack 12</t>
  </si>
  <si>
    <t>5R0MZ067N000000100</t>
  </si>
  <si>
    <t>OUTER CTN 100X145X25 MM. PACK 24</t>
  </si>
  <si>
    <t>5F0MZ067N000000100</t>
  </si>
  <si>
    <t>4. LABOUR &amp; OVERHEAD</t>
  </si>
  <si>
    <t>Fancy pouch 85 g p.24 =  69.70</t>
  </si>
  <si>
    <t>SUB TOTAL 4 - LABOUR &amp; OVERHEAD</t>
  </si>
  <si>
    <t>5.UP CHARGE</t>
  </si>
  <si>
    <t>POUCH B.F.F(BEST FELINE FRIEN)/US Pet--&gt;ใส่ Box 12ถุง/Box--&gt;2Box/CTN.(INK Box)</t>
  </si>
  <si>
    <t>LABOUR PACKAGING</t>
  </si>
  <si>
    <t>18 ctn P.24 man.hr</t>
  </si>
  <si>
    <t>Lab Test</t>
  </si>
  <si>
    <t>SUB TOTAL 5 - UP CHARGE</t>
  </si>
  <si>
    <t>Of raw mat,ing</t>
  </si>
  <si>
    <t>Of  primary packaging</t>
  </si>
  <si>
    <t>Of secondary packaging</t>
  </si>
  <si>
    <t>Of raw mat,ing,labor&amp;oh</t>
  </si>
  <si>
    <t>1.%Yield  based on Std Production 1/6/2017</t>
  </si>
  <si>
    <t xml:space="preserve"> Dec- 2017 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</si>
</sst>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_-;\-* #,##0.00_-;_-* &quot;-&quot;??_-;_-@_-"/>
    <numFmt numFmtId="165" formatCode="_-* #,##0.0000_-;\-* #,##0.0000_-;_-* &quot;-&quot;??_-;_-@_-"/>
    <numFmt numFmtId="166" formatCode="_-* #,##0_-;\-* #,##0_-;_-* &quot;-&quot;??_-;_-@_-"/>
    <numFmt numFmtId="167" formatCode="_-* #,##0.000_-;\-* #,##0.000_-;_-* &quot;-&quot;??_-;_-@_-"/>
    <numFmt numFmtId="168" formatCode="#,##0.00\ \ &quot;฿&quot;"/>
    <numFmt numFmtId="169" formatCode="#,##0.00\ \ \$"/>
    <numFmt numFmtId="170" formatCode="B1mmm\-yy"/>
    <numFmt numFmtId="171" formatCode="0.000"/>
    <numFmt numFmtId="172" formatCode="#,##0.000\ \ &quot;฿&quot;"/>
  </numFmts>
  <fonts count="3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4"/>
      <name val="Cordia New"/>
      <family val="2"/>
    </font>
    <font>
      <b/>
      <sz val="22"/>
      <name val="Angsana New"/>
      <family val="1"/>
    </font>
    <font>
      <sz val="14"/>
      <name val="AngsanaUPC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b/>
      <sz val="14"/>
      <color rgb="FFFF0000"/>
      <name val="Angsana New"/>
      <family val="1"/>
    </font>
    <font>
      <b/>
      <sz val="14"/>
      <color rgb="FFFF00FF"/>
      <name val="Angsana New"/>
      <family val="1"/>
    </font>
    <font>
      <sz val="11"/>
      <name val="ＭＳ Ｐゴシック"/>
      <charset val="128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8"/>
      <color rgb="FFFF0000"/>
      <name val="Arial"/>
      <family val="2"/>
    </font>
    <font>
      <b/>
      <sz val="14"/>
      <color theme="1"/>
      <name val="AngsanaUPC"/>
      <family val="1"/>
    </font>
    <font>
      <b/>
      <sz val="16"/>
      <name val="Arial Narrow"/>
      <family val="2"/>
    </font>
    <font>
      <sz val="10"/>
      <color indexed="9"/>
      <name val="Arial"/>
      <family val="2"/>
    </font>
    <font>
      <b/>
      <sz val="22"/>
      <color rgb="FFFF0000"/>
      <name val="Arial"/>
      <family val="2"/>
    </font>
    <font>
      <sz val="16"/>
      <name val="Arial Narrow"/>
      <family val="2"/>
    </font>
    <font>
      <b/>
      <sz val="16"/>
      <color indexed="10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color indexed="8"/>
      <name val="Arial Narrow"/>
      <family val="2"/>
    </font>
    <font>
      <sz val="14"/>
      <color indexed="8"/>
      <name val="Arial Narrow"/>
      <family val="2"/>
    </font>
    <font>
      <sz val="13"/>
      <name val="Arial Narrow"/>
      <family val="2"/>
    </font>
    <font>
      <b/>
      <i/>
      <sz val="14"/>
      <name val="Arial Narrow"/>
      <family val="2"/>
    </font>
    <font>
      <sz val="14"/>
      <color theme="1"/>
      <name val="Arial Narrow"/>
      <family val="2"/>
    </font>
    <font>
      <b/>
      <sz val="14"/>
      <name val="Cordia New"/>
      <family val="2"/>
    </font>
    <font>
      <b/>
      <sz val="14"/>
      <name val="AngsanaUPC"/>
      <family val="1"/>
    </font>
    <font>
      <b/>
      <sz val="14"/>
      <color theme="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1" fillId="0" borderId="0"/>
  </cellStyleXfs>
  <cellXfs count="397">
    <xf numFmtId="0" fontId="0" fillId="0" borderId="0" xfId="0"/>
    <xf numFmtId="0" fontId="2" fillId="0" borderId="0" xfId="0" applyFont="1"/>
    <xf numFmtId="0" fontId="3" fillId="0" borderId="0" xfId="0" applyFont="1"/>
    <xf numFmtId="165" fontId="7" fillId="0" borderId="0" xfId="5" applyNumberFormat="1" applyFont="1"/>
    <xf numFmtId="0" fontId="9" fillId="0" borderId="5" xfId="0" applyFont="1" applyBorder="1"/>
    <xf numFmtId="0" fontId="9" fillId="0" borderId="6" xfId="0" applyFont="1" applyBorder="1"/>
    <xf numFmtId="0" fontId="9" fillId="0" borderId="6" xfId="0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14" fontId="9" fillId="0" borderId="0" xfId="0" applyNumberFormat="1" applyFont="1" applyBorder="1" applyAlignment="1">
      <alignment horizontal="left"/>
    </xf>
    <xf numFmtId="164" fontId="9" fillId="0" borderId="0" xfId="5" applyFont="1" applyBorder="1"/>
    <xf numFmtId="164" fontId="9" fillId="0" borderId="9" xfId="5" applyFont="1" applyBorder="1"/>
    <xf numFmtId="0" fontId="10" fillId="0" borderId="0" xfId="0" applyFont="1"/>
    <xf numFmtId="0" fontId="9" fillId="0" borderId="0" xfId="0" applyFont="1" applyBorder="1" applyAlignment="1">
      <alignment horizontal="left"/>
    </xf>
    <xf numFmtId="165" fontId="9" fillId="0" borderId="0" xfId="5" applyNumberFormat="1" applyFont="1" applyBorder="1" applyAlignment="1">
      <alignment horizontal="left"/>
    </xf>
    <xf numFmtId="0" fontId="9" fillId="0" borderId="10" xfId="0" applyFont="1" applyBorder="1"/>
    <xf numFmtId="0" fontId="9" fillId="0" borderId="2" xfId="0" applyFont="1" applyBorder="1"/>
    <xf numFmtId="3" fontId="9" fillId="0" borderId="2" xfId="0" applyNumberFormat="1" applyFont="1" applyBorder="1" applyAlignment="1">
      <alignment horizontal="center"/>
    </xf>
    <xf numFmtId="0" fontId="9" fillId="3" borderId="10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164" fontId="9" fillId="3" borderId="2" xfId="5" applyFont="1" applyFill="1" applyBorder="1"/>
    <xf numFmtId="164" fontId="9" fillId="3" borderId="11" xfId="5" applyFont="1" applyFill="1" applyBorder="1"/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/>
    <xf numFmtId="0" fontId="9" fillId="3" borderId="13" xfId="0" applyFont="1" applyFill="1" applyBorder="1" applyAlignment="1">
      <alignment horizontal="left"/>
    </xf>
    <xf numFmtId="0" fontId="9" fillId="0" borderId="14" xfId="0" applyFont="1" applyFill="1" applyBorder="1"/>
    <xf numFmtId="0" fontId="9" fillId="0" borderId="1" xfId="0" applyFont="1" applyFill="1" applyBorder="1"/>
    <xf numFmtId="168" fontId="9" fillId="0" borderId="1" xfId="5" applyNumberFormat="1" applyFont="1" applyFill="1" applyBorder="1"/>
    <xf numFmtId="10" fontId="9" fillId="0" borderId="1" xfId="1" applyNumberFormat="1" applyFont="1" applyBorder="1"/>
    <xf numFmtId="168" fontId="9" fillId="4" borderId="18" xfId="5" applyNumberFormat="1" applyFont="1" applyFill="1" applyBorder="1"/>
    <xf numFmtId="169" fontId="9" fillId="4" borderId="18" xfId="5" applyNumberFormat="1" applyFont="1" applyFill="1" applyBorder="1"/>
    <xf numFmtId="10" fontId="9" fillId="4" borderId="18" xfId="1" applyNumberFormat="1" applyFont="1" applyFill="1" applyBorder="1"/>
    <xf numFmtId="165" fontId="9" fillId="0" borderId="19" xfId="5" applyNumberFormat="1" applyFont="1" applyBorder="1"/>
    <xf numFmtId="0" fontId="9" fillId="0" borderId="19" xfId="0" applyFont="1" applyBorder="1"/>
    <xf numFmtId="164" fontId="9" fillId="0" borderId="19" xfId="5" applyFont="1" applyBorder="1"/>
    <xf numFmtId="168" fontId="9" fillId="0" borderId="20" xfId="5" applyNumberFormat="1" applyFont="1" applyBorder="1"/>
    <xf numFmtId="169" fontId="9" fillId="0" borderId="20" xfId="5" applyNumberFormat="1" applyFont="1" applyBorder="1"/>
    <xf numFmtId="10" fontId="9" fillId="0" borderId="21" xfId="1" applyNumberFormat="1" applyFont="1" applyBorder="1"/>
    <xf numFmtId="9" fontId="9" fillId="0" borderId="4" xfId="1" applyFont="1" applyBorder="1" applyAlignment="1">
      <alignment horizontal="right"/>
    </xf>
    <xf numFmtId="168" fontId="9" fillId="0" borderId="1" xfId="5" applyNumberFormat="1" applyFont="1" applyBorder="1"/>
    <xf numFmtId="169" fontId="9" fillId="0" borderId="1" xfId="5" applyNumberFormat="1" applyFont="1" applyBorder="1"/>
    <xf numFmtId="0" fontId="9" fillId="3" borderId="8" xfId="0" applyFont="1" applyFill="1" applyBorder="1" applyAlignment="1">
      <alignment horizontal="left"/>
    </xf>
    <xf numFmtId="166" fontId="9" fillId="0" borderId="0" xfId="0" applyNumberFormat="1" applyFont="1" applyBorder="1"/>
    <xf numFmtId="167" fontId="9" fillId="0" borderId="0" xfId="5" applyNumberFormat="1" applyFont="1" applyBorder="1"/>
    <xf numFmtId="168" fontId="9" fillId="0" borderId="20" xfId="0" applyNumberFormat="1" applyFont="1" applyBorder="1"/>
    <xf numFmtId="0" fontId="9" fillId="0" borderId="8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165" fontId="9" fillId="0" borderId="0" xfId="5" applyNumberFormat="1" applyFont="1" applyBorder="1"/>
    <xf numFmtId="0" fontId="9" fillId="3" borderId="5" xfId="0" applyFont="1" applyFill="1" applyBorder="1"/>
    <xf numFmtId="9" fontId="9" fillId="3" borderId="6" xfId="1" applyFont="1" applyFill="1" applyBorder="1" applyAlignment="1">
      <alignment horizontal="right"/>
    </xf>
    <xf numFmtId="165" fontId="9" fillId="0" borderId="6" xfId="5" applyNumberFormat="1" applyFont="1" applyBorder="1"/>
    <xf numFmtId="168" fontId="9" fillId="0" borderId="7" xfId="5" applyNumberFormat="1" applyFont="1" applyBorder="1"/>
    <xf numFmtId="169" fontId="9" fillId="0" borderId="7" xfId="5" applyNumberFormat="1" applyFont="1" applyBorder="1"/>
    <xf numFmtId="0" fontId="9" fillId="0" borderId="22" xfId="0" applyFont="1" applyBorder="1"/>
    <xf numFmtId="9" fontId="9" fillId="0" borderId="3" xfId="0" applyNumberFormat="1" applyFont="1" applyBorder="1"/>
    <xf numFmtId="165" fontId="9" fillId="0" borderId="3" xfId="5" applyNumberFormat="1" applyFont="1" applyBorder="1"/>
    <xf numFmtId="0" fontId="9" fillId="0" borderId="3" xfId="0" applyFont="1" applyBorder="1"/>
    <xf numFmtId="0" fontId="9" fillId="0" borderId="23" xfId="0" applyFont="1" applyBorder="1"/>
    <xf numFmtId="168" fontId="9" fillId="5" borderId="12" xfId="5" applyNumberFormat="1" applyFont="1" applyFill="1" applyBorder="1"/>
    <xf numFmtId="169" fontId="9" fillId="5" borderId="12" xfId="5" applyNumberFormat="1" applyFont="1" applyFill="1" applyBorder="1"/>
    <xf numFmtId="10" fontId="9" fillId="5" borderId="12" xfId="1" applyNumberFormat="1" applyFont="1" applyFill="1" applyBorder="1"/>
    <xf numFmtId="0" fontId="9" fillId="0" borderId="13" xfId="0" applyFont="1" applyBorder="1"/>
    <xf numFmtId="165" fontId="9" fillId="0" borderId="4" xfId="5" applyNumberFormat="1" applyFont="1" applyBorder="1"/>
    <xf numFmtId="0" fontId="9" fillId="0" borderId="4" xfId="0" applyFont="1" applyBorder="1"/>
    <xf numFmtId="0" fontId="9" fillId="0" borderId="14" xfId="0" applyFont="1" applyBorder="1"/>
    <xf numFmtId="0" fontId="9" fillId="0" borderId="13" xfId="0" applyFont="1" applyFill="1" applyBorder="1"/>
    <xf numFmtId="9" fontId="9" fillId="0" borderId="4" xfId="1" applyFont="1" applyFill="1" applyBorder="1"/>
    <xf numFmtId="0" fontId="9" fillId="0" borderId="4" xfId="0" applyFont="1" applyFill="1" applyBorder="1"/>
    <xf numFmtId="0" fontId="9" fillId="5" borderId="5" xfId="0" applyFont="1" applyFill="1" applyBorder="1"/>
    <xf numFmtId="0" fontId="9" fillId="5" borderId="6" xfId="0" applyFont="1" applyFill="1" applyBorder="1"/>
    <xf numFmtId="165" fontId="9" fillId="5" borderId="6" xfId="5" applyNumberFormat="1" applyFont="1" applyFill="1" applyBorder="1"/>
    <xf numFmtId="0" fontId="9" fillId="5" borderId="7" xfId="0" applyFont="1" applyFill="1" applyBorder="1" applyAlignment="1">
      <alignment horizontal="right"/>
    </xf>
    <xf numFmtId="169" fontId="9" fillId="5" borderId="25" xfId="5" applyNumberFormat="1" applyFont="1" applyFill="1" applyBorder="1"/>
    <xf numFmtId="10" fontId="9" fillId="5" borderId="25" xfId="1" applyNumberFormat="1" applyFont="1" applyFill="1" applyBorder="1"/>
    <xf numFmtId="0" fontId="9" fillId="0" borderId="4" xfId="0" applyFont="1" applyBorder="1" applyAlignment="1">
      <alignment horizontal="right"/>
    </xf>
    <xf numFmtId="0" fontId="9" fillId="0" borderId="0" xfId="0" applyFont="1"/>
    <xf numFmtId="165" fontId="9" fillId="0" borderId="2" xfId="5" applyNumberFormat="1" applyFont="1" applyBorder="1"/>
    <xf numFmtId="164" fontId="9" fillId="0" borderId="2" xfId="5" applyFont="1" applyBorder="1"/>
    <xf numFmtId="165" fontId="10" fillId="0" borderId="0" xfId="5" applyNumberFormat="1" applyFont="1"/>
    <xf numFmtId="164" fontId="10" fillId="0" borderId="0" xfId="5" applyFont="1"/>
    <xf numFmtId="164" fontId="7" fillId="0" borderId="0" xfId="5" applyFont="1"/>
    <xf numFmtId="49" fontId="9" fillId="0" borderId="6" xfId="0" applyNumberFormat="1" applyFont="1" applyBorder="1" applyAlignment="1">
      <alignment horizontal="left"/>
    </xf>
    <xf numFmtId="166" fontId="9" fillId="0" borderId="0" xfId="5" applyNumberFormat="1" applyFont="1" applyBorder="1" applyAlignment="1"/>
    <xf numFmtId="166" fontId="9" fillId="0" borderId="0" xfId="5" applyNumberFormat="1" applyFont="1" applyBorder="1"/>
    <xf numFmtId="0" fontId="9" fillId="0" borderId="2" xfId="0" applyFont="1" applyBorder="1" applyAlignment="1">
      <alignment horizontal="center"/>
    </xf>
    <xf numFmtId="165" fontId="13" fillId="0" borderId="0" xfId="5" applyNumberFormat="1" applyFont="1" applyBorder="1"/>
    <xf numFmtId="0" fontId="9" fillId="0" borderId="0" xfId="0" applyFont="1" applyFill="1" applyBorder="1"/>
    <xf numFmtId="165" fontId="9" fillId="0" borderId="1" xfId="5" applyNumberFormat="1" applyFont="1" applyBorder="1"/>
    <xf numFmtId="0" fontId="9" fillId="3" borderId="0" xfId="0" applyFont="1" applyFill="1" applyBorder="1" applyAlignment="1">
      <alignment horizontal="right"/>
    </xf>
    <xf numFmtId="168" fontId="9" fillId="5" borderId="25" xfId="5" applyNumberFormat="1" applyFont="1" applyFill="1" applyBorder="1"/>
    <xf numFmtId="0" fontId="0" fillId="6" borderId="0" xfId="0" applyFill="1" applyAlignment="1">
      <alignment horizontal="right"/>
    </xf>
    <xf numFmtId="0" fontId="0" fillId="6" borderId="0" xfId="0" applyFill="1"/>
    <xf numFmtId="165" fontId="7" fillId="6" borderId="0" xfId="5" applyNumberFormat="1" applyFont="1" applyFill="1"/>
    <xf numFmtId="164" fontId="7" fillId="6" borderId="0" xfId="5" applyFont="1" applyFill="1" applyAlignment="1">
      <alignment horizontal="center"/>
    </xf>
    <xf numFmtId="49" fontId="7" fillId="6" borderId="0" xfId="5" applyNumberFormat="1" applyFont="1" applyFill="1" applyAlignment="1">
      <alignment horizontal="center"/>
    </xf>
    <xf numFmtId="0" fontId="13" fillId="2" borderId="6" xfId="0" applyFont="1" applyFill="1" applyBorder="1" applyAlignment="1">
      <alignment horizontal="center"/>
    </xf>
    <xf numFmtId="164" fontId="14" fillId="0" borderId="0" xfId="5" applyFont="1" applyBorder="1"/>
    <xf numFmtId="9" fontId="9" fillId="0" borderId="0" xfId="1" quotePrefix="1" applyFont="1" applyBorder="1" applyAlignment="1">
      <alignment horizontal="right"/>
    </xf>
    <xf numFmtId="0" fontId="9" fillId="0" borderId="9" xfId="0" applyFont="1" applyFill="1" applyBorder="1"/>
    <xf numFmtId="0" fontId="9" fillId="0" borderId="2" xfId="0" applyFont="1" applyBorder="1" applyAlignment="1">
      <alignment horizontal="left"/>
    </xf>
    <xf numFmtId="165" fontId="9" fillId="0" borderId="12" xfId="5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0" fontId="9" fillId="0" borderId="14" xfId="0" applyNumberFormat="1" applyFont="1" applyBorder="1" applyAlignment="1">
      <alignment horizontal="center"/>
    </xf>
    <xf numFmtId="0" fontId="9" fillId="3" borderId="14" xfId="0" applyFont="1" applyFill="1" applyBorder="1"/>
    <xf numFmtId="0" fontId="9" fillId="0" borderId="1" xfId="0" applyFont="1" applyBorder="1"/>
    <xf numFmtId="164" fontId="9" fillId="0" borderId="1" xfId="5" applyFont="1" applyBorder="1"/>
    <xf numFmtId="167" fontId="9" fillId="0" borderId="1" xfId="0" applyNumberFormat="1" applyFont="1" applyBorder="1"/>
    <xf numFmtId="10" fontId="9" fillId="0" borderId="1" xfId="5" applyNumberFormat="1" applyFont="1" applyBorder="1"/>
    <xf numFmtId="0" fontId="9" fillId="0" borderId="13" xfId="0" applyFont="1" applyBorder="1" applyAlignment="1">
      <alignment horizontal="left"/>
    </xf>
    <xf numFmtId="0" fontId="9" fillId="0" borderId="14" xfId="5" applyNumberFormat="1" applyFont="1" applyBorder="1" applyAlignment="1">
      <alignment horizontal="left"/>
    </xf>
    <xf numFmtId="0" fontId="9" fillId="0" borderId="13" xfId="0" applyFont="1" applyBorder="1" applyAlignment="1">
      <alignment horizontal="left" indent="3"/>
    </xf>
    <xf numFmtId="167" fontId="9" fillId="0" borderId="14" xfId="5" applyNumberFormat="1" applyFont="1" applyBorder="1"/>
    <xf numFmtId="0" fontId="9" fillId="3" borderId="2" xfId="0" applyFont="1" applyFill="1" applyBorder="1"/>
    <xf numFmtId="0" fontId="9" fillId="0" borderId="0" xfId="0" applyFont="1" applyFill="1" applyBorder="1" applyProtection="1">
      <protection locked="0"/>
    </xf>
    <xf numFmtId="164" fontId="13" fillId="0" borderId="0" xfId="0" applyNumberFormat="1" applyFont="1"/>
    <xf numFmtId="164" fontId="9" fillId="0" borderId="0" xfId="0" applyNumberFormat="1" applyFont="1" applyFill="1"/>
    <xf numFmtId="164" fontId="9" fillId="0" borderId="0" xfId="0" applyNumberFormat="1" applyFont="1"/>
    <xf numFmtId="0" fontId="9" fillId="0" borderId="3" xfId="0" applyFont="1" applyBorder="1" applyAlignment="1">
      <alignment horizontal="right"/>
    </xf>
    <xf numFmtId="167" fontId="9" fillId="0" borderId="3" xfId="0" applyNumberFormat="1" applyFont="1" applyBorder="1"/>
    <xf numFmtId="0" fontId="9" fillId="0" borderId="9" xfId="0" applyFont="1" applyBorder="1"/>
    <xf numFmtId="9" fontId="9" fillId="0" borderId="4" xfId="1" applyNumberFormat="1" applyFont="1" applyBorder="1" applyAlignment="1">
      <alignment horizontal="right"/>
    </xf>
    <xf numFmtId="9" fontId="9" fillId="0" borderId="4" xfId="1" applyNumberFormat="1" applyFont="1" applyFill="1" applyBorder="1"/>
    <xf numFmtId="0" fontId="9" fillId="0" borderId="4" xfId="0" applyFont="1" applyBorder="1" applyAlignment="1"/>
    <xf numFmtId="0" fontId="9" fillId="0" borderId="4" xfId="0" applyFont="1" applyFill="1" applyBorder="1" applyAlignment="1">
      <alignment horizontal="right"/>
    </xf>
    <xf numFmtId="164" fontId="8" fillId="0" borderId="1" xfId="5" applyFont="1" applyFill="1" applyBorder="1" applyAlignment="1">
      <alignment horizontal="center"/>
    </xf>
    <xf numFmtId="2" fontId="9" fillId="0" borderId="14" xfId="5" applyNumberFormat="1" applyFont="1" applyFill="1" applyBorder="1"/>
    <xf numFmtId="0" fontId="16" fillId="0" borderId="2" xfId="0" applyFont="1" applyBorder="1" applyAlignment="1" applyProtection="1"/>
    <xf numFmtId="164" fontId="17" fillId="0" borderId="1" xfId="5" applyFont="1" applyFill="1" applyBorder="1"/>
    <xf numFmtId="164" fontId="9" fillId="0" borderId="14" xfId="5" applyFont="1" applyFill="1" applyBorder="1"/>
    <xf numFmtId="164" fontId="17" fillId="0" borderId="2" xfId="5" applyFont="1" applyFill="1" applyBorder="1"/>
    <xf numFmtId="0" fontId="9" fillId="0" borderId="6" xfId="0" applyFont="1" applyBorder="1" applyAlignment="1">
      <alignment horizontal="right"/>
    </xf>
    <xf numFmtId="164" fontId="17" fillId="0" borderId="6" xfId="5" applyFont="1" applyFill="1" applyBorder="1"/>
    <xf numFmtId="164" fontId="9" fillId="0" borderId="6" xfId="5" applyFont="1" applyFill="1" applyBorder="1"/>
    <xf numFmtId="0" fontId="9" fillId="0" borderId="2" xfId="0" applyFont="1" applyBorder="1" applyAlignment="1">
      <alignment horizontal="right"/>
    </xf>
    <xf numFmtId="0" fontId="11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170" fontId="11" fillId="0" borderId="26" xfId="5" applyNumberFormat="1" applyFont="1" applyBorder="1" applyAlignment="1">
      <alignment horizontal="center"/>
    </xf>
    <xf numFmtId="164" fontId="11" fillId="0" borderId="27" xfId="5" applyFont="1" applyBorder="1" applyAlignment="1">
      <alignment horizontal="center"/>
    </xf>
    <xf numFmtId="164" fontId="11" fillId="0" borderId="28" xfId="5" applyFont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19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18" fillId="0" borderId="0" xfId="2" applyFont="1" applyFill="1" applyAlignment="1">
      <alignment horizontal="left"/>
    </xf>
    <xf numFmtId="0" fontId="4" fillId="0" borderId="0" xfId="2" applyFill="1" applyAlignment="1">
      <alignment horizontal="right"/>
    </xf>
    <xf numFmtId="0" fontId="19" fillId="0" borderId="0" xfId="2" applyFont="1"/>
    <xf numFmtId="0" fontId="20" fillId="6" borderId="5" xfId="7" applyFont="1" applyFill="1" applyBorder="1" applyAlignment="1">
      <alignment vertical="center"/>
    </xf>
    <xf numFmtId="0" fontId="20" fillId="6" borderId="6" xfId="7" applyFont="1" applyFill="1" applyBorder="1" applyAlignment="1">
      <alignment vertical="center"/>
    </xf>
    <xf numFmtId="0" fontId="20" fillId="6" borderId="6" xfId="7" applyFont="1" applyFill="1" applyBorder="1" applyAlignment="1">
      <alignment horizontal="right" vertical="center"/>
    </xf>
    <xf numFmtId="0" fontId="20" fillId="6" borderId="7" xfId="7" applyFont="1" applyFill="1" applyBorder="1" applyAlignment="1">
      <alignment horizontal="right" vertical="center"/>
    </xf>
    <xf numFmtId="0" fontId="21" fillId="0" borderId="0" xfId="2" applyFont="1"/>
    <xf numFmtId="0" fontId="22" fillId="0" borderId="0" xfId="2" applyFont="1"/>
    <xf numFmtId="0" fontId="4" fillId="0" borderId="0" xfId="2" applyFont="1"/>
    <xf numFmtId="165" fontId="7" fillId="0" borderId="0" xfId="8" applyNumberFormat="1" applyFont="1"/>
    <xf numFmtId="164" fontId="7" fillId="0" borderId="0" xfId="8" applyFont="1" applyAlignment="1">
      <alignment horizontal="center"/>
    </xf>
    <xf numFmtId="49" fontId="7" fillId="0" borderId="0" xfId="8" applyNumberFormat="1" applyFont="1" applyAlignment="1">
      <alignment horizontal="center"/>
    </xf>
    <xf numFmtId="0" fontId="20" fillId="6" borderId="8" xfId="7" applyFont="1" applyFill="1" applyBorder="1" applyAlignment="1">
      <alignment vertical="center"/>
    </xf>
    <xf numFmtId="0" fontId="20" fillId="6" borderId="0" xfId="7" applyFont="1" applyFill="1" applyBorder="1" applyAlignment="1">
      <alignment vertical="center"/>
    </xf>
    <xf numFmtId="0" fontId="23" fillId="6" borderId="0" xfId="2" applyFont="1" applyFill="1" applyBorder="1"/>
    <xf numFmtId="0" fontId="20" fillId="6" borderId="0" xfId="2" applyFont="1" applyFill="1" applyBorder="1" applyAlignment="1">
      <alignment horizontal="center" vertical="center"/>
    </xf>
    <xf numFmtId="0" fontId="20" fillId="6" borderId="9" xfId="7" applyFont="1" applyFill="1" applyBorder="1" applyAlignment="1">
      <alignment vertical="center"/>
    </xf>
    <xf numFmtId="0" fontId="8" fillId="0" borderId="0" xfId="2" applyFont="1" applyBorder="1" applyAlignment="1">
      <alignment horizontal="center"/>
    </xf>
    <xf numFmtId="0" fontId="20" fillId="6" borderId="8" xfId="7" applyFont="1" applyFill="1" applyBorder="1" applyAlignment="1">
      <alignment horizontal="center" vertical="center"/>
    </xf>
    <xf numFmtId="0" fontId="20" fillId="6" borderId="0" xfId="7" applyFont="1" applyFill="1" applyBorder="1" applyAlignment="1">
      <alignment horizontal="center" vertical="center"/>
    </xf>
    <xf numFmtId="0" fontId="20" fillId="6" borderId="0" xfId="7" applyFont="1" applyFill="1" applyBorder="1" applyAlignment="1">
      <alignment horizontal="right" vertical="center"/>
    </xf>
    <xf numFmtId="0" fontId="24" fillId="6" borderId="11" xfId="7" applyFont="1" applyFill="1" applyBorder="1" applyAlignment="1">
      <alignment horizontal="left" vertical="center"/>
    </xf>
    <xf numFmtId="0" fontId="9" fillId="0" borderId="5" xfId="2" applyFont="1" applyBorder="1"/>
    <xf numFmtId="0" fontId="9" fillId="0" borderId="6" xfId="2" applyFont="1" applyBorder="1"/>
    <xf numFmtId="0" fontId="13" fillId="2" borderId="6" xfId="2" applyFont="1" applyFill="1" applyBorder="1"/>
    <xf numFmtId="49" fontId="9" fillId="0" borderId="6" xfId="2" applyNumberFormat="1" applyFont="1" applyBorder="1" applyAlignment="1">
      <alignment horizontal="left"/>
    </xf>
    <xf numFmtId="0" fontId="9" fillId="0" borderId="7" xfId="2" applyFont="1" applyBorder="1"/>
    <xf numFmtId="49" fontId="24" fillId="6" borderId="14" xfId="7" applyNumberFormat="1" applyFont="1" applyFill="1" applyBorder="1" applyAlignment="1">
      <alignment horizontal="left" vertical="center"/>
    </xf>
    <xf numFmtId="0" fontId="9" fillId="0" borderId="8" xfId="2" applyFont="1" applyBorder="1"/>
    <xf numFmtId="0" fontId="9" fillId="0" borderId="0" xfId="2" applyFont="1" applyBorder="1"/>
    <xf numFmtId="14" fontId="9" fillId="0" borderId="0" xfId="2" applyNumberFormat="1" applyFont="1" applyBorder="1" applyAlignment="1">
      <alignment horizontal="left"/>
    </xf>
    <xf numFmtId="164" fontId="9" fillId="0" borderId="9" xfId="8" applyFont="1" applyBorder="1"/>
    <xf numFmtId="0" fontId="20" fillId="6" borderId="0" xfId="7" applyFont="1" applyFill="1" applyBorder="1" applyAlignment="1">
      <alignment horizontal="left" vertical="center"/>
    </xf>
    <xf numFmtId="2" fontId="9" fillId="0" borderId="0" xfId="2" applyNumberFormat="1" applyFont="1" applyBorder="1"/>
    <xf numFmtId="0" fontId="10" fillId="0" borderId="0" xfId="2" applyFont="1"/>
    <xf numFmtId="0" fontId="9" fillId="0" borderId="0" xfId="2" applyFont="1" applyBorder="1" applyAlignment="1">
      <alignment horizontal="left"/>
    </xf>
    <xf numFmtId="165" fontId="9" fillId="0" borderId="0" xfId="8" applyNumberFormat="1" applyFont="1" applyBorder="1" applyAlignment="1">
      <alignment horizontal="left"/>
    </xf>
    <xf numFmtId="166" fontId="9" fillId="0" borderId="0" xfId="8" applyNumberFormat="1" applyFont="1" applyBorder="1" applyAlignment="1"/>
    <xf numFmtId="0" fontId="14" fillId="0" borderId="0" xfId="2" applyFont="1" applyBorder="1"/>
    <xf numFmtId="9" fontId="9" fillId="0" borderId="0" xfId="9" quotePrefix="1" applyFont="1" applyBorder="1" applyAlignment="1">
      <alignment horizontal="right"/>
    </xf>
    <xf numFmtId="166" fontId="9" fillId="0" borderId="0" xfId="8" applyNumberFormat="1" applyFont="1" applyBorder="1"/>
    <xf numFmtId="0" fontId="20" fillId="6" borderId="8" xfId="10" applyFont="1" applyFill="1" applyBorder="1" applyAlignment="1">
      <alignment vertical="center"/>
    </xf>
    <xf numFmtId="2" fontId="20" fillId="6" borderId="0" xfId="10" applyNumberFormat="1" applyFont="1" applyFill="1" applyBorder="1" applyAlignment="1">
      <alignment vertical="center"/>
    </xf>
    <xf numFmtId="0" fontId="20" fillId="6" borderId="9" xfId="10" applyFont="1" applyFill="1" applyBorder="1" applyAlignment="1">
      <alignment vertical="center"/>
    </xf>
    <xf numFmtId="0" fontId="9" fillId="0" borderId="10" xfId="2" applyFont="1" applyBorder="1"/>
    <xf numFmtId="0" fontId="9" fillId="0" borderId="2" xfId="2" applyFont="1" applyBorder="1" applyAlignment="1">
      <alignment horizontal="center"/>
    </xf>
    <xf numFmtId="0" fontId="9" fillId="0" borderId="2" xfId="2" applyFont="1" applyBorder="1"/>
    <xf numFmtId="3" fontId="9" fillId="0" borderId="2" xfId="2" applyNumberFormat="1" applyFont="1" applyBorder="1" applyAlignment="1">
      <alignment horizontal="center"/>
    </xf>
    <xf numFmtId="0" fontId="9" fillId="0" borderId="2" xfId="2" applyFont="1" applyBorder="1" applyAlignment="1">
      <alignment horizontal="left"/>
    </xf>
    <xf numFmtId="0" fontId="9" fillId="3" borderId="10" xfId="2" applyFont="1" applyFill="1" applyBorder="1" applyAlignment="1">
      <alignment horizontal="left"/>
    </xf>
    <xf numFmtId="164" fontId="9" fillId="3" borderId="2" xfId="8" applyFont="1" applyFill="1" applyBorder="1"/>
    <xf numFmtId="164" fontId="9" fillId="3" borderId="11" xfId="8" applyFont="1" applyFill="1" applyBorder="1"/>
    <xf numFmtId="2" fontId="20" fillId="6" borderId="8" xfId="10" applyNumberFormat="1" applyFont="1" applyFill="1" applyBorder="1" applyAlignment="1">
      <alignment vertical="center"/>
    </xf>
    <xf numFmtId="2" fontId="20" fillId="6" borderId="0" xfId="10" applyNumberFormat="1" applyFont="1" applyFill="1" applyBorder="1" applyAlignment="1">
      <alignment horizontal="left" vertical="center"/>
    </xf>
    <xf numFmtId="0" fontId="9" fillId="0" borderId="5" xfId="2" applyFont="1" applyBorder="1" applyAlignment="1">
      <alignment horizontal="center"/>
    </xf>
    <xf numFmtId="0" fontId="9" fillId="0" borderId="7" xfId="2" applyFont="1" applyBorder="1" applyAlignment="1">
      <alignment horizontal="center"/>
    </xf>
    <xf numFmtId="0" fontId="9" fillId="0" borderId="12" xfId="2" applyFont="1" applyBorder="1" applyAlignment="1">
      <alignment horizontal="center"/>
    </xf>
    <xf numFmtId="165" fontId="9" fillId="0" borderId="12" xfId="8" applyNumberFormat="1" applyFont="1" applyBorder="1" applyAlignment="1">
      <alignment horizontal="center"/>
    </xf>
    <xf numFmtId="0" fontId="9" fillId="0" borderId="8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14" xfId="2" applyFont="1" applyBorder="1" applyAlignment="1">
      <alignment horizontal="center"/>
    </xf>
    <xf numFmtId="0" fontId="25" fillId="6" borderId="8" xfId="4" applyFont="1" applyFill="1" applyBorder="1" applyAlignment="1">
      <alignment vertical="center"/>
    </xf>
    <xf numFmtId="0" fontId="25" fillId="6" borderId="0" xfId="4" applyFont="1" applyFill="1" applyBorder="1" applyAlignment="1">
      <alignment vertical="center"/>
    </xf>
    <xf numFmtId="0" fontId="26" fillId="6" borderId="0" xfId="4" applyFont="1" applyFill="1" applyBorder="1" applyAlignment="1">
      <alignment vertical="center"/>
    </xf>
    <xf numFmtId="0" fontId="26" fillId="6" borderId="9" xfId="4" applyFont="1" applyFill="1" applyBorder="1" applyAlignment="1">
      <alignment vertical="center"/>
    </xf>
    <xf numFmtId="0" fontId="9" fillId="0" borderId="10" xfId="2" applyFont="1" applyBorder="1" applyAlignment="1">
      <alignment horizontal="center"/>
    </xf>
    <xf numFmtId="0" fontId="9" fillId="0" borderId="11" xfId="2" applyFont="1" applyBorder="1"/>
    <xf numFmtId="0" fontId="9" fillId="0" borderId="1" xfId="2" applyFont="1" applyBorder="1" applyAlignment="1">
      <alignment horizontal="center"/>
    </xf>
    <xf numFmtId="0" fontId="9" fillId="0" borderId="14" xfId="2" applyFont="1" applyBorder="1" applyAlignment="1">
      <alignment horizontal="center"/>
    </xf>
    <xf numFmtId="10" fontId="9" fillId="0" borderId="14" xfId="2" applyNumberFormat="1" applyFont="1" applyBorder="1" applyAlignment="1">
      <alignment horizontal="center"/>
    </xf>
    <xf numFmtId="0" fontId="27" fillId="6" borderId="13" xfId="4" applyFont="1" applyFill="1" applyBorder="1" applyAlignment="1">
      <alignment horizontal="center" vertical="center"/>
    </xf>
    <xf numFmtId="0" fontId="27" fillId="6" borderId="4" xfId="4" applyFont="1" applyFill="1" applyBorder="1" applyAlignment="1">
      <alignment horizontal="center" vertical="center"/>
    </xf>
    <xf numFmtId="171" fontId="27" fillId="6" borderId="4" xfId="4" applyNumberFormat="1" applyFont="1" applyFill="1" applyBorder="1" applyAlignment="1">
      <alignment horizontal="right" vertical="center"/>
    </xf>
    <xf numFmtId="0" fontId="9" fillId="3" borderId="13" xfId="2" applyFont="1" applyFill="1" applyBorder="1" applyAlignment="1">
      <alignment horizontal="left"/>
    </xf>
    <xf numFmtId="0" fontId="9" fillId="3" borderId="14" xfId="2" applyFont="1" applyFill="1" applyBorder="1"/>
    <xf numFmtId="0" fontId="9" fillId="0" borderId="1" xfId="2" applyFont="1" applyBorder="1"/>
    <xf numFmtId="165" fontId="9" fillId="0" borderId="1" xfId="8" applyNumberFormat="1" applyFont="1" applyBorder="1"/>
    <xf numFmtId="164" fontId="9" fillId="0" borderId="1" xfId="8" applyFont="1" applyBorder="1"/>
    <xf numFmtId="167" fontId="9" fillId="0" borderId="1" xfId="2" applyNumberFormat="1" applyFont="1" applyBorder="1"/>
    <xf numFmtId="10" fontId="9" fillId="0" borderId="1" xfId="8" applyNumberFormat="1" applyFont="1" applyBorder="1"/>
    <xf numFmtId="0" fontId="27" fillId="6" borderId="8" xfId="4" applyFont="1" applyFill="1" applyBorder="1" applyAlignment="1">
      <alignment vertical="center"/>
    </xf>
    <xf numFmtId="0" fontId="27" fillId="6" borderId="0" xfId="4" applyFont="1" applyFill="1" applyBorder="1" applyAlignment="1">
      <alignment vertical="center"/>
    </xf>
    <xf numFmtId="171" fontId="27" fillId="6" borderId="0" xfId="4" applyNumberFormat="1" applyFont="1" applyFill="1" applyBorder="1" applyAlignment="1">
      <alignment horizontal="right" vertical="center"/>
    </xf>
    <xf numFmtId="2" fontId="9" fillId="0" borderId="13" xfId="2" applyNumberFormat="1" applyFont="1" applyBorder="1" applyAlignment="1">
      <alignment horizontal="left"/>
    </xf>
    <xf numFmtId="0" fontId="9" fillId="0" borderId="14" xfId="8" applyNumberFormat="1" applyFont="1" applyBorder="1" applyAlignment="1">
      <alignment horizontal="left"/>
    </xf>
    <xf numFmtId="0" fontId="9" fillId="0" borderId="1" xfId="2" applyFont="1" applyFill="1" applyBorder="1"/>
    <xf numFmtId="168" fontId="9" fillId="0" borderId="1" xfId="8" applyNumberFormat="1" applyFont="1" applyBorder="1"/>
    <xf numFmtId="169" fontId="9" fillId="0" borderId="1" xfId="8" applyNumberFormat="1" applyFont="1" applyBorder="1"/>
    <xf numFmtId="10" fontId="9" fillId="0" borderId="1" xfId="9" applyNumberFormat="1" applyFont="1" applyBorder="1"/>
    <xf numFmtId="0" fontId="26" fillId="6" borderId="8" xfId="4" applyFont="1" applyFill="1" applyBorder="1" applyAlignment="1">
      <alignment vertical="center"/>
    </xf>
    <xf numFmtId="0" fontId="26" fillId="6" borderId="0" xfId="4" applyFont="1" applyFill="1" applyBorder="1" applyAlignment="1">
      <alignment horizontal="center" vertical="center"/>
    </xf>
    <xf numFmtId="171" fontId="26" fillId="6" borderId="0" xfId="10" applyNumberFormat="1" applyFont="1" applyFill="1" applyBorder="1" applyAlignment="1">
      <alignment vertical="center"/>
    </xf>
    <xf numFmtId="171" fontId="28" fillId="6" borderId="0" xfId="4" applyNumberFormat="1" applyFont="1" applyFill="1" applyBorder="1" applyAlignment="1">
      <alignment horizontal="right" vertical="center"/>
    </xf>
    <xf numFmtId="2" fontId="9" fillId="0" borderId="13" xfId="2" applyNumberFormat="1" applyFont="1" applyBorder="1" applyAlignment="1">
      <alignment horizontal="left" indent="3"/>
    </xf>
    <xf numFmtId="0" fontId="27" fillId="6" borderId="8" xfId="4" applyFont="1" applyFill="1" applyBorder="1" applyAlignment="1">
      <alignment horizontal="center" vertical="center"/>
    </xf>
    <xf numFmtId="0" fontId="27" fillId="6" borderId="0" xfId="4" applyFont="1" applyFill="1" applyBorder="1" applyAlignment="1">
      <alignment horizontal="center" vertical="center"/>
    </xf>
    <xf numFmtId="2" fontId="26" fillId="6" borderId="8" xfId="10" applyNumberFormat="1" applyFont="1" applyFill="1" applyBorder="1" applyAlignment="1">
      <alignment vertical="center"/>
    </xf>
    <xf numFmtId="2" fontId="26" fillId="6" borderId="0" xfId="10" applyNumberFormat="1" applyFont="1" applyFill="1" applyBorder="1" applyAlignment="1">
      <alignment vertical="center"/>
    </xf>
    <xf numFmtId="0" fontId="28" fillId="6" borderId="0" xfId="4" applyFont="1" applyFill="1" applyBorder="1" applyAlignment="1">
      <alignment horizontal="center" vertical="center"/>
    </xf>
    <xf numFmtId="171" fontId="26" fillId="6" borderId="0" xfId="4" applyNumberFormat="1" applyFont="1" applyFill="1" applyBorder="1" applyAlignment="1">
      <alignment vertical="center"/>
    </xf>
    <xf numFmtId="0" fontId="26" fillId="6" borderId="0" xfId="4" applyNumberFormat="1" applyFont="1" applyFill="1" applyBorder="1" applyAlignment="1">
      <alignment horizontal="center" vertical="center"/>
    </xf>
    <xf numFmtId="0" fontId="29" fillId="6" borderId="0" xfId="11" applyFont="1" applyFill="1" applyBorder="1" applyAlignment="1">
      <alignment horizontal="left" wrapText="1"/>
    </xf>
    <xf numFmtId="0" fontId="26" fillId="6" borderId="0" xfId="4" applyNumberFormat="1" applyFont="1" applyFill="1" applyBorder="1" applyAlignment="1">
      <alignment horizontal="center" vertical="center" wrapText="1"/>
    </xf>
    <xf numFmtId="0" fontId="9" fillId="0" borderId="13" xfId="2" applyFont="1" applyBorder="1" applyAlignment="1">
      <alignment horizontal="left"/>
    </xf>
    <xf numFmtId="167" fontId="9" fillId="0" borderId="14" xfId="8" applyNumberFormat="1" applyFont="1" applyBorder="1"/>
    <xf numFmtId="0" fontId="28" fillId="6" borderId="8" xfId="4" applyFont="1" applyFill="1" applyBorder="1" applyAlignment="1">
      <alignment vertical="center"/>
    </xf>
    <xf numFmtId="0" fontId="9" fillId="4" borderId="15" xfId="2" applyFont="1" applyFill="1" applyBorder="1" applyAlignment="1">
      <alignment horizontal="center"/>
    </xf>
    <xf numFmtId="0" fontId="9" fillId="4" borderId="16" xfId="2" applyFont="1" applyFill="1" applyBorder="1" applyAlignment="1">
      <alignment horizontal="center"/>
    </xf>
    <xf numFmtId="168" fontId="9" fillId="4" borderId="18" xfId="8" applyNumberFormat="1" applyFont="1" applyFill="1" applyBorder="1"/>
    <xf numFmtId="169" fontId="9" fillId="4" borderId="18" xfId="8" applyNumberFormat="1" applyFont="1" applyFill="1" applyBorder="1"/>
    <xf numFmtId="10" fontId="9" fillId="4" borderId="18" xfId="9" applyNumberFormat="1" applyFont="1" applyFill="1" applyBorder="1"/>
    <xf numFmtId="0" fontId="9" fillId="3" borderId="2" xfId="2" applyFont="1" applyFill="1" applyBorder="1"/>
    <xf numFmtId="165" fontId="9" fillId="0" borderId="19" xfId="8" applyNumberFormat="1" applyFont="1" applyBorder="1"/>
    <xf numFmtId="0" fontId="9" fillId="0" borderId="19" xfId="2" applyFont="1" applyBorder="1"/>
    <xf numFmtId="164" fontId="9" fillId="0" borderId="19" xfId="8" applyFont="1" applyBorder="1"/>
    <xf numFmtId="168" fontId="9" fillId="0" borderId="20" xfId="8" applyNumberFormat="1" applyFont="1" applyBorder="1"/>
    <xf numFmtId="169" fontId="9" fillId="0" borderId="20" xfId="8" applyNumberFormat="1" applyFont="1" applyBorder="1"/>
    <xf numFmtId="10" fontId="9" fillId="0" borderId="21" xfId="9" applyNumberFormat="1" applyFont="1" applyBorder="1"/>
    <xf numFmtId="2" fontId="13" fillId="0" borderId="13" xfId="2" applyNumberFormat="1" applyFont="1" applyBorder="1" applyAlignment="1">
      <alignment horizontal="left"/>
    </xf>
    <xf numFmtId="0" fontId="27" fillId="6" borderId="4" xfId="4" applyFont="1" applyFill="1" applyBorder="1" applyAlignment="1">
      <alignment vertical="center"/>
    </xf>
    <xf numFmtId="0" fontId="27" fillId="6" borderId="5" xfId="4" applyFont="1" applyFill="1" applyBorder="1" applyAlignment="1">
      <alignment horizontal="left" vertical="center"/>
    </xf>
    <xf numFmtId="0" fontId="27" fillId="6" borderId="6" xfId="4" applyFont="1" applyFill="1" applyBorder="1" applyAlignment="1">
      <alignment horizontal="center" vertical="center"/>
    </xf>
    <xf numFmtId="0" fontId="27" fillId="6" borderId="6" xfId="4" applyFont="1" applyFill="1" applyBorder="1" applyAlignment="1">
      <alignment vertical="center"/>
    </xf>
    <xf numFmtId="0" fontId="28" fillId="6" borderId="0" xfId="4" applyFont="1" applyFill="1" applyBorder="1" applyAlignment="1">
      <alignment horizontal="left" vertical="center"/>
    </xf>
    <xf numFmtId="0" fontId="28" fillId="6" borderId="0" xfId="4" applyFont="1" applyFill="1" applyBorder="1" applyAlignment="1">
      <alignment vertical="center"/>
    </xf>
    <xf numFmtId="0" fontId="4" fillId="0" borderId="0" xfId="2"/>
    <xf numFmtId="0" fontId="28" fillId="6" borderId="4" xfId="4" applyFont="1" applyFill="1" applyBorder="1" applyAlignment="1">
      <alignment vertical="center"/>
    </xf>
    <xf numFmtId="0" fontId="26" fillId="6" borderId="4" xfId="4" applyNumberFormat="1" applyFont="1" applyFill="1" applyBorder="1" applyAlignment="1">
      <alignment horizontal="center" vertical="center"/>
    </xf>
    <xf numFmtId="0" fontId="27" fillId="6" borderId="10" xfId="4" applyFont="1" applyFill="1" applyBorder="1" applyAlignment="1">
      <alignment horizontal="center" vertical="center"/>
    </xf>
    <xf numFmtId="0" fontId="27" fillId="6" borderId="2" xfId="4" applyFont="1" applyFill="1" applyBorder="1" applyAlignment="1">
      <alignment horizontal="center" vertical="center"/>
    </xf>
    <xf numFmtId="0" fontId="27" fillId="6" borderId="2" xfId="4" applyFont="1" applyFill="1" applyBorder="1" applyAlignment="1">
      <alignment vertical="center"/>
    </xf>
    <xf numFmtId="0" fontId="30" fillId="6" borderId="0" xfId="4" applyFont="1" applyFill="1" applyBorder="1" applyAlignment="1">
      <alignment vertical="center"/>
    </xf>
    <xf numFmtId="0" fontId="26" fillId="6" borderId="0" xfId="4" applyFont="1" applyFill="1" applyBorder="1" applyAlignment="1">
      <alignment horizontal="left" vertical="center"/>
    </xf>
    <xf numFmtId="0" fontId="31" fillId="6" borderId="0" xfId="4" applyFont="1" applyFill="1" applyBorder="1" applyAlignment="1">
      <alignment horizontal="center" vertical="center" wrapText="1"/>
    </xf>
    <xf numFmtId="0" fontId="30" fillId="6" borderId="8" xfId="4" applyFont="1" applyFill="1" applyBorder="1" applyAlignment="1">
      <alignment vertical="center"/>
    </xf>
    <xf numFmtId="0" fontId="26" fillId="6" borderId="0" xfId="10" applyNumberFormat="1" applyFont="1" applyFill="1" applyBorder="1" applyAlignment="1">
      <alignment horizontal="center" vertical="center"/>
    </xf>
    <xf numFmtId="0" fontId="25" fillId="6" borderId="13" xfId="4" applyFont="1" applyFill="1" applyBorder="1" applyAlignment="1">
      <alignment vertical="center"/>
    </xf>
    <xf numFmtId="0" fontId="25" fillId="6" borderId="4" xfId="4" applyFont="1" applyFill="1" applyBorder="1" applyAlignment="1">
      <alignment vertical="center"/>
    </xf>
    <xf numFmtId="171" fontId="25" fillId="6" borderId="4" xfId="4" applyNumberFormat="1" applyFont="1" applyFill="1" applyBorder="1" applyAlignment="1">
      <alignment vertical="center"/>
    </xf>
    <xf numFmtId="171" fontId="25" fillId="6" borderId="0" xfId="4" applyNumberFormat="1" applyFont="1" applyFill="1" applyBorder="1" applyAlignment="1">
      <alignment vertical="center"/>
    </xf>
    <xf numFmtId="2" fontId="20" fillId="6" borderId="8" xfId="10" applyNumberFormat="1" applyFont="1" applyFill="1" applyBorder="1" applyAlignment="1">
      <alignment horizontal="left" vertical="center"/>
    </xf>
    <xf numFmtId="0" fontId="20" fillId="6" borderId="0" xfId="10" applyFont="1" applyFill="1" applyBorder="1" applyAlignment="1">
      <alignment vertical="center"/>
    </xf>
    <xf numFmtId="2" fontId="20" fillId="6" borderId="9" xfId="10" applyNumberFormat="1" applyFont="1" applyFill="1" applyBorder="1" applyAlignment="1">
      <alignment vertical="center"/>
    </xf>
    <xf numFmtId="2" fontId="20" fillId="6" borderId="29" xfId="10" applyNumberFormat="1" applyFont="1" applyFill="1" applyBorder="1" applyAlignment="1">
      <alignment horizontal="center" vertical="center"/>
    </xf>
    <xf numFmtId="2" fontId="20" fillId="6" borderId="30" xfId="10" applyNumberFormat="1" applyFont="1" applyFill="1" applyBorder="1" applyAlignment="1">
      <alignment horizontal="center" vertical="center"/>
    </xf>
    <xf numFmtId="2" fontId="20" fillId="6" borderId="31" xfId="10" applyNumberFormat="1" applyFont="1" applyFill="1" applyBorder="1" applyAlignment="1">
      <alignment horizontal="center" vertical="center"/>
    </xf>
    <xf numFmtId="2" fontId="20" fillId="6" borderId="29" xfId="10" applyNumberFormat="1" applyFont="1" applyFill="1" applyBorder="1" applyAlignment="1">
      <alignment vertical="center"/>
    </xf>
    <xf numFmtId="2" fontId="20" fillId="6" borderId="30" xfId="10" applyNumberFormat="1" applyFont="1" applyFill="1" applyBorder="1" applyAlignment="1">
      <alignment vertical="center"/>
    </xf>
    <xf numFmtId="0" fontId="20" fillId="6" borderId="31" xfId="10" applyFont="1" applyFill="1" applyBorder="1" applyAlignment="1">
      <alignment vertical="center"/>
    </xf>
    <xf numFmtId="2" fontId="20" fillId="6" borderId="32" xfId="10" applyNumberFormat="1" applyFont="1" applyFill="1" applyBorder="1" applyAlignment="1">
      <alignment horizontal="center" vertical="center"/>
    </xf>
    <xf numFmtId="2" fontId="20" fillId="6" borderId="33" xfId="10" applyNumberFormat="1" applyFont="1" applyFill="1" applyBorder="1" applyAlignment="1">
      <alignment horizontal="center" vertical="center"/>
    </xf>
    <xf numFmtId="2" fontId="20" fillId="6" borderId="34" xfId="10" applyNumberFormat="1" applyFont="1" applyFill="1" applyBorder="1" applyAlignment="1">
      <alignment horizontal="center" vertical="center"/>
    </xf>
    <xf numFmtId="2" fontId="20" fillId="6" borderId="32" xfId="10" applyNumberFormat="1" applyFont="1" applyFill="1" applyBorder="1" applyAlignment="1">
      <alignment vertical="center"/>
    </xf>
    <xf numFmtId="2" fontId="20" fillId="6" borderId="33" xfId="10" applyNumberFormat="1" applyFont="1" applyFill="1" applyBorder="1" applyAlignment="1">
      <alignment vertical="center"/>
    </xf>
    <xf numFmtId="0" fontId="20" fillId="6" borderId="34" xfId="10" applyFont="1" applyFill="1" applyBorder="1" applyAlignment="1">
      <alignment vertical="center"/>
    </xf>
    <xf numFmtId="2" fontId="20" fillId="6" borderId="8" xfId="10" applyNumberFormat="1" applyFont="1" applyFill="1" applyBorder="1" applyAlignment="1">
      <alignment horizontal="center" vertical="center"/>
    </xf>
    <xf numFmtId="2" fontId="20" fillId="6" borderId="0" xfId="10" applyNumberFormat="1" applyFont="1" applyFill="1" applyBorder="1" applyAlignment="1">
      <alignment horizontal="center" vertical="center"/>
    </xf>
    <xf numFmtId="2" fontId="20" fillId="6" borderId="9" xfId="10" applyNumberFormat="1" applyFont="1" applyFill="1" applyBorder="1" applyAlignment="1">
      <alignment horizontal="center" vertical="center"/>
    </xf>
    <xf numFmtId="2" fontId="23" fillId="6" borderId="35" xfId="10" applyNumberFormat="1" applyFont="1" applyFill="1" applyBorder="1" applyAlignment="1">
      <alignment horizontal="center" vertical="center"/>
    </xf>
    <xf numFmtId="2" fontId="23" fillId="6" borderId="36" xfId="10" applyNumberFormat="1" applyFont="1" applyFill="1" applyBorder="1" applyAlignment="1">
      <alignment horizontal="center" vertical="center"/>
    </xf>
    <xf numFmtId="2" fontId="23" fillId="6" borderId="37" xfId="10" applyNumberFormat="1" applyFont="1" applyFill="1" applyBorder="1" applyAlignment="1">
      <alignment horizontal="center" vertical="center"/>
    </xf>
    <xf numFmtId="2" fontId="20" fillId="6" borderId="35" xfId="10" applyNumberFormat="1" applyFont="1" applyFill="1" applyBorder="1" applyAlignment="1">
      <alignment vertical="center"/>
    </xf>
    <xf numFmtId="2" fontId="20" fillId="6" borderId="36" xfId="10" applyNumberFormat="1" applyFont="1" applyFill="1" applyBorder="1" applyAlignment="1">
      <alignment vertical="center"/>
    </xf>
    <xf numFmtId="0" fontId="20" fillId="6" borderId="37" xfId="10" applyFont="1" applyFill="1" applyBorder="1" applyAlignment="1">
      <alignment vertical="center"/>
    </xf>
    <xf numFmtId="0" fontId="9" fillId="0" borderId="5" xfId="2" applyFont="1" applyBorder="1" applyAlignment="1">
      <alignment horizontal="left"/>
    </xf>
    <xf numFmtId="167" fontId="9" fillId="0" borderId="6" xfId="8" applyNumberFormat="1" applyFont="1" applyBorder="1"/>
    <xf numFmtId="164" fontId="9" fillId="0" borderId="25" xfId="8" applyFont="1" applyBorder="1"/>
    <xf numFmtId="165" fontId="9" fillId="0" borderId="5" xfId="8" applyNumberFormat="1" applyFont="1" applyBorder="1"/>
    <xf numFmtId="0" fontId="9" fillId="0" borderId="5" xfId="2" applyFont="1" applyFill="1" applyBorder="1"/>
    <xf numFmtId="169" fontId="9" fillId="0" borderId="25" xfId="8" applyNumberFormat="1" applyFont="1" applyBorder="1"/>
    <xf numFmtId="10" fontId="9" fillId="0" borderId="25" xfId="9" applyNumberFormat="1" applyFont="1" applyBorder="1"/>
    <xf numFmtId="0" fontId="20" fillId="6" borderId="0" xfId="10" applyFont="1" applyFill="1" applyAlignment="1">
      <alignment vertical="center"/>
    </xf>
    <xf numFmtId="2" fontId="20" fillId="6" borderId="0" xfId="10" applyNumberFormat="1" applyFont="1" applyFill="1" applyAlignment="1">
      <alignment vertical="center"/>
    </xf>
    <xf numFmtId="0" fontId="9" fillId="3" borderId="8" xfId="2" applyFont="1" applyFill="1" applyBorder="1" applyAlignment="1">
      <alignment horizontal="left"/>
    </xf>
    <xf numFmtId="0" fontId="9" fillId="3" borderId="0" xfId="2" applyFont="1" applyFill="1" applyBorder="1" applyAlignment="1">
      <alignment horizontal="right"/>
    </xf>
    <xf numFmtId="165" fontId="9" fillId="0" borderId="0" xfId="8" applyNumberFormat="1" applyFont="1" applyBorder="1"/>
    <xf numFmtId="166" fontId="9" fillId="0" borderId="0" xfId="2" applyNumberFormat="1" applyFont="1" applyBorder="1"/>
    <xf numFmtId="168" fontId="9" fillId="0" borderId="20" xfId="2" applyNumberFormat="1" applyFont="1" applyBorder="1"/>
    <xf numFmtId="2" fontId="20" fillId="6" borderId="0" xfId="10" applyNumberFormat="1" applyFont="1" applyFill="1" applyAlignment="1">
      <alignment horizontal="right" vertical="center"/>
    </xf>
    <xf numFmtId="0" fontId="9" fillId="0" borderId="8" xfId="2" applyFont="1" applyBorder="1" applyAlignment="1">
      <alignment horizontal="left"/>
    </xf>
    <xf numFmtId="164" fontId="9" fillId="0" borderId="0" xfId="8" applyFont="1" applyFill="1" applyBorder="1"/>
    <xf numFmtId="165" fontId="13" fillId="0" borderId="0" xfId="8" applyNumberFormat="1" applyFont="1" applyBorder="1"/>
    <xf numFmtId="0" fontId="9" fillId="0" borderId="0" xfId="2" applyFont="1" applyBorder="1" applyAlignment="1">
      <alignment horizontal="right"/>
    </xf>
    <xf numFmtId="164" fontId="9" fillId="0" borderId="0" xfId="8" applyFont="1" applyBorder="1"/>
    <xf numFmtId="0" fontId="32" fillId="6" borderId="0" xfId="4" applyFont="1" applyFill="1" applyAlignment="1">
      <alignment vertical="center"/>
    </xf>
    <xf numFmtId="0" fontId="5" fillId="6" borderId="0" xfId="4" applyFont="1" applyFill="1" applyAlignment="1">
      <alignment vertical="center"/>
    </xf>
    <xf numFmtId="0" fontId="9" fillId="0" borderId="15" xfId="2" applyFont="1" applyFill="1" applyBorder="1" applyAlignment="1">
      <alignment horizontal="center"/>
    </xf>
    <xf numFmtId="0" fontId="9" fillId="0" borderId="16" xfId="2" applyFont="1" applyFill="1" applyBorder="1" applyAlignment="1">
      <alignment horizontal="center"/>
    </xf>
    <xf numFmtId="0" fontId="9" fillId="0" borderId="0" xfId="2" applyFont="1" applyFill="1" applyBorder="1" applyAlignment="1" applyProtection="1">
      <alignment vertical="center"/>
      <protection locked="0"/>
    </xf>
    <xf numFmtId="167" fontId="9" fillId="0" borderId="0" xfId="8" applyNumberFormat="1" applyFont="1" applyBorder="1"/>
    <xf numFmtId="0" fontId="9" fillId="3" borderId="5" xfId="2" applyFont="1" applyFill="1" applyBorder="1"/>
    <xf numFmtId="9" fontId="9" fillId="3" borderId="6" xfId="9" applyFont="1" applyFill="1" applyBorder="1" applyAlignment="1">
      <alignment horizontal="right"/>
    </xf>
    <xf numFmtId="165" fontId="9" fillId="0" borderId="6" xfId="8" applyNumberFormat="1" applyFont="1" applyBorder="1"/>
    <xf numFmtId="168" fontId="9" fillId="0" borderId="21" xfId="8" applyNumberFormat="1" applyFont="1" applyBorder="1"/>
    <xf numFmtId="169" fontId="9" fillId="0" borderId="7" xfId="8" applyNumberFormat="1" applyFont="1" applyBorder="1"/>
    <xf numFmtId="0" fontId="33" fillId="0" borderId="0" xfId="2" applyFont="1" applyBorder="1"/>
    <xf numFmtId="0" fontId="9" fillId="0" borderId="22" xfId="2" applyFont="1" applyBorder="1"/>
    <xf numFmtId="9" fontId="9" fillId="0" borderId="3" xfId="2" applyNumberFormat="1" applyFont="1" applyBorder="1"/>
    <xf numFmtId="165" fontId="9" fillId="0" borderId="3" xfId="8" applyNumberFormat="1" applyFont="1" applyBorder="1"/>
    <xf numFmtId="0" fontId="9" fillId="0" borderId="3" xfId="2" applyFont="1" applyBorder="1"/>
    <xf numFmtId="164" fontId="9" fillId="0" borderId="3" xfId="8" applyFont="1" applyBorder="1"/>
    <xf numFmtId="0" fontId="34" fillId="0" borderId="0" xfId="2" applyFont="1"/>
    <xf numFmtId="0" fontId="9" fillId="5" borderId="20" xfId="2" applyFont="1" applyFill="1" applyBorder="1" applyAlignment="1">
      <alignment horizontal="center"/>
    </xf>
    <xf numFmtId="0" fontId="9" fillId="5" borderId="19" xfId="2" applyFont="1" applyFill="1" applyBorder="1" applyAlignment="1">
      <alignment horizontal="center"/>
    </xf>
    <xf numFmtId="168" fontId="9" fillId="5" borderId="12" xfId="8" applyNumberFormat="1" applyFont="1" applyFill="1" applyBorder="1"/>
    <xf numFmtId="169" fontId="9" fillId="5" borderId="12" xfId="8" applyNumberFormat="1" applyFont="1" applyFill="1" applyBorder="1"/>
    <xf numFmtId="10" fontId="9" fillId="5" borderId="12" xfId="9" applyNumberFormat="1" applyFont="1" applyFill="1" applyBorder="1"/>
    <xf numFmtId="0" fontId="9" fillId="0" borderId="13" xfId="2" applyFont="1" applyBorder="1"/>
    <xf numFmtId="9" fontId="9" fillId="0" borderId="4" xfId="9" applyFont="1" applyBorder="1" applyAlignment="1">
      <alignment horizontal="right"/>
    </xf>
    <xf numFmtId="9" fontId="9" fillId="0" borderId="4" xfId="9" applyFont="1" applyFill="1" applyBorder="1"/>
    <xf numFmtId="0" fontId="9" fillId="0" borderId="4" xfId="2" applyFont="1" applyBorder="1"/>
    <xf numFmtId="165" fontId="9" fillId="0" borderId="4" xfId="8" applyNumberFormat="1" applyFont="1" applyBorder="1"/>
    <xf numFmtId="0" fontId="9" fillId="0" borderId="13" xfId="2" applyFont="1" applyFill="1" applyBorder="1"/>
    <xf numFmtId="9" fontId="9" fillId="0" borderId="4" xfId="9" applyNumberFormat="1" applyFont="1" applyFill="1" applyBorder="1"/>
    <xf numFmtId="0" fontId="9" fillId="0" borderId="4" xfId="2" applyFont="1" applyFill="1" applyBorder="1"/>
    <xf numFmtId="0" fontId="9" fillId="5" borderId="5" xfId="2" applyFont="1" applyFill="1" applyBorder="1"/>
    <xf numFmtId="0" fontId="9" fillId="5" borderId="6" xfId="2" applyFont="1" applyFill="1" applyBorder="1"/>
    <xf numFmtId="165" fontId="9" fillId="5" borderId="6" xfId="8" applyNumberFormat="1" applyFont="1" applyFill="1" applyBorder="1"/>
    <xf numFmtId="172" fontId="9" fillId="5" borderId="25" xfId="8" applyNumberFormat="1" applyFont="1" applyFill="1" applyBorder="1"/>
    <xf numFmtId="169" fontId="9" fillId="5" borderId="25" xfId="8" applyNumberFormat="1" applyFont="1" applyFill="1" applyBorder="1"/>
    <xf numFmtId="10" fontId="9" fillId="5" borderId="25" xfId="9" applyNumberFormat="1" applyFont="1" applyFill="1" applyBorder="1"/>
    <xf numFmtId="164" fontId="9" fillId="0" borderId="4" xfId="8" applyFont="1" applyBorder="1"/>
    <xf numFmtId="164" fontId="9" fillId="0" borderId="14" xfId="8" applyFont="1" applyBorder="1"/>
    <xf numFmtId="0" fontId="11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170" fontId="11" fillId="0" borderId="26" xfId="8" applyNumberFormat="1" applyFont="1" applyFill="1" applyBorder="1" applyAlignment="1">
      <alignment horizontal="center"/>
    </xf>
    <xf numFmtId="164" fontId="11" fillId="0" borderId="27" xfId="8" applyFont="1" applyFill="1" applyBorder="1" applyAlignment="1">
      <alignment horizontal="center"/>
    </xf>
    <xf numFmtId="164" fontId="11" fillId="0" borderId="28" xfId="8" applyFont="1" applyFill="1" applyBorder="1" applyAlignment="1">
      <alignment horizontal="center"/>
    </xf>
    <xf numFmtId="0" fontId="9" fillId="0" borderId="0" xfId="2" applyFont="1"/>
    <xf numFmtId="165" fontId="9" fillId="0" borderId="2" xfId="8" applyNumberFormat="1" applyFont="1" applyBorder="1"/>
    <xf numFmtId="164" fontId="9" fillId="0" borderId="2" xfId="8" applyFont="1" applyBorder="1"/>
    <xf numFmtId="165" fontId="10" fillId="0" borderId="0" xfId="8" applyNumberFormat="1" applyFont="1"/>
    <xf numFmtId="164" fontId="10" fillId="0" borderId="0" xfId="8" applyFont="1"/>
    <xf numFmtId="164" fontId="7" fillId="0" borderId="0" xfId="8" applyFont="1"/>
  </cellXfs>
  <cellStyles count="12">
    <cellStyle name="Comma" xfId="5" builtinId="3"/>
    <cellStyle name="Comma 2" xfId="8"/>
    <cellStyle name="Normal" xfId="0" builtinId="0"/>
    <cellStyle name="Normal 2" xfId="4"/>
    <cellStyle name="Normal 4 2" xfId="11"/>
    <cellStyle name="Normal 5" xfId="2"/>
    <cellStyle name="Percent" xfId="1" builtinId="5"/>
    <cellStyle name="Percent 2" xfId="9"/>
    <cellStyle name="เครื่องหมายจุลภาค_PF511453-1461 RD" xfId="6"/>
    <cellStyle name="ปกติ_P07-Gimbon" xfId="3"/>
    <cellStyle name="ปกติ_P07-Gimbon 2" xfId="7"/>
    <cellStyle name="ปกติ_Trout 2" xfId="10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11</xdr:row>
          <xdr:rowOff>219075</xdr:rowOff>
        </xdr:from>
        <xdr:to>
          <xdr:col>18</xdr:col>
          <xdr:colOff>0</xdr:colOff>
          <xdr:row>12</xdr:row>
          <xdr:rowOff>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E1EBE187-5534-4097-9874-7FEE55E7B3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11</xdr:col>
      <xdr:colOff>0</xdr:colOff>
      <xdr:row>53</xdr:row>
      <xdr:rowOff>19050</xdr:rowOff>
    </xdr:from>
    <xdr:to>
      <xdr:col>11</xdr:col>
      <xdr:colOff>152400</xdr:colOff>
      <xdr:row>53</xdr:row>
      <xdr:rowOff>254000</xdr:rowOff>
    </xdr:to>
    <xdr:pic>
      <xdr:nvPicPr>
        <xdr:cNvPr id="3" name="CheckBox1">
          <a:extLst>
            <a:ext uri="{FF2B5EF4-FFF2-40B4-BE49-F238E27FC236}">
              <a16:creationId xmlns:a16="http://schemas.microsoft.com/office/drawing/2014/main" id="{D995D063-66C3-4E3A-B779-3A9EEABF16A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4516100"/>
          <a:ext cx="15240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152400</xdr:colOff>
      <xdr:row>54</xdr:row>
      <xdr:rowOff>234950</xdr:rowOff>
    </xdr:to>
    <xdr:pic>
      <xdr:nvPicPr>
        <xdr:cNvPr id="4" name="CheckBox3">
          <a:extLst>
            <a:ext uri="{FF2B5EF4-FFF2-40B4-BE49-F238E27FC236}">
              <a16:creationId xmlns:a16="http://schemas.microsoft.com/office/drawing/2014/main" id="{885C7771-5CFE-4F0F-8B6A-49C01AAFFDC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4763750"/>
          <a:ext cx="15240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152400</xdr:colOff>
      <xdr:row>54</xdr:row>
      <xdr:rowOff>234950</xdr:rowOff>
    </xdr:to>
    <xdr:pic>
      <xdr:nvPicPr>
        <xdr:cNvPr id="5" name="CheckBox4">
          <a:extLst>
            <a:ext uri="{FF2B5EF4-FFF2-40B4-BE49-F238E27FC236}">
              <a16:creationId xmlns:a16="http://schemas.microsoft.com/office/drawing/2014/main" id="{65E788B0-D52B-439A-91E2-C3D3E24280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4763750"/>
          <a:ext cx="15240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152400</xdr:colOff>
      <xdr:row>54</xdr:row>
      <xdr:rowOff>234950</xdr:rowOff>
    </xdr:to>
    <xdr:pic>
      <xdr:nvPicPr>
        <xdr:cNvPr id="6" name="CheckBox5">
          <a:extLst>
            <a:ext uri="{FF2B5EF4-FFF2-40B4-BE49-F238E27FC236}">
              <a16:creationId xmlns:a16="http://schemas.microsoft.com/office/drawing/2014/main" id="{8900D2AB-715C-407F-954E-6B44F55C43E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4763750"/>
          <a:ext cx="15240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152400</xdr:colOff>
      <xdr:row>55</xdr:row>
      <xdr:rowOff>234950</xdr:rowOff>
    </xdr:to>
    <xdr:pic>
      <xdr:nvPicPr>
        <xdr:cNvPr id="7" name="CheckBox2">
          <a:extLst>
            <a:ext uri="{FF2B5EF4-FFF2-40B4-BE49-F238E27FC236}">
              <a16:creationId xmlns:a16="http://schemas.microsoft.com/office/drawing/2014/main" id="{71B3EDB4-122E-43C9-B578-0C0EA9507CC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5030450"/>
          <a:ext cx="15240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53</xdr:row>
      <xdr:rowOff>0</xdr:rowOff>
    </xdr:from>
    <xdr:to>
      <xdr:col>15</xdr:col>
      <xdr:colOff>152400</xdr:colOff>
      <xdr:row>53</xdr:row>
      <xdr:rowOff>234950</xdr:rowOff>
    </xdr:to>
    <xdr:pic>
      <xdr:nvPicPr>
        <xdr:cNvPr id="8" name="CheckBox6">
          <a:extLst>
            <a:ext uri="{FF2B5EF4-FFF2-40B4-BE49-F238E27FC236}">
              <a16:creationId xmlns:a16="http://schemas.microsoft.com/office/drawing/2014/main" id="{C259B6CB-EA15-4CF2-A532-A38BDBFCE0E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14497050"/>
          <a:ext cx="15240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54</xdr:row>
      <xdr:rowOff>0</xdr:rowOff>
    </xdr:from>
    <xdr:to>
      <xdr:col>15</xdr:col>
      <xdr:colOff>152400</xdr:colOff>
      <xdr:row>54</xdr:row>
      <xdr:rowOff>234950</xdr:rowOff>
    </xdr:to>
    <xdr:pic>
      <xdr:nvPicPr>
        <xdr:cNvPr id="9" name="CheckBox7">
          <a:extLst>
            <a:ext uri="{FF2B5EF4-FFF2-40B4-BE49-F238E27FC236}">
              <a16:creationId xmlns:a16="http://schemas.microsoft.com/office/drawing/2014/main" id="{CF5762A9-9592-4E55-9F22-0E6A96A73F2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0" y="14763750"/>
          <a:ext cx="15240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38100</xdr:colOff>
      <xdr:row>55</xdr:row>
      <xdr:rowOff>25400</xdr:rowOff>
    </xdr:from>
    <xdr:to>
      <xdr:col>17</xdr:col>
      <xdr:colOff>171450</xdr:colOff>
      <xdr:row>56</xdr:row>
      <xdr:rowOff>31004</xdr:rowOff>
    </xdr:to>
    <xdr:pic>
      <xdr:nvPicPr>
        <xdr:cNvPr id="10" name="CheckBox8">
          <a:extLst>
            <a:ext uri="{FF2B5EF4-FFF2-40B4-BE49-F238E27FC236}">
              <a16:creationId xmlns:a16="http://schemas.microsoft.com/office/drawing/2014/main" id="{E70FE9A0-1D4A-43B6-8DE9-6BE9A7A7E6D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0" y="15055850"/>
          <a:ext cx="133350" cy="272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19050</xdr:rowOff>
    </xdr:from>
    <xdr:to>
      <xdr:col>17</xdr:col>
      <xdr:colOff>152400</xdr:colOff>
      <xdr:row>55</xdr:row>
      <xdr:rowOff>254000</xdr:rowOff>
    </xdr:to>
    <xdr:pic>
      <xdr:nvPicPr>
        <xdr:cNvPr id="11" name="CheckBox9">
          <a:extLst>
            <a:ext uri="{FF2B5EF4-FFF2-40B4-BE49-F238E27FC236}">
              <a16:creationId xmlns:a16="http://schemas.microsoft.com/office/drawing/2014/main" id="{D6CC3244-04E2-434E-8863-062604AA874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83700" y="15049500"/>
          <a:ext cx="152400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5" name="Object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0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6" name="Object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0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7" name="Object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0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8" name="Object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0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59" name="Object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0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1819275</xdr:colOff>
          <xdr:row>0</xdr:row>
          <xdr:rowOff>38100</xdr:rowOff>
        </xdr:from>
        <xdr:to>
          <xdr:col>1</xdr:col>
          <xdr:colOff>2200275</xdr:colOff>
          <xdr:row>1</xdr:row>
          <xdr:rowOff>85725</xdr:rowOff>
        </xdr:to>
        <xdr:sp macro="" textlink="">
          <xdr:nvSpPr>
            <xdr:cNvPr id="23560" name="Object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0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/PF602261-2263%20RD%20(USPN%20Mars%20Iams's%20product%20in%20pouch%203%20items%20(18.07.17)%20K.B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"/>
      <sheetName val="BS2"/>
      <sheetName val="PS4"/>
      <sheetName val="PS3"/>
    </sheetNames>
    <sheetDataSet>
      <sheetData sheetId="0">
        <row r="2">
          <cell r="C2" t="str">
            <v>**Water (แบ่งน้ำบางส่วนมาละลายเคมีตามรายการด้านล่างตาม process spec)</v>
          </cell>
          <cell r="D2">
            <v>0</v>
          </cell>
          <cell r="E2">
            <v>2.5000000000000001E-2</v>
          </cell>
        </row>
        <row r="3">
          <cell r="C3" t="str">
            <v>**Water (แบ่งน้ำออก 3/4 ละลายเคมีข้างล่างตาม process spec)</v>
          </cell>
          <cell r="D3">
            <v>0</v>
          </cell>
          <cell r="E3">
            <v>2.5000000000000001E-2</v>
          </cell>
        </row>
        <row r="4">
          <cell r="C4" t="str">
            <v>Hot water</v>
          </cell>
          <cell r="D4">
            <v>0</v>
          </cell>
          <cell r="E4">
            <v>2.5000000000000001E-2</v>
          </cell>
        </row>
        <row r="5">
          <cell r="C5" t="str">
            <v>Water</v>
          </cell>
          <cell r="D5">
            <v>0</v>
          </cell>
          <cell r="E5">
            <v>2.5000000000000001E-2</v>
          </cell>
        </row>
        <row r="6">
          <cell r="C6" t="str">
            <v>Guar gum</v>
          </cell>
          <cell r="D6">
            <v>4100005</v>
          </cell>
          <cell r="E6">
            <v>52.153500000000001</v>
          </cell>
        </row>
        <row r="7">
          <cell r="C7" t="str">
            <v>Guargum</v>
          </cell>
          <cell r="D7">
            <v>4100005</v>
          </cell>
          <cell r="E7">
            <v>52.153500000000001</v>
          </cell>
        </row>
        <row r="8">
          <cell r="C8" t="str">
            <v>Xanthan Gum</v>
          </cell>
          <cell r="D8">
            <v>4100013</v>
          </cell>
          <cell r="E8">
            <v>210.01050000000001</v>
          </cell>
        </row>
        <row r="9">
          <cell r="C9" t="str">
            <v>Glycine</v>
          </cell>
          <cell r="D9">
            <v>4100093</v>
          </cell>
          <cell r="E9">
            <v>61.477350427350437</v>
          </cell>
        </row>
        <row r="10">
          <cell r="C10" t="str">
            <v>Titanium dioxide</v>
          </cell>
          <cell r="D10">
            <v>4100269</v>
          </cell>
          <cell r="E10">
            <v>141.8931818181818</v>
          </cell>
        </row>
        <row r="11">
          <cell r="C11" t="str">
            <v>Salt</v>
          </cell>
          <cell r="D11">
            <v>4100277</v>
          </cell>
          <cell r="E11">
            <v>3.4654593750000005</v>
          </cell>
        </row>
        <row r="12">
          <cell r="C12" t="str">
            <v>Choline chloride 75% liquid</v>
          </cell>
          <cell r="D12">
            <v>4100332</v>
          </cell>
          <cell r="E12">
            <v>63</v>
          </cell>
        </row>
        <row r="13">
          <cell r="C13" t="str">
            <v>Choline Chloride Liquid</v>
          </cell>
          <cell r="D13">
            <v>4100332</v>
          </cell>
          <cell r="E13">
            <v>63</v>
          </cell>
        </row>
        <row r="14">
          <cell r="C14" t="str">
            <v>Sodium Nitrite</v>
          </cell>
          <cell r="D14">
            <v>4100343</v>
          </cell>
          <cell r="E14">
            <v>420</v>
          </cell>
        </row>
        <row r="15">
          <cell r="C15" t="str">
            <v>Tricalcium phosphate</v>
          </cell>
          <cell r="D15">
            <v>4100346</v>
          </cell>
          <cell r="E15">
            <v>45.15</v>
          </cell>
        </row>
        <row r="16">
          <cell r="C16" t="str">
            <v>Taurine</v>
          </cell>
          <cell r="D16">
            <v>4100348</v>
          </cell>
          <cell r="E16">
            <v>115.5</v>
          </cell>
        </row>
        <row r="17">
          <cell r="C17" t="str">
            <v>Glucose (Dextrose)</v>
          </cell>
          <cell r="D17">
            <v>4100352</v>
          </cell>
          <cell r="E17">
            <v>24.202500000000001</v>
          </cell>
        </row>
        <row r="18">
          <cell r="C18" t="str">
            <v>Calcium sulfate</v>
          </cell>
          <cell r="D18">
            <v>4100353</v>
          </cell>
          <cell r="E18">
            <v>29.413298458149782</v>
          </cell>
        </row>
        <row r="19">
          <cell r="C19" t="str">
            <v>Dried whole egg powder (HF grade)</v>
          </cell>
          <cell r="D19">
            <v>4100355</v>
          </cell>
          <cell r="E19">
            <v>247.46163337569661</v>
          </cell>
        </row>
        <row r="20">
          <cell r="C20" t="str">
            <v>Dried whole egg powder (HF)</v>
          </cell>
          <cell r="D20">
            <v>4100355</v>
          </cell>
          <cell r="E20">
            <v>247.46163337569661</v>
          </cell>
        </row>
        <row r="21">
          <cell r="C21" t="str">
            <v>Potassium Chloride</v>
          </cell>
          <cell r="D21">
            <v>4100356</v>
          </cell>
          <cell r="E21">
            <v>47.25</v>
          </cell>
        </row>
        <row r="22">
          <cell r="C22" t="str">
            <v>Red Iron Oxide</v>
          </cell>
          <cell r="D22">
            <v>4100368</v>
          </cell>
          <cell r="E22">
            <v>1150.8413249937278</v>
          </cell>
        </row>
        <row r="23">
          <cell r="C23" t="str">
            <v>Magnesium oxide</v>
          </cell>
          <cell r="D23">
            <v>4100381</v>
          </cell>
          <cell r="E23">
            <v>165.9</v>
          </cell>
        </row>
        <row r="24">
          <cell r="C24" t="str">
            <v>Chicken Broth Powder</v>
          </cell>
          <cell r="D24">
            <v>4100391</v>
          </cell>
          <cell r="E24">
            <v>527.95814992087298</v>
          </cell>
        </row>
        <row r="25">
          <cell r="C25" t="str">
            <v>Dry spinach</v>
          </cell>
          <cell r="D25">
            <v>4100403</v>
          </cell>
          <cell r="E25">
            <v>483.96734294880167</v>
          </cell>
        </row>
        <row r="26">
          <cell r="C26" t="str">
            <v>Beta carotene BC-1000RF WSP</v>
          </cell>
          <cell r="D26">
            <v>4100410</v>
          </cell>
          <cell r="E26">
            <v>5987.7204545454551</v>
          </cell>
        </row>
        <row r="27">
          <cell r="C27" t="str">
            <v>Salmon oil</v>
          </cell>
          <cell r="D27">
            <v>4100449</v>
          </cell>
          <cell r="E27">
            <v>540.30044716180214</v>
          </cell>
        </row>
        <row r="28">
          <cell r="C28" t="str">
            <v>Fish Extract</v>
          </cell>
          <cell r="D28">
            <v>4100450</v>
          </cell>
          <cell r="E28">
            <v>96.600000000000009</v>
          </cell>
        </row>
        <row r="29">
          <cell r="C29" t="str">
            <v>Pea protein</v>
          </cell>
          <cell r="D29">
            <v>4100463</v>
          </cell>
          <cell r="E29">
            <v>168</v>
          </cell>
        </row>
        <row r="30">
          <cell r="C30" t="str">
            <v>Pea protien</v>
          </cell>
          <cell r="D30">
            <v>4100463</v>
          </cell>
          <cell r="E30">
            <v>168</v>
          </cell>
        </row>
        <row r="31">
          <cell r="C31" t="str">
            <v>Sunflower oil</v>
          </cell>
          <cell r="D31">
            <v>4200001</v>
          </cell>
          <cell r="E31">
            <v>40.701546763351672</v>
          </cell>
        </row>
        <row r="32">
          <cell r="C32" t="str">
            <v>Tapfil 8</v>
          </cell>
          <cell r="D32">
            <v>4400004</v>
          </cell>
          <cell r="E32">
            <v>24.445909090909087</v>
          </cell>
        </row>
        <row r="33">
          <cell r="C33" t="str">
            <v>Tapfil8</v>
          </cell>
          <cell r="D33">
            <v>4400004</v>
          </cell>
          <cell r="E33">
            <v>24.445909090909087</v>
          </cell>
        </row>
        <row r="34">
          <cell r="C34" t="str">
            <v>Thiamine Mononitrate</v>
          </cell>
          <cell r="D34">
            <v>4700012</v>
          </cell>
          <cell r="E34">
            <v>2940</v>
          </cell>
        </row>
        <row r="35">
          <cell r="C35" t="str">
            <v>Thiamine Mononitrate (B1)</v>
          </cell>
          <cell r="D35">
            <v>4700012</v>
          </cell>
          <cell r="E35">
            <v>2940</v>
          </cell>
        </row>
        <row r="36">
          <cell r="C36" t="str">
            <v>Feline Mineral Premix  MDF</v>
          </cell>
          <cell r="D36">
            <v>4700020</v>
          </cell>
          <cell r="E36">
            <v>300.3</v>
          </cell>
        </row>
        <row r="37">
          <cell r="C37" t="str">
            <v>Feline Mineral Premix MDF</v>
          </cell>
          <cell r="D37">
            <v>4700020</v>
          </cell>
          <cell r="E37">
            <v>300.3</v>
          </cell>
        </row>
        <row r="38">
          <cell r="C38" t="str">
            <v>Feline Vitamins Premix MDF(85 B6)</v>
          </cell>
          <cell r="D38">
            <v>4700029</v>
          </cell>
          <cell r="E38">
            <v>427.35</v>
          </cell>
        </row>
        <row r="39">
          <cell r="C39" t="str">
            <v>Feline Vitamins Premix MDF(85B6)</v>
          </cell>
          <cell r="D39">
            <v>4700029</v>
          </cell>
          <cell r="E39">
            <v>427.35</v>
          </cell>
        </row>
        <row r="40">
          <cell r="C40" t="str">
            <v>SODIUM ACID PYROPHOSPHATE</v>
          </cell>
          <cell r="D40">
            <v>4100102</v>
          </cell>
          <cell r="E40">
            <v>58.810499999999998</v>
          </cell>
        </row>
        <row r="41">
          <cell r="C41" t="str">
            <v>DISODIUM  PHOSPHATE (ไดโซเดี่ยมฟอสเฟต)</v>
          </cell>
          <cell r="D41">
            <v>4100097</v>
          </cell>
          <cell r="E41">
            <v>57.75</v>
          </cell>
        </row>
        <row r="42">
          <cell r="C42" t="str">
            <v>กรดมะนาว ( CITRIC ACID )</v>
          </cell>
          <cell r="D42">
            <v>4100001</v>
          </cell>
          <cell r="E42">
            <v>37.800000000000004</v>
          </cell>
        </row>
        <row r="43">
          <cell r="C43" t="str">
            <v>Mackerel Whole Ground</v>
          </cell>
          <cell r="D43" t="str">
            <v>11L3000E1001</v>
          </cell>
          <cell r="E43">
            <v>26</v>
          </cell>
        </row>
        <row r="44">
          <cell r="C44" t="str">
            <v>Sardine whole ground</v>
          </cell>
          <cell r="D44" t="str">
            <v>11L4000E1001</v>
          </cell>
          <cell r="E44">
            <v>25</v>
          </cell>
        </row>
        <row r="45">
          <cell r="C45" t="str">
            <v>Whitefish MDM</v>
          </cell>
          <cell r="D45" t="str">
            <v>11M500000003</v>
          </cell>
          <cell r="E45">
            <v>49.49521682889344</v>
          </cell>
        </row>
        <row r="46">
          <cell r="C46" t="str">
            <v>Shrimp</v>
          </cell>
          <cell r="D46" t="str">
            <v>12M1S0000017</v>
          </cell>
          <cell r="E46">
            <v>250</v>
          </cell>
        </row>
        <row r="47">
          <cell r="C47" t="str">
            <v>Chicken MDM</v>
          </cell>
          <cell r="D47" t="str">
            <v>14L110000042</v>
          </cell>
          <cell r="E47">
            <v>17.025009041824902</v>
          </cell>
        </row>
        <row r="48">
          <cell r="C48" t="str">
            <v>Chicken MDM*</v>
          </cell>
          <cell r="D48" t="str">
            <v>14L110000042</v>
          </cell>
          <cell r="E48">
            <v>17.025009041824902</v>
          </cell>
        </row>
        <row r="49">
          <cell r="C49" t="str">
            <v>Chicken fat</v>
          </cell>
          <cell r="D49" t="str">
            <v>14L110000046</v>
          </cell>
          <cell r="E49">
            <v>25.200000000000003</v>
          </cell>
        </row>
        <row r="50">
          <cell r="C50" t="str">
            <v>Minced Carrot 0.5 cm</v>
          </cell>
          <cell r="D50" t="str">
            <v>14L300000135</v>
          </cell>
          <cell r="E50">
            <v>32.201573490473265</v>
          </cell>
        </row>
        <row r="51">
          <cell r="C51" t="str">
            <v xml:space="preserve">Tuna red meat </v>
          </cell>
          <cell r="D51" t="str">
            <v>2XA10MTN0001</v>
          </cell>
          <cell r="E51">
            <v>16.625</v>
          </cell>
        </row>
        <row r="52">
          <cell r="C52" t="str">
            <v>Flake Mackerel 1.0 - 1.5 cm</v>
          </cell>
          <cell r="D52" t="str">
            <v>2XP10PMC0001</v>
          </cell>
          <cell r="E52">
            <v>28</v>
          </cell>
        </row>
        <row r="53">
          <cell r="C53" t="str">
            <v>Seabream Flake 1.0-1.5 cm</v>
          </cell>
          <cell r="D53" t="str">
            <v>2XP10POF0003</v>
          </cell>
          <cell r="E53">
            <v>55</v>
          </cell>
        </row>
        <row r="54">
          <cell r="C54" t="str">
            <v>Minced carrot (0.3-0.5 cm)</v>
          </cell>
          <cell r="D54" t="str">
            <v>14L300000135</v>
          </cell>
          <cell r="E54">
            <v>32.201573490473265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4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33"/>
    <pageSetUpPr fitToPage="1"/>
  </sheetPr>
  <dimension ref="A1:V115"/>
  <sheetViews>
    <sheetView tabSelected="1" topLeftCell="A16" zoomScale="90" workbookViewId="0">
      <selection activeCell="B100" sqref="B100"/>
    </sheetView>
  </sheetViews>
  <sheetFormatPr defaultRowHeight="21.75"/>
  <cols>
    <col min="1" max="1" width="34" style="170" customWidth="1"/>
    <col min="2" max="2" width="15.5703125" style="170" customWidth="1"/>
    <col min="3" max="3" width="17.7109375" style="170" customWidth="1"/>
    <col min="4" max="4" width="12.5703125" style="171" customWidth="1"/>
    <col min="5" max="5" width="11.85546875" style="170" customWidth="1"/>
    <col min="6" max="6" width="14.42578125" style="170" customWidth="1"/>
    <col min="7" max="7" width="16.140625" style="170" customWidth="1"/>
    <col min="8" max="8" width="21.5703125" style="396" customWidth="1"/>
    <col min="9" max="9" width="15.42578125" style="396" customWidth="1"/>
    <col min="10" max="10" width="27.42578125" style="163" customWidth="1"/>
    <col min="11" max="11" width="34.42578125" style="347" customWidth="1"/>
    <col min="12" max="12" width="29.7109375" style="347" customWidth="1"/>
    <col min="13" max="13" width="16.5703125" style="347" customWidth="1"/>
    <col min="14" max="17" width="15.5703125" style="347" customWidth="1"/>
    <col min="18" max="19" width="15.5703125" style="348" customWidth="1"/>
    <col min="20" max="22" width="9.140625" style="168"/>
    <col min="23" max="16384" width="9.140625" style="288"/>
  </cols>
  <sheetData>
    <row r="1" spans="1:19" ht="31.5">
      <c r="A1" s="160" t="s">
        <v>0</v>
      </c>
      <c r="B1" s="160"/>
      <c r="C1" s="160"/>
      <c r="D1" s="160"/>
      <c r="E1" s="160"/>
      <c r="F1" s="160"/>
      <c r="G1" s="160"/>
      <c r="H1" s="161" t="s">
        <v>98</v>
      </c>
      <c r="I1" s="162" t="s">
        <v>1</v>
      </c>
      <c r="K1" s="164" t="s">
        <v>99</v>
      </c>
      <c r="L1" s="165"/>
      <c r="M1" s="165"/>
      <c r="N1" s="165"/>
      <c r="O1" s="165"/>
      <c r="P1" s="165"/>
      <c r="Q1" s="165"/>
      <c r="R1" s="166" t="s">
        <v>100</v>
      </c>
      <c r="S1" s="167"/>
    </row>
    <row r="2" spans="1:19" ht="28.5">
      <c r="A2" s="169" t="s">
        <v>101</v>
      </c>
      <c r="H2" s="172" t="s">
        <v>2</v>
      </c>
      <c r="I2" s="173" t="s">
        <v>3</v>
      </c>
      <c r="K2" s="174"/>
      <c r="L2" s="175"/>
      <c r="M2" s="175"/>
      <c r="N2" s="176"/>
      <c r="O2" s="177" t="s">
        <v>102</v>
      </c>
      <c r="P2" s="175"/>
      <c r="Q2" s="175"/>
      <c r="R2" s="175"/>
      <c r="S2" s="178"/>
    </row>
    <row r="3" spans="1:19" ht="26.25">
      <c r="A3" s="179" t="s">
        <v>103</v>
      </c>
      <c r="B3" s="179"/>
      <c r="C3" s="179"/>
      <c r="D3" s="179"/>
      <c r="E3" s="179"/>
      <c r="F3" s="179"/>
      <c r="G3" s="179"/>
      <c r="H3" s="179"/>
      <c r="I3" s="179"/>
      <c r="K3" s="180"/>
      <c r="L3" s="181"/>
      <c r="M3" s="175"/>
      <c r="N3" s="175"/>
      <c r="O3" s="181" t="s">
        <v>104</v>
      </c>
      <c r="P3" s="175"/>
      <c r="Q3" s="175"/>
      <c r="R3" s="182" t="s">
        <v>105</v>
      </c>
      <c r="S3" s="183" t="s">
        <v>106</v>
      </c>
    </row>
    <row r="4" spans="1:19" ht="21">
      <c r="A4" s="184" t="s">
        <v>64</v>
      </c>
      <c r="B4" s="185" t="s">
        <v>107</v>
      </c>
      <c r="C4" s="185"/>
      <c r="D4" s="185"/>
      <c r="E4" s="185"/>
      <c r="F4" s="186" t="s">
        <v>108</v>
      </c>
      <c r="G4" s="184" t="s">
        <v>5</v>
      </c>
      <c r="H4" s="187" t="s">
        <v>109</v>
      </c>
      <c r="I4" s="188"/>
      <c r="K4" s="174"/>
      <c r="L4" s="175"/>
      <c r="M4" s="175"/>
      <c r="N4" s="175"/>
      <c r="O4" s="175"/>
      <c r="P4" s="175"/>
      <c r="Q4" s="175"/>
      <c r="R4" s="182" t="s">
        <v>110</v>
      </c>
      <c r="S4" s="189" t="s">
        <v>111</v>
      </c>
    </row>
    <row r="5" spans="1:19" ht="21">
      <c r="A5" s="190" t="s">
        <v>65</v>
      </c>
      <c r="B5" s="191" t="s">
        <v>112</v>
      </c>
      <c r="C5" s="191"/>
      <c r="D5" s="191"/>
      <c r="E5" s="191"/>
      <c r="F5" s="192"/>
      <c r="G5" s="190" t="s">
        <v>6</v>
      </c>
      <c r="H5" s="191" t="s">
        <v>66</v>
      </c>
      <c r="I5" s="193"/>
      <c r="K5" s="174"/>
      <c r="L5" s="194" t="s">
        <v>113</v>
      </c>
      <c r="M5" s="175"/>
      <c r="N5" s="175"/>
      <c r="O5" s="194" t="s">
        <v>114</v>
      </c>
      <c r="P5" s="175" t="s">
        <v>115</v>
      </c>
      <c r="Q5" s="175"/>
      <c r="R5" s="175"/>
      <c r="S5" s="178"/>
    </row>
    <row r="6" spans="1:19" ht="21">
      <c r="A6" s="190" t="s">
        <v>7</v>
      </c>
      <c r="B6" s="195" t="str">
        <f>B5</f>
        <v>Tuna recipe in gravy</v>
      </c>
      <c r="C6" s="191"/>
      <c r="D6" s="196"/>
      <c r="E6" s="191"/>
      <c r="F6" s="197"/>
      <c r="G6" s="190" t="s">
        <v>8</v>
      </c>
      <c r="H6" s="191" t="s">
        <v>116</v>
      </c>
      <c r="I6" s="193"/>
      <c r="K6" s="174"/>
      <c r="L6" s="175"/>
      <c r="M6" s="175"/>
      <c r="N6" s="175"/>
      <c r="O6" s="175"/>
      <c r="P6" s="175"/>
      <c r="Q6" s="175"/>
      <c r="R6" s="175"/>
      <c r="S6" s="178"/>
    </row>
    <row r="7" spans="1:19" ht="21">
      <c r="A7" s="190" t="s">
        <v>9</v>
      </c>
      <c r="B7" s="191" t="s">
        <v>117</v>
      </c>
      <c r="C7" s="191"/>
      <c r="D7" s="198"/>
      <c r="E7" s="191"/>
      <c r="F7" s="197"/>
      <c r="G7" s="190" t="s">
        <v>10</v>
      </c>
      <c r="H7" s="191" t="s">
        <v>68</v>
      </c>
      <c r="I7" s="193"/>
      <c r="K7" s="174" t="s">
        <v>118</v>
      </c>
      <c r="L7" s="175" t="s">
        <v>119</v>
      </c>
      <c r="M7" s="175"/>
      <c r="N7" s="175"/>
      <c r="O7" s="175"/>
      <c r="P7" s="175"/>
      <c r="Q7" s="175" t="s">
        <v>120</v>
      </c>
      <c r="R7" s="175" t="s">
        <v>121</v>
      </c>
      <c r="S7" s="178"/>
    </row>
    <row r="8" spans="1:19" ht="21">
      <c r="A8" s="190" t="s">
        <v>11</v>
      </c>
      <c r="B8" s="199">
        <v>85</v>
      </c>
      <c r="C8" s="199"/>
      <c r="D8" s="198"/>
      <c r="E8" s="191"/>
      <c r="F8" s="197"/>
      <c r="G8" s="190" t="s">
        <v>69</v>
      </c>
      <c r="H8" s="200" t="s">
        <v>70</v>
      </c>
      <c r="I8" s="193"/>
      <c r="K8" s="174"/>
      <c r="L8" s="175" t="s">
        <v>122</v>
      </c>
      <c r="M8" s="175"/>
      <c r="N8" s="175"/>
      <c r="O8" s="175" t="s">
        <v>123</v>
      </c>
      <c r="P8" s="175"/>
      <c r="Q8" s="175" t="s">
        <v>124</v>
      </c>
      <c r="R8" s="175"/>
      <c r="S8" s="178"/>
    </row>
    <row r="9" spans="1:19" ht="21">
      <c r="A9" s="190" t="s">
        <v>12</v>
      </c>
      <c r="B9" s="201" t="s">
        <v>71</v>
      </c>
      <c r="C9" s="201"/>
      <c r="D9" s="191"/>
      <c r="E9" s="191"/>
      <c r="F9" s="197"/>
      <c r="G9" s="190" t="s">
        <v>125</v>
      </c>
      <c r="H9" s="191" t="s">
        <v>126</v>
      </c>
      <c r="I9" s="193"/>
      <c r="K9" s="174"/>
      <c r="L9" s="175" t="s">
        <v>127</v>
      </c>
      <c r="M9" s="175"/>
      <c r="N9" s="175"/>
      <c r="O9" s="175"/>
      <c r="P9" s="175"/>
      <c r="Q9" s="175"/>
      <c r="R9" s="175"/>
      <c r="S9" s="178"/>
    </row>
    <row r="10" spans="1:19" ht="21">
      <c r="A10" s="190" t="s">
        <v>14</v>
      </c>
      <c r="B10" s="202">
        <v>24</v>
      </c>
      <c r="C10" s="202"/>
      <c r="D10" s="191"/>
      <c r="E10" s="191"/>
      <c r="F10" s="197"/>
      <c r="G10" s="190" t="s">
        <v>15</v>
      </c>
      <c r="H10" s="192" t="str">
        <f>S3&amp;","&amp;S4</f>
        <v>P09-60125,14.07.17</v>
      </c>
      <c r="I10" s="193"/>
      <c r="K10" s="203"/>
      <c r="L10" s="204"/>
      <c r="M10" s="204"/>
      <c r="N10" s="204" t="s">
        <v>128</v>
      </c>
      <c r="O10" s="204"/>
      <c r="P10" s="204"/>
      <c r="Q10" s="204"/>
      <c r="R10" s="175"/>
      <c r="S10" s="205"/>
    </row>
    <row r="11" spans="1:19" ht="21">
      <c r="A11" s="206" t="s">
        <v>16</v>
      </c>
      <c r="B11" s="207"/>
      <c r="C11" s="207"/>
      <c r="D11" s="208" t="s">
        <v>17</v>
      </c>
      <c r="E11" s="209"/>
      <c r="F11" s="210" t="s">
        <v>18</v>
      </c>
      <c r="G11" s="211" t="s">
        <v>19</v>
      </c>
      <c r="H11" s="212">
        <v>33.25</v>
      </c>
      <c r="I11" s="213" t="s">
        <v>20</v>
      </c>
      <c r="K11" s="214" t="s">
        <v>129</v>
      </c>
      <c r="L11" s="215"/>
      <c r="M11" s="204"/>
      <c r="N11" s="204"/>
      <c r="O11" s="204"/>
      <c r="P11" s="204"/>
      <c r="Q11" s="204"/>
      <c r="R11" s="175"/>
      <c r="S11" s="205"/>
    </row>
    <row r="12" spans="1:19" ht="21">
      <c r="A12" s="216" t="s">
        <v>21</v>
      </c>
      <c r="B12" s="217" t="s">
        <v>130</v>
      </c>
      <c r="C12" s="218" t="s">
        <v>25</v>
      </c>
      <c r="D12" s="219" t="s">
        <v>22</v>
      </c>
      <c r="E12" s="218" t="s">
        <v>23</v>
      </c>
      <c r="F12" s="220" t="s">
        <v>24</v>
      </c>
      <c r="G12" s="221" t="s">
        <v>26</v>
      </c>
      <c r="H12" s="222"/>
      <c r="I12" s="223"/>
      <c r="K12" s="224"/>
      <c r="L12" s="225"/>
      <c r="M12" s="225"/>
      <c r="N12" s="225"/>
      <c r="O12" s="225"/>
      <c r="P12" s="225"/>
      <c r="Q12" s="225"/>
      <c r="R12" s="226"/>
      <c r="S12" s="227"/>
    </row>
    <row r="13" spans="1:19" ht="21">
      <c r="A13" s="228"/>
      <c r="B13" s="229"/>
      <c r="C13" s="218" t="s">
        <v>29</v>
      </c>
      <c r="D13" s="219" t="s">
        <v>27</v>
      </c>
      <c r="E13" s="218" t="s">
        <v>28</v>
      </c>
      <c r="F13" s="220"/>
      <c r="G13" s="230" t="s">
        <v>30</v>
      </c>
      <c r="H13" s="231" t="s">
        <v>31</v>
      </c>
      <c r="I13" s="232" t="s">
        <v>32</v>
      </c>
      <c r="K13" s="233" t="s">
        <v>131</v>
      </c>
      <c r="L13" s="234" t="s">
        <v>132</v>
      </c>
      <c r="M13" s="234" t="s">
        <v>133</v>
      </c>
      <c r="N13" s="235" t="s">
        <v>134</v>
      </c>
      <c r="O13" s="235" t="s">
        <v>135</v>
      </c>
      <c r="P13" s="235" t="s">
        <v>136</v>
      </c>
      <c r="Q13" s="235" t="s">
        <v>137</v>
      </c>
      <c r="R13" s="226"/>
      <c r="S13" s="227"/>
    </row>
    <row r="14" spans="1:19" ht="21">
      <c r="A14" s="236" t="s">
        <v>33</v>
      </c>
      <c r="B14" s="237"/>
      <c r="C14" s="238"/>
      <c r="D14" s="239"/>
      <c r="E14" s="238"/>
      <c r="F14" s="240"/>
      <c r="G14" s="241"/>
      <c r="H14" s="240"/>
      <c r="I14" s="242"/>
      <c r="K14" s="243" t="s">
        <v>138</v>
      </c>
      <c r="L14" s="244"/>
      <c r="M14" s="244"/>
      <c r="N14" s="245"/>
      <c r="O14" s="245"/>
      <c r="P14" s="245"/>
      <c r="Q14" s="245"/>
      <c r="R14" s="226"/>
      <c r="S14" s="227"/>
    </row>
    <row r="15" spans="1:19" ht="21">
      <c r="A15" s="246" t="str">
        <f>K15</f>
        <v>Chopped Tuna chunk 0.7-1.2 cm.</v>
      </c>
      <c r="B15" s="247"/>
      <c r="C15" s="240"/>
      <c r="D15" s="239"/>
      <c r="E15" s="248"/>
      <c r="F15" s="239"/>
      <c r="G15" s="249"/>
      <c r="H15" s="250"/>
      <c r="I15" s="251"/>
      <c r="K15" s="252" t="s">
        <v>139</v>
      </c>
      <c r="L15" s="226" t="s">
        <v>140</v>
      </c>
      <c r="M15" s="253" t="s">
        <v>141</v>
      </c>
      <c r="N15" s="254">
        <f>O15*88/O$30</f>
        <v>35.200000000000003</v>
      </c>
      <c r="O15" s="255">
        <v>40</v>
      </c>
      <c r="P15" s="255">
        <f>O15*100/O$16</f>
        <v>100</v>
      </c>
      <c r="Q15" s="255">
        <f>N15*11</f>
        <v>387.20000000000005</v>
      </c>
      <c r="R15" s="226"/>
      <c r="S15" s="227"/>
    </row>
    <row r="16" spans="1:19" ht="21">
      <c r="A16" s="256" t="str">
        <f>K38</f>
        <v xml:space="preserve">Tuna red meat </v>
      </c>
      <c r="B16" s="247" t="str">
        <f>M38</f>
        <v>2XA10MTN0001</v>
      </c>
      <c r="C16" s="240">
        <f>VLOOKUP(A16,[1]price!C$2:E$57,3,0)</f>
        <v>16.625</v>
      </c>
      <c r="D16" s="239">
        <f>N38</f>
        <v>18.466272</v>
      </c>
      <c r="E16" s="248">
        <v>90</v>
      </c>
      <c r="F16" s="239">
        <f>+D16/E16%*$B$10/1000</f>
        <v>0.49243392000000008</v>
      </c>
      <c r="G16" s="249">
        <f>F16*C16</f>
        <v>8.1867139200000008</v>
      </c>
      <c r="H16" s="250">
        <f>G16/$H$11</f>
        <v>0.24621696000000001</v>
      </c>
      <c r="I16" s="251">
        <f ca="1">G16/$G$90</f>
        <v>3.7368367216899186E-2</v>
      </c>
      <c r="K16" s="233" t="s">
        <v>142</v>
      </c>
      <c r="L16" s="234"/>
      <c r="M16" s="234"/>
      <c r="N16" s="235">
        <f>SUM(N15:N15)</f>
        <v>35.200000000000003</v>
      </c>
      <c r="O16" s="235">
        <f>SUM(O15:O15)</f>
        <v>40</v>
      </c>
      <c r="P16" s="235">
        <f>SUM(P15:P15)</f>
        <v>100</v>
      </c>
      <c r="Q16" s="235">
        <f>SUM(Q15:Q15)</f>
        <v>387.20000000000005</v>
      </c>
      <c r="R16" s="226"/>
      <c r="S16" s="227"/>
    </row>
    <row r="17" spans="1:19" ht="21">
      <c r="A17" s="256"/>
      <c r="B17" s="247"/>
      <c r="C17" s="240"/>
      <c r="D17" s="239"/>
      <c r="E17" s="248"/>
      <c r="F17" s="239"/>
      <c r="G17" s="249"/>
      <c r="H17" s="250"/>
      <c r="I17" s="251"/>
      <c r="K17" s="257"/>
      <c r="L17" s="258"/>
      <c r="M17" s="258"/>
      <c r="N17" s="245"/>
      <c r="O17" s="245"/>
      <c r="P17" s="245"/>
      <c r="Q17" s="245"/>
      <c r="R17" s="226"/>
      <c r="S17" s="227"/>
    </row>
    <row r="18" spans="1:19" ht="21">
      <c r="A18" s="256"/>
      <c r="B18" s="247"/>
      <c r="C18" s="240"/>
      <c r="D18" s="239"/>
      <c r="E18" s="248"/>
      <c r="F18" s="239"/>
      <c r="G18" s="249"/>
      <c r="H18" s="250"/>
      <c r="I18" s="251"/>
      <c r="K18" s="243" t="s">
        <v>143</v>
      </c>
      <c r="L18" s="244"/>
      <c r="M18" s="244"/>
      <c r="N18" s="245"/>
      <c r="O18" s="245"/>
      <c r="P18" s="245"/>
      <c r="Q18" s="245"/>
      <c r="R18" s="226"/>
      <c r="S18" s="227"/>
    </row>
    <row r="19" spans="1:19" ht="21">
      <c r="A19" s="256"/>
      <c r="B19" s="247"/>
      <c r="C19" s="240"/>
      <c r="D19" s="239"/>
      <c r="E19" s="248"/>
      <c r="F19" s="239"/>
      <c r="G19" s="249"/>
      <c r="H19" s="250"/>
      <c r="I19" s="251"/>
      <c r="K19" s="259" t="s">
        <v>144</v>
      </c>
      <c r="L19" s="260" t="s">
        <v>145</v>
      </c>
      <c r="M19" s="261"/>
      <c r="N19" s="254">
        <f t="shared" ref="N19:N28" si="0">O19*88/O$30</f>
        <v>28.16</v>
      </c>
      <c r="O19" s="262">
        <v>32</v>
      </c>
      <c r="P19" s="255">
        <f t="shared" ref="P19:P28" si="1">O19*100/O$29</f>
        <v>53.333333333333336</v>
      </c>
      <c r="Q19" s="255">
        <f>P19*20</f>
        <v>1066.6666666666667</v>
      </c>
      <c r="R19" s="226"/>
      <c r="S19" s="227"/>
    </row>
    <row r="20" spans="1:19" ht="21">
      <c r="A20" s="256"/>
      <c r="B20" s="247"/>
      <c r="C20" s="240"/>
      <c r="D20" s="239"/>
      <c r="E20" s="248"/>
      <c r="F20" s="239"/>
      <c r="G20" s="249"/>
      <c r="H20" s="250"/>
      <c r="I20" s="251"/>
      <c r="K20" s="259" t="s">
        <v>146</v>
      </c>
      <c r="L20" s="260"/>
      <c r="M20" s="261"/>
      <c r="N20" s="254">
        <f t="shared" si="0"/>
        <v>22.972400000000004</v>
      </c>
      <c r="O20" s="262">
        <v>26.105</v>
      </c>
      <c r="P20" s="255">
        <f t="shared" si="1"/>
        <v>43.508333333333333</v>
      </c>
      <c r="Q20" s="255">
        <f t="shared" ref="Q20:Q28" si="2">P20*20</f>
        <v>870.16666666666663</v>
      </c>
      <c r="R20" s="226"/>
      <c r="S20" s="227"/>
    </row>
    <row r="21" spans="1:19" ht="21">
      <c r="A21" s="256"/>
      <c r="B21" s="247"/>
      <c r="C21" s="240"/>
      <c r="D21" s="239"/>
      <c r="E21" s="248"/>
      <c r="F21" s="239"/>
      <c r="G21" s="249"/>
      <c r="H21" s="250"/>
      <c r="I21" s="251"/>
      <c r="K21" s="252" t="s">
        <v>147</v>
      </c>
      <c r="L21" s="226" t="s">
        <v>148</v>
      </c>
      <c r="M21" s="263">
        <v>4100332</v>
      </c>
      <c r="N21" s="254">
        <f t="shared" si="0"/>
        <v>6.336E-2</v>
      </c>
      <c r="O21" s="255">
        <v>7.1999999999999995E-2</v>
      </c>
      <c r="P21" s="255">
        <f t="shared" si="1"/>
        <v>0.11999999999999998</v>
      </c>
      <c r="Q21" s="255">
        <f t="shared" si="2"/>
        <v>2.3999999999999995</v>
      </c>
      <c r="R21" s="226"/>
      <c r="S21" s="227"/>
    </row>
    <row r="22" spans="1:19" s="168" customFormat="1" ht="25.5" customHeight="1">
      <c r="A22" s="256"/>
      <c r="B22" s="247"/>
      <c r="C22" s="240"/>
      <c r="D22" s="239"/>
      <c r="E22" s="248"/>
      <c r="F22" s="239"/>
      <c r="G22" s="249"/>
      <c r="H22" s="250"/>
      <c r="I22" s="251"/>
      <c r="J22" s="163"/>
      <c r="K22" s="259" t="s">
        <v>149</v>
      </c>
      <c r="L22" s="264" t="s">
        <v>150</v>
      </c>
      <c r="M22" s="265">
        <v>4100450</v>
      </c>
      <c r="N22" s="254">
        <f t="shared" si="0"/>
        <v>0.88</v>
      </c>
      <c r="O22" s="255">
        <v>1</v>
      </c>
      <c r="P22" s="255">
        <f t="shared" si="1"/>
        <v>1.6666666666666667</v>
      </c>
      <c r="Q22" s="255">
        <f t="shared" si="2"/>
        <v>33.333333333333336</v>
      </c>
      <c r="R22" s="226"/>
      <c r="S22" s="227"/>
    </row>
    <row r="23" spans="1:19" s="168" customFormat="1" ht="21">
      <c r="A23" s="266"/>
      <c r="B23" s="267"/>
      <c r="C23" s="240"/>
      <c r="D23" s="239"/>
      <c r="E23" s="248"/>
      <c r="F23" s="239"/>
      <c r="G23" s="249"/>
      <c r="H23" s="250"/>
      <c r="I23" s="251"/>
      <c r="J23" s="163"/>
      <c r="K23" s="268" t="s">
        <v>151</v>
      </c>
      <c r="L23" s="226" t="s">
        <v>152</v>
      </c>
      <c r="M23" s="263">
        <v>4100005</v>
      </c>
      <c r="N23" s="254">
        <f t="shared" si="0"/>
        <v>0.13200000000000001</v>
      </c>
      <c r="O23" s="262">
        <v>0.15</v>
      </c>
      <c r="P23" s="255">
        <f t="shared" si="1"/>
        <v>0.25</v>
      </c>
      <c r="Q23" s="255">
        <f t="shared" si="2"/>
        <v>5</v>
      </c>
      <c r="R23" s="226"/>
      <c r="S23" s="227"/>
    </row>
    <row r="24" spans="1:19" s="168" customFormat="1" thickBot="1">
      <c r="A24" s="266"/>
      <c r="B24" s="267"/>
      <c r="C24" s="240"/>
      <c r="D24" s="239"/>
      <c r="E24" s="248"/>
      <c r="F24" s="239"/>
      <c r="G24" s="249"/>
      <c r="H24" s="250"/>
      <c r="I24" s="251"/>
      <c r="J24" s="163"/>
      <c r="K24" s="268" t="s">
        <v>153</v>
      </c>
      <c r="L24" s="226" t="s">
        <v>154</v>
      </c>
      <c r="M24" s="263">
        <v>4100093</v>
      </c>
      <c r="N24" s="254">
        <f t="shared" si="0"/>
        <v>0.26400000000000001</v>
      </c>
      <c r="O24" s="262">
        <v>0.3</v>
      </c>
      <c r="P24" s="255">
        <f t="shared" si="1"/>
        <v>0.5</v>
      </c>
      <c r="Q24" s="255">
        <f t="shared" si="2"/>
        <v>10</v>
      </c>
      <c r="R24" s="226"/>
      <c r="S24" s="227"/>
    </row>
    <row r="25" spans="1:19" ht="22.5" thickTop="1" thickBot="1">
      <c r="A25" s="269" t="s">
        <v>34</v>
      </c>
      <c r="B25" s="270"/>
      <c r="C25" s="270"/>
      <c r="D25" s="270"/>
      <c r="E25" s="270"/>
      <c r="F25" s="270"/>
      <c r="G25" s="271">
        <f>SUM(G15:G24)</f>
        <v>8.1867139200000008</v>
      </c>
      <c r="H25" s="272">
        <f>SUM(H15:H24)</f>
        <v>0.24621696000000001</v>
      </c>
      <c r="I25" s="273">
        <f ca="1">G25/$G$90</f>
        <v>3.7368367216899186E-2</v>
      </c>
      <c r="K25" s="268" t="s">
        <v>155</v>
      </c>
      <c r="L25" s="226" t="s">
        <v>156</v>
      </c>
      <c r="M25" s="263">
        <v>4100352</v>
      </c>
      <c r="N25" s="254">
        <f t="shared" si="0"/>
        <v>0.13200000000000001</v>
      </c>
      <c r="O25" s="262">
        <v>0.15</v>
      </c>
      <c r="P25" s="255">
        <f t="shared" si="1"/>
        <v>0.25</v>
      </c>
      <c r="Q25" s="255">
        <f t="shared" si="2"/>
        <v>5</v>
      </c>
      <c r="R25" s="226"/>
      <c r="S25" s="227" t="s">
        <v>128</v>
      </c>
    </row>
    <row r="26" spans="1:19" thickTop="1">
      <c r="A26" s="211" t="s">
        <v>35</v>
      </c>
      <c r="B26" s="274"/>
      <c r="C26" s="274"/>
      <c r="D26" s="275"/>
      <c r="E26" s="276"/>
      <c r="F26" s="277"/>
      <c r="G26" s="278"/>
      <c r="H26" s="279"/>
      <c r="I26" s="280"/>
      <c r="K26" s="268" t="s">
        <v>157</v>
      </c>
      <c r="L26" s="226" t="s">
        <v>158</v>
      </c>
      <c r="M26" s="263">
        <v>4100348</v>
      </c>
      <c r="N26" s="254">
        <f t="shared" si="0"/>
        <v>4.4000000000000004E-2</v>
      </c>
      <c r="O26" s="262">
        <v>0.05</v>
      </c>
      <c r="P26" s="255">
        <f t="shared" si="1"/>
        <v>8.3333333333333329E-2</v>
      </c>
      <c r="Q26" s="255">
        <f t="shared" si="2"/>
        <v>1.6666666666666665</v>
      </c>
      <c r="R26" s="226"/>
      <c r="S26" s="227"/>
    </row>
    <row r="27" spans="1:19" ht="21">
      <c r="A27" s="281" t="str">
        <f>K18</f>
        <v xml:space="preserve">2. Solution Portion </v>
      </c>
      <c r="B27" s="247"/>
      <c r="C27" s="240"/>
      <c r="D27" s="239"/>
      <c r="E27" s="248"/>
      <c r="F27" s="239"/>
      <c r="G27" s="249"/>
      <c r="H27" s="250"/>
      <c r="I27" s="251"/>
      <c r="K27" s="268" t="s">
        <v>159</v>
      </c>
      <c r="L27" s="226" t="s">
        <v>160</v>
      </c>
      <c r="M27" s="263">
        <v>4700012</v>
      </c>
      <c r="N27" s="254">
        <f t="shared" si="0"/>
        <v>2.0240000000000001E-2</v>
      </c>
      <c r="O27" s="262">
        <v>2.3E-2</v>
      </c>
      <c r="P27" s="255">
        <f t="shared" si="1"/>
        <v>3.833333333333333E-2</v>
      </c>
      <c r="Q27" s="255">
        <f t="shared" si="2"/>
        <v>0.76666666666666661</v>
      </c>
      <c r="R27" s="226"/>
      <c r="S27" s="227"/>
    </row>
    <row r="28" spans="1:19" ht="21">
      <c r="A28" s="246" t="str">
        <f>K19</f>
        <v>Water</v>
      </c>
      <c r="B28" s="247">
        <f>M19</f>
        <v>0</v>
      </c>
      <c r="C28" s="240">
        <f>VLOOKUP(A28,[1]price!C$2:E$57,3,0)</f>
        <v>2.5000000000000001E-2</v>
      </c>
      <c r="D28" s="239">
        <f>N19</f>
        <v>28.16</v>
      </c>
      <c r="E28" s="248">
        <v>98</v>
      </c>
      <c r="F28" s="239">
        <f t="shared" ref="F28:F36" si="3">+D28/E28%*$B$10/1000</f>
        <v>0.68963265306122445</v>
      </c>
      <c r="G28" s="249">
        <f t="shared" ref="G28:G36" si="4">F28*C28</f>
        <v>1.7240816326530611E-2</v>
      </c>
      <c r="H28" s="250">
        <f t="shared" ref="H28:H36" si="5">G28/$H$11</f>
        <v>5.1852079177535672E-4</v>
      </c>
      <c r="I28" s="251">
        <f t="shared" ref="I28:I36" ca="1" si="6">G28/$G$90</f>
        <v>7.869594099715489E-5</v>
      </c>
      <c r="K28" s="268" t="s">
        <v>161</v>
      </c>
      <c r="L28" s="226" t="s">
        <v>162</v>
      </c>
      <c r="M28" s="263">
        <v>4100356</v>
      </c>
      <c r="N28" s="254">
        <f t="shared" si="0"/>
        <v>0.13200000000000001</v>
      </c>
      <c r="O28" s="262">
        <v>0.15</v>
      </c>
      <c r="P28" s="255">
        <f t="shared" si="1"/>
        <v>0.25</v>
      </c>
      <c r="Q28" s="255">
        <f t="shared" si="2"/>
        <v>5</v>
      </c>
      <c r="R28" s="226"/>
      <c r="S28" s="227"/>
    </row>
    <row r="29" spans="1:19" ht="21">
      <c r="A29" s="246" t="str">
        <f t="shared" ref="A29:A36" si="7">K21</f>
        <v>Choline chloride 75% liquid</v>
      </c>
      <c r="B29" s="247">
        <f t="shared" ref="B29:B36" si="8">M21</f>
        <v>4100332</v>
      </c>
      <c r="C29" s="240">
        <f>VLOOKUP(A29,[1]price!C$2:E$57,3,0)</f>
        <v>63</v>
      </c>
      <c r="D29" s="239">
        <f t="shared" ref="D29:D36" si="9">N21</f>
        <v>6.336E-2</v>
      </c>
      <c r="E29" s="248">
        <v>98</v>
      </c>
      <c r="F29" s="239">
        <f t="shared" si="3"/>
        <v>1.5516734693877552E-3</v>
      </c>
      <c r="G29" s="249">
        <f t="shared" si="4"/>
        <v>9.7755428571428576E-2</v>
      </c>
      <c r="H29" s="250">
        <f t="shared" si="5"/>
        <v>2.940012889366273E-3</v>
      </c>
      <c r="I29" s="251">
        <f t="shared" ca="1" si="6"/>
        <v>4.4620598545386833E-4</v>
      </c>
      <c r="K29" s="233" t="s">
        <v>142</v>
      </c>
      <c r="L29" s="234"/>
      <c r="M29" s="282"/>
      <c r="N29" s="235">
        <f>SUM(N19:N28)</f>
        <v>52.800000000000004</v>
      </c>
      <c r="O29" s="235">
        <f>SUM(O19:O28)</f>
        <v>60</v>
      </c>
      <c r="P29" s="235">
        <f>SUM(P19:P28)</f>
        <v>100</v>
      </c>
      <c r="Q29" s="235">
        <f>SUM(Q19:Q28)</f>
        <v>2000.0000000000002</v>
      </c>
      <c r="R29" s="226"/>
      <c r="S29" s="227"/>
    </row>
    <row r="30" spans="1:19" ht="21">
      <c r="A30" s="246" t="str">
        <f t="shared" si="7"/>
        <v>Fish Extract</v>
      </c>
      <c r="B30" s="247">
        <f t="shared" si="8"/>
        <v>4100450</v>
      </c>
      <c r="C30" s="240">
        <f>VLOOKUP(A30,[1]price!C$2:E$57,3,0)</f>
        <v>96.600000000000009</v>
      </c>
      <c r="D30" s="239">
        <f t="shared" si="9"/>
        <v>0.88</v>
      </c>
      <c r="E30" s="248">
        <v>98</v>
      </c>
      <c r="F30" s="239">
        <f t="shared" si="3"/>
        <v>2.1551020408163264E-2</v>
      </c>
      <c r="G30" s="249">
        <f t="shared" si="4"/>
        <v>2.0818285714285714</v>
      </c>
      <c r="H30" s="250">
        <f t="shared" si="5"/>
        <v>6.261138560687432E-2</v>
      </c>
      <c r="I30" s="251">
        <f t="shared" ca="1" si="6"/>
        <v>9.5025348754064539E-3</v>
      </c>
      <c r="K30" s="233" t="s">
        <v>142</v>
      </c>
      <c r="L30" s="234"/>
      <c r="M30" s="282"/>
      <c r="N30" s="235">
        <f>N16+N29</f>
        <v>88</v>
      </c>
      <c r="O30" s="235">
        <f>O16+O29</f>
        <v>100</v>
      </c>
      <c r="P30" s="235">
        <f>P16+P29</f>
        <v>200</v>
      </c>
      <c r="Q30" s="235"/>
      <c r="R30" s="226"/>
      <c r="S30" s="227"/>
    </row>
    <row r="31" spans="1:19" ht="21">
      <c r="A31" s="246" t="str">
        <f t="shared" si="7"/>
        <v>Guar gum</v>
      </c>
      <c r="B31" s="247">
        <f t="shared" si="8"/>
        <v>4100005</v>
      </c>
      <c r="C31" s="240">
        <f>VLOOKUP(A31,[1]price!C$2:E$57,3,0)</f>
        <v>52.153500000000001</v>
      </c>
      <c r="D31" s="239">
        <f t="shared" si="9"/>
        <v>0.13200000000000001</v>
      </c>
      <c r="E31" s="248">
        <v>98</v>
      </c>
      <c r="F31" s="239">
        <f t="shared" si="3"/>
        <v>3.2326530612244897E-3</v>
      </c>
      <c r="G31" s="249">
        <f t="shared" si="4"/>
        <v>0.16859417142857142</v>
      </c>
      <c r="H31" s="250">
        <f t="shared" si="5"/>
        <v>5.0705013963480124E-3</v>
      </c>
      <c r="I31" s="251">
        <f t="shared" ca="1" si="6"/>
        <v>7.6955039227408456E-4</v>
      </c>
      <c r="K31" s="283" t="s">
        <v>146</v>
      </c>
      <c r="L31" s="284"/>
      <c r="M31" s="285"/>
      <c r="N31" s="245"/>
      <c r="O31" s="245"/>
      <c r="P31" s="245"/>
      <c r="Q31" s="245"/>
      <c r="R31" s="226"/>
      <c r="S31" s="227"/>
    </row>
    <row r="32" spans="1:19" ht="21">
      <c r="A32" s="246" t="str">
        <f t="shared" si="7"/>
        <v>Glycine</v>
      </c>
      <c r="B32" s="247">
        <f t="shared" si="8"/>
        <v>4100093</v>
      </c>
      <c r="C32" s="240">
        <f>VLOOKUP(A32,[1]price!C$2:E$57,3,0)</f>
        <v>61.477350427350437</v>
      </c>
      <c r="D32" s="239">
        <f t="shared" si="9"/>
        <v>0.26400000000000001</v>
      </c>
      <c r="E32" s="248">
        <v>98</v>
      </c>
      <c r="F32" s="239">
        <f t="shared" si="3"/>
        <v>6.4653061224489794E-3</v>
      </c>
      <c r="G32" s="249">
        <f t="shared" si="4"/>
        <v>0.39746989010989014</v>
      </c>
      <c r="H32" s="250">
        <f t="shared" si="5"/>
        <v>1.1953981657440304E-2</v>
      </c>
      <c r="I32" s="251">
        <f t="shared" ca="1" si="6"/>
        <v>1.8142567282095695E-3</v>
      </c>
      <c r="K32" s="286" t="s">
        <v>144</v>
      </c>
      <c r="L32" s="286" t="s">
        <v>145</v>
      </c>
      <c r="M32" s="244"/>
      <c r="N32" s="254">
        <f t="shared" ref="N32:N33" si="10">O32*88/O$30</f>
        <v>21.212400000000002</v>
      </c>
      <c r="O32" s="255">
        <v>24.105</v>
      </c>
      <c r="P32" s="255">
        <f>O32*100/O$34</f>
        <v>92.338632445891591</v>
      </c>
      <c r="Q32" s="245"/>
      <c r="R32" s="226"/>
      <c r="S32" s="227"/>
    </row>
    <row r="33" spans="1:22" ht="21">
      <c r="A33" s="246" t="str">
        <f t="shared" si="7"/>
        <v>Glucose (Dextrose)</v>
      </c>
      <c r="B33" s="247">
        <f t="shared" si="8"/>
        <v>4100352</v>
      </c>
      <c r="C33" s="240">
        <f>VLOOKUP(A33,[1]price!C$2:E$57,3,0)</f>
        <v>24.202500000000001</v>
      </c>
      <c r="D33" s="239">
        <f t="shared" si="9"/>
        <v>0.13200000000000001</v>
      </c>
      <c r="E33" s="248">
        <v>98</v>
      </c>
      <c r="F33" s="239">
        <f t="shared" si="3"/>
        <v>3.2326530612244897E-3</v>
      </c>
      <c r="G33" s="249">
        <f t="shared" si="4"/>
        <v>7.8238285714285719E-2</v>
      </c>
      <c r="H33" s="250">
        <f t="shared" si="5"/>
        <v>2.3530311493018263E-3</v>
      </c>
      <c r="I33" s="251">
        <f t="shared" ca="1" si="6"/>
        <v>3.5711972099693282E-4</v>
      </c>
      <c r="K33" s="268" t="s">
        <v>163</v>
      </c>
      <c r="L33" s="287" t="s">
        <v>164</v>
      </c>
      <c r="M33" s="263">
        <v>4400004</v>
      </c>
      <c r="N33" s="254">
        <f t="shared" si="10"/>
        <v>1.76</v>
      </c>
      <c r="O33" s="255">
        <v>2</v>
      </c>
      <c r="P33" s="255">
        <f>O33*100/O$34</f>
        <v>7.6613675541084083</v>
      </c>
      <c r="Q33" s="245"/>
      <c r="R33" s="226"/>
      <c r="S33" s="227"/>
    </row>
    <row r="34" spans="1:22" ht="21">
      <c r="A34" s="246" t="str">
        <f t="shared" si="7"/>
        <v>Taurine</v>
      </c>
      <c r="B34" s="247">
        <f t="shared" si="8"/>
        <v>4100348</v>
      </c>
      <c r="C34" s="240">
        <f>VLOOKUP(A34,[1]price!C$2:E$57,3,0)</f>
        <v>115.5</v>
      </c>
      <c r="D34" s="239">
        <f t="shared" si="9"/>
        <v>4.4000000000000004E-2</v>
      </c>
      <c r="E34" s="248">
        <v>98</v>
      </c>
      <c r="F34" s="239">
        <f t="shared" si="3"/>
        <v>1.0775510204081634E-3</v>
      </c>
      <c r="G34" s="249">
        <f t="shared" si="4"/>
        <v>0.12445714285714288</v>
      </c>
      <c r="H34" s="250">
        <f t="shared" si="5"/>
        <v>3.7430719656283574E-3</v>
      </c>
      <c r="I34" s="251">
        <f t="shared" ca="1" si="6"/>
        <v>5.6808632407321204E-4</v>
      </c>
      <c r="K34" s="233" t="s">
        <v>142</v>
      </c>
      <c r="L34" s="289"/>
      <c r="M34" s="290"/>
      <c r="N34" s="235">
        <f>SUM(N32:N33)</f>
        <v>22.972400000000004</v>
      </c>
      <c r="O34" s="235">
        <f>SUM(O32:O33)</f>
        <v>26.105</v>
      </c>
      <c r="P34" s="235">
        <f>SUM(P32:P33)</f>
        <v>100</v>
      </c>
      <c r="Q34" s="235"/>
      <c r="R34" s="226"/>
      <c r="S34" s="227"/>
    </row>
    <row r="35" spans="1:22" ht="21">
      <c r="A35" s="246" t="str">
        <f t="shared" si="7"/>
        <v>Thiamine Mononitrate (B1)</v>
      </c>
      <c r="B35" s="247">
        <f t="shared" si="8"/>
        <v>4700012</v>
      </c>
      <c r="C35" s="240">
        <f>VLOOKUP(A35,[1]price!C$2:E$57,3,0)</f>
        <v>2940</v>
      </c>
      <c r="D35" s="239">
        <f t="shared" si="9"/>
        <v>2.0240000000000001E-2</v>
      </c>
      <c r="E35" s="248">
        <v>98</v>
      </c>
      <c r="F35" s="239">
        <f t="shared" si="3"/>
        <v>4.9567346938775509E-4</v>
      </c>
      <c r="G35" s="249">
        <f t="shared" si="4"/>
        <v>1.4572799999999999</v>
      </c>
      <c r="H35" s="250">
        <f t="shared" si="5"/>
        <v>4.3827969924812027E-2</v>
      </c>
      <c r="I35" s="251">
        <f t="shared" ca="1" si="6"/>
        <v>6.6517744127845176E-3</v>
      </c>
      <c r="K35" s="291"/>
      <c r="L35" s="292"/>
      <c r="M35" s="293"/>
      <c r="N35" s="225"/>
      <c r="O35" s="225"/>
      <c r="P35" s="225"/>
      <c r="Q35" s="225"/>
      <c r="R35" s="226"/>
      <c r="S35" s="227"/>
    </row>
    <row r="36" spans="1:22" ht="21">
      <c r="A36" s="246" t="str">
        <f t="shared" si="7"/>
        <v>Potassium Chloride</v>
      </c>
      <c r="B36" s="247">
        <f t="shared" si="8"/>
        <v>4100356</v>
      </c>
      <c r="C36" s="240">
        <f>VLOOKUP(A36,[1]price!C$2:E$57,3,0)</f>
        <v>47.25</v>
      </c>
      <c r="D36" s="239">
        <f t="shared" si="9"/>
        <v>0.13200000000000001</v>
      </c>
      <c r="E36" s="248">
        <v>98</v>
      </c>
      <c r="F36" s="239">
        <f t="shared" si="3"/>
        <v>3.2326530612244897E-3</v>
      </c>
      <c r="G36" s="249">
        <f t="shared" si="4"/>
        <v>0.15274285714285715</v>
      </c>
      <c r="H36" s="250">
        <f t="shared" si="5"/>
        <v>4.5937701396348016E-3</v>
      </c>
      <c r="I36" s="251">
        <f t="shared" ca="1" si="6"/>
        <v>6.9719685227166922E-4</v>
      </c>
      <c r="K36" s="233" t="s">
        <v>131</v>
      </c>
      <c r="L36" s="234" t="s">
        <v>132</v>
      </c>
      <c r="M36" s="234" t="s">
        <v>133</v>
      </c>
      <c r="N36" s="235" t="s">
        <v>165</v>
      </c>
      <c r="O36" s="235" t="s">
        <v>166</v>
      </c>
      <c r="P36" s="235" t="s">
        <v>136</v>
      </c>
      <c r="Q36" s="235" t="s">
        <v>137</v>
      </c>
      <c r="R36" s="226"/>
      <c r="S36" s="227"/>
    </row>
    <row r="37" spans="1:22" ht="21">
      <c r="A37" s="281" t="str">
        <f>K31</f>
        <v>Starch solution (Hot water 70C)</v>
      </c>
      <c r="B37" s="247"/>
      <c r="C37" s="240"/>
      <c r="D37" s="239"/>
      <c r="E37" s="248"/>
      <c r="F37" s="239"/>
      <c r="G37" s="249"/>
      <c r="H37" s="250"/>
      <c r="I37" s="251"/>
      <c r="K37" s="224" t="s">
        <v>167</v>
      </c>
      <c r="L37" s="294"/>
      <c r="M37" s="294"/>
      <c r="N37" s="225"/>
      <c r="O37" s="225"/>
      <c r="P37" s="225"/>
      <c r="Q37" s="225"/>
      <c r="R37" s="226"/>
      <c r="S37" s="227"/>
    </row>
    <row r="38" spans="1:22" ht="18.75" customHeight="1">
      <c r="A38" s="246" t="str">
        <f>K32</f>
        <v>Water</v>
      </c>
      <c r="B38" s="247">
        <f>M32</f>
        <v>0</v>
      </c>
      <c r="C38" s="240">
        <f>VLOOKUP(A38,[1]price!C$2:E$57,3,0)</f>
        <v>2.5000000000000001E-2</v>
      </c>
      <c r="D38" s="239">
        <f>N32</f>
        <v>21.212400000000002</v>
      </c>
      <c r="E38" s="248">
        <v>98</v>
      </c>
      <c r="F38" s="239">
        <f>+D38/E38%*$B$10/1000</f>
        <v>0.51948734693877552</v>
      </c>
      <c r="G38" s="249">
        <f>F38*C38</f>
        <v>1.2987183673469389E-2</v>
      </c>
      <c r="H38" s="250">
        <f>G38/$H$11</f>
        <v>3.9059199017953052E-4</v>
      </c>
      <c r="I38" s="251">
        <f ca="1">G38/$G$90</f>
        <v>5.9280176804263092E-5</v>
      </c>
      <c r="K38" s="252" t="s">
        <v>168</v>
      </c>
      <c r="L38" s="295" t="s">
        <v>169</v>
      </c>
      <c r="M38" s="296" t="s">
        <v>170</v>
      </c>
      <c r="N38" s="262">
        <f t="shared" ref="N38:N50" si="11">P38*N$15/P$51</f>
        <v>18.466272</v>
      </c>
      <c r="O38" s="262">
        <f t="shared" ref="O38:O50" si="12">P38*O$15/P$51</f>
        <v>20.984400000000001</v>
      </c>
      <c r="P38" s="262">
        <v>52.460999999999999</v>
      </c>
      <c r="Q38" s="262">
        <f>P38*1</f>
        <v>52.460999999999999</v>
      </c>
      <c r="R38" s="226"/>
      <c r="S38" s="227"/>
    </row>
    <row r="39" spans="1:22" ht="21">
      <c r="A39" s="246" t="str">
        <f>K33</f>
        <v>Tapfil 8</v>
      </c>
      <c r="B39" s="247">
        <f>M33</f>
        <v>4400004</v>
      </c>
      <c r="C39" s="240">
        <f>VLOOKUP(A39,[1]price!C$2:E$57,3,0)</f>
        <v>24.445909090909087</v>
      </c>
      <c r="D39" s="239">
        <f>N33</f>
        <v>1.76</v>
      </c>
      <c r="E39" s="248">
        <v>98</v>
      </c>
      <c r="F39" s="239">
        <f>+D39/E39%*$B$10/1000</f>
        <v>4.3102040816326528E-2</v>
      </c>
      <c r="G39" s="249">
        <f>F39*C39</f>
        <v>1.0536685714285712</v>
      </c>
      <c r="H39" s="250">
        <f>G39/$H$11</f>
        <v>3.1689280343716424E-2</v>
      </c>
      <c r="I39" s="251">
        <f ca="1">G39/$G$90</f>
        <v>4.809484548599985E-3</v>
      </c>
      <c r="K39" s="252" t="s">
        <v>171</v>
      </c>
      <c r="L39" s="287" t="s">
        <v>172</v>
      </c>
      <c r="M39" s="265">
        <v>4100277</v>
      </c>
      <c r="N39" s="262">
        <f t="shared" si="11"/>
        <v>0.15065600000000001</v>
      </c>
      <c r="O39" s="262">
        <f t="shared" si="12"/>
        <v>0.17120000000000002</v>
      </c>
      <c r="P39" s="262">
        <v>0.42799999999999999</v>
      </c>
      <c r="Q39" s="262">
        <f>P39*1</f>
        <v>0.42799999999999999</v>
      </c>
      <c r="R39" s="226"/>
      <c r="S39" s="227"/>
    </row>
    <row r="40" spans="1:22" ht="21">
      <c r="A40" s="281" t="str">
        <f>K37</f>
        <v>3. Tuna Chunk (Normal chunk) (T015)</v>
      </c>
      <c r="B40" s="247"/>
      <c r="C40" s="240"/>
      <c r="D40" s="239"/>
      <c r="E40" s="248"/>
      <c r="F40" s="239"/>
      <c r="G40" s="249"/>
      <c r="H40" s="250"/>
      <c r="I40" s="251"/>
      <c r="K40" s="252" t="s">
        <v>173</v>
      </c>
      <c r="L40" s="287" t="s">
        <v>174</v>
      </c>
      <c r="M40" s="265">
        <v>4100463</v>
      </c>
      <c r="N40" s="262">
        <f t="shared" si="11"/>
        <v>1.056</v>
      </c>
      <c r="O40" s="262">
        <f t="shared" si="12"/>
        <v>1.2</v>
      </c>
      <c r="P40" s="262">
        <v>3</v>
      </c>
      <c r="Q40" s="262">
        <f t="shared" ref="Q40:Q50" si="13">P40*1</f>
        <v>3</v>
      </c>
      <c r="R40" s="226"/>
      <c r="S40" s="227"/>
    </row>
    <row r="41" spans="1:22" s="170" customFormat="1" ht="21">
      <c r="A41" s="246" t="str">
        <f t="shared" ref="A41:A52" si="14">K39</f>
        <v>Salt</v>
      </c>
      <c r="B41" s="247">
        <f t="shared" ref="B41:B52" si="15">M39</f>
        <v>4100277</v>
      </c>
      <c r="C41" s="240">
        <f>VLOOKUP(A41,[1]price!C$2:E$57,3,0)</f>
        <v>3.4654593750000005</v>
      </c>
      <c r="D41" s="239">
        <f t="shared" ref="D41:D52" si="16">N39</f>
        <v>0.15065600000000001</v>
      </c>
      <c r="E41" s="248">
        <v>90</v>
      </c>
      <c r="F41" s="239">
        <f t="shared" ref="F41:F44" si="17">+D41/E41%*$B$10/1000</f>
        <v>4.0174933333333345E-3</v>
      </c>
      <c r="G41" s="249">
        <f t="shared" ref="G41:G44" si="18">F41*C41</f>
        <v>1.3922459936000007E-2</v>
      </c>
      <c r="H41" s="250">
        <f t="shared" ref="H41:H44" si="19">G41/$H$11</f>
        <v>4.1872059957894756E-4</v>
      </c>
      <c r="I41" s="251">
        <f t="shared" ref="I41:I52" ca="1" si="20">G41/$G$90</f>
        <v>6.3549258046018904E-5</v>
      </c>
      <c r="J41" s="163"/>
      <c r="K41" s="252" t="s">
        <v>163</v>
      </c>
      <c r="L41" s="287" t="s">
        <v>164</v>
      </c>
      <c r="M41" s="265">
        <v>4400004</v>
      </c>
      <c r="N41" s="262">
        <f t="shared" si="11"/>
        <v>1.056</v>
      </c>
      <c r="O41" s="262">
        <f t="shared" si="12"/>
        <v>1.2</v>
      </c>
      <c r="P41" s="262">
        <v>3</v>
      </c>
      <c r="Q41" s="262">
        <f t="shared" si="13"/>
        <v>3</v>
      </c>
      <c r="R41" s="226"/>
      <c r="S41" s="227"/>
      <c r="T41" s="168"/>
      <c r="U41" s="168"/>
      <c r="V41" s="168"/>
    </row>
    <row r="42" spans="1:22" s="170" customFormat="1" ht="21">
      <c r="A42" s="246" t="str">
        <f t="shared" si="14"/>
        <v>Pea protein</v>
      </c>
      <c r="B42" s="247">
        <f t="shared" si="15"/>
        <v>4100463</v>
      </c>
      <c r="C42" s="240">
        <f>VLOOKUP(A42,[1]price!C$2:E$57,3,0)</f>
        <v>168</v>
      </c>
      <c r="D42" s="239">
        <f t="shared" si="16"/>
        <v>1.056</v>
      </c>
      <c r="E42" s="248">
        <v>90</v>
      </c>
      <c r="F42" s="239">
        <f t="shared" si="17"/>
        <v>2.8160000000000001E-2</v>
      </c>
      <c r="G42" s="249">
        <f t="shared" si="18"/>
        <v>4.73088</v>
      </c>
      <c r="H42" s="250">
        <f t="shared" si="19"/>
        <v>0.1422821052631579</v>
      </c>
      <c r="I42" s="251">
        <f t="shared" ca="1" si="20"/>
        <v>2.1594166209619306E-2</v>
      </c>
      <c r="J42" s="163"/>
      <c r="K42" s="252" t="s">
        <v>175</v>
      </c>
      <c r="L42" s="226" t="s">
        <v>176</v>
      </c>
      <c r="M42" s="263">
        <v>4100355</v>
      </c>
      <c r="N42" s="262">
        <f t="shared" si="11"/>
        <v>6.3360000000000003</v>
      </c>
      <c r="O42" s="262">
        <f t="shared" si="12"/>
        <v>7.2</v>
      </c>
      <c r="P42" s="262">
        <v>18</v>
      </c>
      <c r="Q42" s="262">
        <f t="shared" si="13"/>
        <v>18</v>
      </c>
      <c r="R42" s="226"/>
      <c r="S42" s="227"/>
      <c r="T42" s="168"/>
      <c r="U42" s="168"/>
      <c r="V42" s="168"/>
    </row>
    <row r="43" spans="1:22" s="170" customFormat="1" ht="21">
      <c r="A43" s="246" t="str">
        <f t="shared" si="14"/>
        <v>Tapfil 8</v>
      </c>
      <c r="B43" s="247">
        <f t="shared" si="15"/>
        <v>4400004</v>
      </c>
      <c r="C43" s="240">
        <f>VLOOKUP(A43,[1]price!C$2:E$57,3,0)</f>
        <v>24.445909090909087</v>
      </c>
      <c r="D43" s="239">
        <f t="shared" si="16"/>
        <v>1.056</v>
      </c>
      <c r="E43" s="248">
        <v>90</v>
      </c>
      <c r="F43" s="239">
        <f t="shared" si="17"/>
        <v>2.8160000000000001E-2</v>
      </c>
      <c r="G43" s="249">
        <f t="shared" si="18"/>
        <v>0.68839679999999992</v>
      </c>
      <c r="H43" s="250">
        <f t="shared" si="19"/>
        <v>2.0703663157894736E-2</v>
      </c>
      <c r="I43" s="251">
        <f t="shared" ca="1" si="20"/>
        <v>3.1421965717519907E-3</v>
      </c>
      <c r="J43" s="163"/>
      <c r="K43" s="252" t="s">
        <v>177</v>
      </c>
      <c r="L43" s="226" t="s">
        <v>178</v>
      </c>
      <c r="M43" s="263">
        <v>4200001</v>
      </c>
      <c r="N43" s="262">
        <f t="shared" si="11"/>
        <v>2.1120000000000001</v>
      </c>
      <c r="O43" s="262">
        <f t="shared" si="12"/>
        <v>2.4</v>
      </c>
      <c r="P43" s="262">
        <v>6</v>
      </c>
      <c r="Q43" s="262">
        <f t="shared" si="13"/>
        <v>6</v>
      </c>
      <c r="R43" s="226"/>
      <c r="S43" s="227"/>
      <c r="T43" s="168"/>
      <c r="U43" s="168"/>
      <c r="V43" s="168"/>
    </row>
    <row r="44" spans="1:22" s="170" customFormat="1" ht="21">
      <c r="A44" s="246" t="str">
        <f t="shared" si="14"/>
        <v>Dried whole egg powder (HF)</v>
      </c>
      <c r="B44" s="247">
        <f t="shared" si="15"/>
        <v>4100355</v>
      </c>
      <c r="C44" s="240">
        <f>VLOOKUP(A44,[1]price!C$2:E$57,3,0)</f>
        <v>247.46163337569661</v>
      </c>
      <c r="D44" s="239">
        <f t="shared" si="16"/>
        <v>6.3360000000000003</v>
      </c>
      <c r="E44" s="248">
        <v>90</v>
      </c>
      <c r="F44" s="239">
        <f t="shared" si="17"/>
        <v>0.16896</v>
      </c>
      <c r="G44" s="249">
        <f t="shared" si="18"/>
        <v>41.811117575157695</v>
      </c>
      <c r="H44" s="250">
        <f t="shared" si="19"/>
        <v>1.2574772203054947</v>
      </c>
      <c r="I44" s="251">
        <f t="shared" ca="1" si="20"/>
        <v>0.1908474157720953</v>
      </c>
      <c r="J44" s="163"/>
      <c r="K44" s="297" t="s">
        <v>179</v>
      </c>
      <c r="L44" s="225"/>
      <c r="M44" s="226"/>
      <c r="N44" s="262">
        <f t="shared" si="11"/>
        <v>4.6766719999999999</v>
      </c>
      <c r="O44" s="262">
        <f t="shared" si="12"/>
        <v>5.3143999999999991</v>
      </c>
      <c r="P44" s="262">
        <v>13.286</v>
      </c>
      <c r="Q44" s="262">
        <f t="shared" si="13"/>
        <v>13.286</v>
      </c>
      <c r="R44" s="226"/>
      <c r="S44" s="227"/>
      <c r="T44" s="168"/>
      <c r="U44" s="168"/>
      <c r="V44" s="168"/>
    </row>
    <row r="45" spans="1:22" s="170" customFormat="1" ht="21">
      <c r="A45" s="246" t="str">
        <f t="shared" si="14"/>
        <v>Sunflower oil</v>
      </c>
      <c r="B45" s="247">
        <f t="shared" si="15"/>
        <v>4200001</v>
      </c>
      <c r="C45" s="240">
        <f>VLOOKUP(A45,[1]price!C$2:E$57,3,0)</f>
        <v>40.701546763351672</v>
      </c>
      <c r="D45" s="239">
        <f t="shared" si="16"/>
        <v>2.1120000000000001</v>
      </c>
      <c r="E45" s="248">
        <v>90</v>
      </c>
      <c r="F45" s="239">
        <f>+D45/E45%*$B$10/1000</f>
        <v>5.6320000000000002E-2</v>
      </c>
      <c r="G45" s="249">
        <f>F45*C45</f>
        <v>2.2923111137119663</v>
      </c>
      <c r="H45" s="250">
        <f>G45/$H$11</f>
        <v>6.8941687630435081E-2</v>
      </c>
      <c r="I45" s="251">
        <f t="shared" ca="1" si="20"/>
        <v>1.0463285307100103E-2</v>
      </c>
      <c r="J45" s="163"/>
      <c r="K45" s="252" t="s">
        <v>180</v>
      </c>
      <c r="L45" s="226" t="s">
        <v>181</v>
      </c>
      <c r="M45" s="263">
        <v>4700029</v>
      </c>
      <c r="N45" s="262">
        <f t="shared" si="11"/>
        <v>4.4000000000000004E-2</v>
      </c>
      <c r="O45" s="262">
        <f t="shared" si="12"/>
        <v>0.05</v>
      </c>
      <c r="P45" s="262">
        <v>0.125</v>
      </c>
      <c r="Q45" s="262">
        <f t="shared" si="13"/>
        <v>0.125</v>
      </c>
      <c r="R45" s="226"/>
      <c r="S45" s="227"/>
      <c r="T45" s="168"/>
      <c r="U45" s="168"/>
      <c r="V45" s="168"/>
    </row>
    <row r="46" spans="1:22" s="170" customFormat="1" ht="21">
      <c r="A46" s="246" t="str">
        <f t="shared" si="14"/>
        <v>**Water (แบ่งน้ำออก 3/4 ละลายเคมีข้างล่างตาม process spec)</v>
      </c>
      <c r="B46" s="247">
        <f t="shared" si="15"/>
        <v>0</v>
      </c>
      <c r="C46" s="240">
        <f>VLOOKUP(A46,[1]price!C$2:E$57,3,0)</f>
        <v>2.5000000000000001E-2</v>
      </c>
      <c r="D46" s="239">
        <f t="shared" si="16"/>
        <v>4.6766719999999999</v>
      </c>
      <c r="E46" s="248">
        <v>90</v>
      </c>
      <c r="F46" s="239">
        <f t="shared" ref="F46:F52" si="21">+D46/E46%*$B$10/1000</f>
        <v>0.12471125333333333</v>
      </c>
      <c r="G46" s="249">
        <f t="shared" ref="G46:G52" si="22">F46*C46</f>
        <v>3.1177813333333332E-3</v>
      </c>
      <c r="H46" s="250">
        <f t="shared" ref="H46:H52" si="23">G46/$H$11</f>
        <v>9.37678596491228E-5</v>
      </c>
      <c r="I46" s="251">
        <f t="shared" ca="1" si="20"/>
        <v>1.4231155370089388E-5</v>
      </c>
      <c r="J46" s="163"/>
      <c r="K46" s="252" t="s">
        <v>182</v>
      </c>
      <c r="L46" s="226" t="s">
        <v>183</v>
      </c>
      <c r="M46" s="263">
        <v>4700020</v>
      </c>
      <c r="N46" s="262">
        <f t="shared" si="11"/>
        <v>4.4000000000000004E-2</v>
      </c>
      <c r="O46" s="262">
        <f t="shared" si="12"/>
        <v>0.05</v>
      </c>
      <c r="P46" s="262">
        <v>0.125</v>
      </c>
      <c r="Q46" s="262">
        <f t="shared" si="13"/>
        <v>0.125</v>
      </c>
      <c r="R46" s="226"/>
      <c r="S46" s="227"/>
      <c r="T46" s="168"/>
      <c r="U46" s="168"/>
      <c r="V46" s="168"/>
    </row>
    <row r="47" spans="1:22" s="170" customFormat="1" ht="21">
      <c r="A47" s="246" t="str">
        <f t="shared" si="14"/>
        <v>Feline Vitamins Premix MDF(85 B6)</v>
      </c>
      <c r="B47" s="247">
        <f t="shared" si="15"/>
        <v>4700029</v>
      </c>
      <c r="C47" s="240">
        <f>VLOOKUP(A47,[1]price!C$2:E$57,3,0)</f>
        <v>427.35</v>
      </c>
      <c r="D47" s="239">
        <f t="shared" si="16"/>
        <v>4.4000000000000004E-2</v>
      </c>
      <c r="E47" s="248">
        <v>90</v>
      </c>
      <c r="F47" s="239">
        <f t="shared" si="21"/>
        <v>1.1733333333333333E-3</v>
      </c>
      <c r="G47" s="249">
        <f t="shared" si="22"/>
        <v>0.50142399999999998</v>
      </c>
      <c r="H47" s="250">
        <f t="shared" si="23"/>
        <v>1.5080421052631578E-2</v>
      </c>
      <c r="I47" s="251">
        <f t="shared" ca="1" si="20"/>
        <v>2.288756678988296E-3</v>
      </c>
      <c r="J47" s="163"/>
      <c r="K47" s="252" t="s">
        <v>184</v>
      </c>
      <c r="L47" s="226" t="s">
        <v>185</v>
      </c>
      <c r="M47" s="263">
        <v>4100269</v>
      </c>
      <c r="N47" s="262">
        <f t="shared" si="11"/>
        <v>0.30800000000000005</v>
      </c>
      <c r="O47" s="262">
        <f t="shared" si="12"/>
        <v>0.35</v>
      </c>
      <c r="P47" s="262">
        <v>0.875</v>
      </c>
      <c r="Q47" s="262">
        <f t="shared" si="13"/>
        <v>0.875</v>
      </c>
      <c r="R47" s="226"/>
      <c r="S47" s="227"/>
      <c r="T47" s="168"/>
      <c r="U47" s="168"/>
      <c r="V47" s="168"/>
    </row>
    <row r="48" spans="1:22" s="170" customFormat="1" ht="21">
      <c r="A48" s="246" t="str">
        <f t="shared" si="14"/>
        <v>Feline Mineral Premix MDF</v>
      </c>
      <c r="B48" s="247">
        <f t="shared" si="15"/>
        <v>4700020</v>
      </c>
      <c r="C48" s="240">
        <f>VLOOKUP(A48,[1]price!C$2:E$57,3,0)</f>
        <v>300.3</v>
      </c>
      <c r="D48" s="239">
        <f t="shared" si="16"/>
        <v>4.4000000000000004E-2</v>
      </c>
      <c r="E48" s="248">
        <v>90</v>
      </c>
      <c r="F48" s="239">
        <f t="shared" si="21"/>
        <v>1.1733333333333333E-3</v>
      </c>
      <c r="G48" s="249">
        <f t="shared" si="22"/>
        <v>0.352352</v>
      </c>
      <c r="H48" s="250">
        <f t="shared" si="23"/>
        <v>1.0597052631578948E-2</v>
      </c>
      <c r="I48" s="251">
        <f t="shared" ca="1" si="20"/>
        <v>1.6083155041539377E-3</v>
      </c>
      <c r="J48" s="163"/>
      <c r="K48" s="252" t="s">
        <v>186</v>
      </c>
      <c r="L48" s="226" t="s">
        <v>187</v>
      </c>
      <c r="M48" s="298">
        <v>4100346</v>
      </c>
      <c r="N48" s="262">
        <f t="shared" si="11"/>
        <v>0.6160000000000001</v>
      </c>
      <c r="O48" s="262">
        <f t="shared" si="12"/>
        <v>0.7</v>
      </c>
      <c r="P48" s="262">
        <v>1.75</v>
      </c>
      <c r="Q48" s="262">
        <f t="shared" si="13"/>
        <v>1.75</v>
      </c>
      <c r="R48" s="226"/>
      <c r="S48" s="227"/>
      <c r="T48" s="168"/>
      <c r="U48" s="168"/>
      <c r="V48" s="168"/>
    </row>
    <row r="49" spans="1:22" s="170" customFormat="1" ht="21">
      <c r="A49" s="246" t="str">
        <f t="shared" si="14"/>
        <v>Titanium dioxide</v>
      </c>
      <c r="B49" s="247">
        <f t="shared" si="15"/>
        <v>4100269</v>
      </c>
      <c r="C49" s="240">
        <f>VLOOKUP(A49,[1]price!C$2:E$57,3,0)</f>
        <v>141.8931818181818</v>
      </c>
      <c r="D49" s="239">
        <f t="shared" si="16"/>
        <v>0.30800000000000005</v>
      </c>
      <c r="E49" s="248">
        <v>90</v>
      </c>
      <c r="F49" s="239">
        <f t="shared" si="21"/>
        <v>8.2133333333333346E-3</v>
      </c>
      <c r="G49" s="249">
        <f t="shared" si="22"/>
        <v>1.165416</v>
      </c>
      <c r="H49" s="250">
        <f t="shared" si="23"/>
        <v>3.5050105263157896E-2</v>
      </c>
      <c r="I49" s="251">
        <f t="shared" ca="1" si="20"/>
        <v>5.3195572086693578E-3</v>
      </c>
      <c r="J49" s="163"/>
      <c r="K49" s="252" t="s">
        <v>188</v>
      </c>
      <c r="L49" s="287" t="s">
        <v>189</v>
      </c>
      <c r="M49" s="265">
        <v>4100353</v>
      </c>
      <c r="N49" s="262">
        <f t="shared" si="11"/>
        <v>0.31680000000000003</v>
      </c>
      <c r="O49" s="262">
        <f t="shared" si="12"/>
        <v>0.36</v>
      </c>
      <c r="P49" s="262">
        <v>0.9</v>
      </c>
      <c r="Q49" s="262">
        <f t="shared" si="13"/>
        <v>0.9</v>
      </c>
      <c r="R49" s="226"/>
      <c r="S49" s="227"/>
      <c r="T49" s="168"/>
      <c r="U49" s="168"/>
      <c r="V49" s="168"/>
    </row>
    <row r="50" spans="1:22" s="170" customFormat="1" ht="21">
      <c r="A50" s="246" t="str">
        <f t="shared" si="14"/>
        <v>Tricalcium phosphate</v>
      </c>
      <c r="B50" s="247">
        <f t="shared" si="15"/>
        <v>4100346</v>
      </c>
      <c r="C50" s="240">
        <f>VLOOKUP(A50,[1]price!C$2:E$57,3,0)</f>
        <v>45.15</v>
      </c>
      <c r="D50" s="239">
        <f t="shared" si="16"/>
        <v>0.6160000000000001</v>
      </c>
      <c r="E50" s="248">
        <v>90</v>
      </c>
      <c r="F50" s="239">
        <f t="shared" si="21"/>
        <v>1.6426666666666669E-2</v>
      </c>
      <c r="G50" s="249">
        <f t="shared" si="22"/>
        <v>0.7416640000000001</v>
      </c>
      <c r="H50" s="250">
        <f t="shared" si="23"/>
        <v>2.2305684210526318E-2</v>
      </c>
      <c r="I50" s="251">
        <f t="shared" ca="1" si="20"/>
        <v>3.385335431820527E-3</v>
      </c>
      <c r="J50" s="163"/>
      <c r="K50" s="252" t="s">
        <v>190</v>
      </c>
      <c r="L50" s="226" t="s">
        <v>191</v>
      </c>
      <c r="M50" s="263">
        <v>4100381</v>
      </c>
      <c r="N50" s="262">
        <f t="shared" si="11"/>
        <v>1.7600000000000001E-2</v>
      </c>
      <c r="O50" s="262">
        <f t="shared" si="12"/>
        <v>0.02</v>
      </c>
      <c r="P50" s="262">
        <v>0.05</v>
      </c>
      <c r="Q50" s="262">
        <f t="shared" si="13"/>
        <v>0.05</v>
      </c>
      <c r="R50" s="226"/>
      <c r="S50" s="227"/>
      <c r="T50" s="168"/>
      <c r="U50" s="168"/>
      <c r="V50" s="168"/>
    </row>
    <row r="51" spans="1:22" s="170" customFormat="1" ht="21">
      <c r="A51" s="246" t="str">
        <f t="shared" si="14"/>
        <v>Calcium sulfate</v>
      </c>
      <c r="B51" s="247">
        <f t="shared" si="15"/>
        <v>4100353</v>
      </c>
      <c r="C51" s="240">
        <f>VLOOKUP(A51,[1]price!C$2:E$57,3,0)</f>
        <v>29.413298458149782</v>
      </c>
      <c r="D51" s="239">
        <f t="shared" si="16"/>
        <v>0.31680000000000003</v>
      </c>
      <c r="E51" s="248">
        <v>90</v>
      </c>
      <c r="F51" s="239">
        <f t="shared" si="21"/>
        <v>8.4480000000000006E-3</v>
      </c>
      <c r="G51" s="249">
        <f t="shared" si="22"/>
        <v>0.24848354537444939</v>
      </c>
      <c r="H51" s="250">
        <f t="shared" si="23"/>
        <v>7.4731893345699064E-3</v>
      </c>
      <c r="I51" s="251">
        <f t="shared" ca="1" si="20"/>
        <v>1.1342065279971887E-3</v>
      </c>
      <c r="J51" s="163"/>
      <c r="K51" s="299" t="s">
        <v>142</v>
      </c>
      <c r="L51" s="300"/>
      <c r="M51" s="300"/>
      <c r="N51" s="301">
        <f>SUM(N38:N50)</f>
        <v>35.199999999999996</v>
      </c>
      <c r="O51" s="301">
        <f>SUM(O38:O50)</f>
        <v>40</v>
      </c>
      <c r="P51" s="301">
        <f>SUM(P38:P50)</f>
        <v>100</v>
      </c>
      <c r="Q51" s="301">
        <f>SUM(Q38:Q50)</f>
        <v>100</v>
      </c>
      <c r="R51" s="226"/>
      <c r="S51" s="227"/>
      <c r="T51" s="168"/>
      <c r="U51" s="168"/>
      <c r="V51" s="168"/>
    </row>
    <row r="52" spans="1:22" ht="21">
      <c r="A52" s="246" t="str">
        <f t="shared" si="14"/>
        <v>Magnesium oxide</v>
      </c>
      <c r="B52" s="247">
        <f t="shared" si="15"/>
        <v>4100381</v>
      </c>
      <c r="C52" s="240">
        <f>VLOOKUP(A52,[1]price!C$2:E$57,3,0)</f>
        <v>165.9</v>
      </c>
      <c r="D52" s="239">
        <f t="shared" si="16"/>
        <v>1.7600000000000001E-2</v>
      </c>
      <c r="E52" s="248">
        <v>90</v>
      </c>
      <c r="F52" s="239">
        <f t="shared" si="21"/>
        <v>4.6933333333333332E-4</v>
      </c>
      <c r="G52" s="249">
        <f t="shared" si="22"/>
        <v>7.7862399999999998E-2</v>
      </c>
      <c r="H52" s="250">
        <f t="shared" si="23"/>
        <v>2.3417263157894737E-3</v>
      </c>
      <c r="I52" s="251">
        <f t="shared" ca="1" si="20"/>
        <v>3.5540398553331773E-4</v>
      </c>
      <c r="K52" s="224"/>
      <c r="L52" s="225"/>
      <c r="M52" s="225"/>
      <c r="N52" s="302"/>
      <c r="O52" s="302"/>
      <c r="P52" s="302"/>
      <c r="Q52" s="302"/>
      <c r="R52" s="226"/>
      <c r="S52" s="227"/>
    </row>
    <row r="53" spans="1:22" ht="21">
      <c r="A53" s="246"/>
      <c r="B53" s="247"/>
      <c r="C53" s="240"/>
      <c r="D53" s="239"/>
      <c r="E53" s="248"/>
      <c r="F53" s="239"/>
      <c r="G53" s="249"/>
      <c r="H53" s="250"/>
      <c r="I53" s="251"/>
      <c r="K53" s="303" t="s">
        <v>192</v>
      </c>
      <c r="L53" s="204"/>
      <c r="M53" s="204"/>
      <c r="N53" s="204"/>
      <c r="O53" s="204"/>
      <c r="P53" s="204"/>
      <c r="Q53" s="204"/>
      <c r="R53" s="304"/>
      <c r="S53" s="205"/>
    </row>
    <row r="54" spans="1:22" ht="21">
      <c r="A54" s="246"/>
      <c r="B54" s="247"/>
      <c r="C54" s="240"/>
      <c r="D54" s="239"/>
      <c r="E54" s="248"/>
      <c r="F54" s="239"/>
      <c r="G54" s="249"/>
      <c r="H54" s="250"/>
      <c r="I54" s="251"/>
      <c r="K54" s="203"/>
      <c r="L54" s="204" t="s">
        <v>193</v>
      </c>
      <c r="M54" s="204"/>
      <c r="N54" s="204"/>
      <c r="O54" s="204"/>
      <c r="P54" s="204" t="s">
        <v>194</v>
      </c>
      <c r="Q54" s="204"/>
      <c r="R54" s="204"/>
      <c r="S54" s="305"/>
    </row>
    <row r="55" spans="1:22" ht="21">
      <c r="A55" s="246"/>
      <c r="B55" s="247"/>
      <c r="C55" s="240"/>
      <c r="D55" s="239"/>
      <c r="E55" s="248"/>
      <c r="F55" s="239"/>
      <c r="G55" s="249"/>
      <c r="H55" s="250"/>
      <c r="I55" s="251"/>
      <c r="K55" s="203"/>
      <c r="L55" s="204" t="s">
        <v>195</v>
      </c>
      <c r="M55" s="204"/>
      <c r="N55" s="204"/>
      <c r="O55" s="204"/>
      <c r="P55" s="204" t="s">
        <v>196</v>
      </c>
      <c r="Q55" s="304"/>
      <c r="R55" s="204"/>
      <c r="S55" s="305"/>
    </row>
    <row r="56" spans="1:22" ht="21">
      <c r="A56" s="246"/>
      <c r="B56" s="247"/>
      <c r="C56" s="240"/>
      <c r="D56" s="239"/>
      <c r="E56" s="248"/>
      <c r="F56" s="239"/>
      <c r="G56" s="249"/>
      <c r="H56" s="250"/>
      <c r="I56" s="251"/>
      <c r="K56" s="214"/>
      <c r="L56" s="204" t="s">
        <v>197</v>
      </c>
      <c r="M56" s="204"/>
      <c r="N56" s="204"/>
      <c r="O56" s="204"/>
      <c r="P56" s="204"/>
      <c r="Q56" s="204"/>
      <c r="R56" s="204" t="s">
        <v>198</v>
      </c>
      <c r="S56" s="205"/>
    </row>
    <row r="57" spans="1:22" ht="21">
      <c r="A57" s="246"/>
      <c r="B57" s="247"/>
      <c r="C57" s="240"/>
      <c r="D57" s="239"/>
      <c r="E57" s="248"/>
      <c r="F57" s="239"/>
      <c r="G57" s="249"/>
      <c r="H57" s="250"/>
      <c r="I57" s="251"/>
      <c r="K57" s="214"/>
      <c r="L57" s="204"/>
      <c r="M57" s="204"/>
      <c r="N57" s="204"/>
      <c r="O57" s="204"/>
      <c r="P57" s="204"/>
      <c r="Q57" s="204"/>
      <c r="R57" s="204"/>
      <c r="S57" s="205"/>
    </row>
    <row r="58" spans="1:22" ht="21">
      <c r="A58" s="246"/>
      <c r="B58" s="247"/>
      <c r="C58" s="240"/>
      <c r="D58" s="239"/>
      <c r="E58" s="248"/>
      <c r="F58" s="239"/>
      <c r="G58" s="249"/>
      <c r="H58" s="250"/>
      <c r="I58" s="251"/>
      <c r="K58" s="303" t="s">
        <v>199</v>
      </c>
      <c r="L58" s="204"/>
      <c r="M58" s="204"/>
      <c r="N58" s="204"/>
      <c r="O58" s="215" t="s">
        <v>200</v>
      </c>
      <c r="P58" s="204"/>
      <c r="Q58" s="304"/>
      <c r="R58" s="204"/>
      <c r="S58" s="305"/>
    </row>
    <row r="59" spans="1:22" ht="21">
      <c r="A59" s="246"/>
      <c r="B59" s="247"/>
      <c r="C59" s="240"/>
      <c r="D59" s="239"/>
      <c r="E59" s="248"/>
      <c r="F59" s="239"/>
      <c r="G59" s="249"/>
      <c r="H59" s="250"/>
      <c r="I59" s="251"/>
      <c r="K59" s="306"/>
      <c r="L59" s="307"/>
      <c r="M59" s="307"/>
      <c r="N59" s="308"/>
      <c r="O59" s="309"/>
      <c r="P59" s="310"/>
      <c r="Q59" s="310"/>
      <c r="R59" s="310"/>
      <c r="S59" s="311"/>
    </row>
    <row r="60" spans="1:22" ht="21">
      <c r="A60" s="246"/>
      <c r="B60" s="247"/>
      <c r="C60" s="240"/>
      <c r="D60" s="239"/>
      <c r="E60" s="248"/>
      <c r="F60" s="239"/>
      <c r="G60" s="249"/>
      <c r="H60" s="250"/>
      <c r="I60" s="251"/>
      <c r="K60" s="312"/>
      <c r="L60" s="313"/>
      <c r="M60" s="313"/>
      <c r="N60" s="314"/>
      <c r="O60" s="315"/>
      <c r="P60" s="316"/>
      <c r="Q60" s="316"/>
      <c r="R60" s="316"/>
      <c r="S60" s="317"/>
    </row>
    <row r="61" spans="1:22" ht="21">
      <c r="A61" s="246"/>
      <c r="B61" s="247"/>
      <c r="C61" s="240"/>
      <c r="D61" s="239"/>
      <c r="E61" s="248"/>
      <c r="F61" s="239"/>
      <c r="G61" s="249"/>
      <c r="H61" s="250"/>
      <c r="I61" s="251"/>
      <c r="K61" s="318"/>
      <c r="L61" s="319"/>
      <c r="M61" s="319"/>
      <c r="N61" s="320"/>
      <c r="O61" s="315"/>
      <c r="P61" s="316"/>
      <c r="Q61" s="316"/>
      <c r="R61" s="316"/>
      <c r="S61" s="317"/>
    </row>
    <row r="62" spans="1:22" ht="21">
      <c r="A62" s="246"/>
      <c r="B62" s="247"/>
      <c r="C62" s="240"/>
      <c r="D62" s="239"/>
      <c r="E62" s="248"/>
      <c r="F62" s="239"/>
      <c r="G62" s="249"/>
      <c r="H62" s="250"/>
      <c r="I62" s="251"/>
      <c r="K62" s="321"/>
      <c r="L62" s="322"/>
      <c r="M62" s="322"/>
      <c r="N62" s="323"/>
      <c r="O62" s="324"/>
      <c r="P62" s="325"/>
      <c r="Q62" s="325"/>
      <c r="R62" s="325"/>
      <c r="S62" s="326"/>
    </row>
    <row r="63" spans="1:22" thickBot="1">
      <c r="A63" s="327"/>
      <c r="B63" s="328"/>
      <c r="C63" s="329"/>
      <c r="D63" s="330">
        <f>SUM(D14:D62)</f>
        <v>87.999999999999986</v>
      </c>
      <c r="E63" s="331"/>
      <c r="F63" s="330"/>
      <c r="G63" s="249"/>
      <c r="H63" s="332"/>
      <c r="I63" s="333"/>
      <c r="K63" s="334"/>
      <c r="L63" s="335"/>
      <c r="M63" s="335"/>
      <c r="N63" s="335"/>
      <c r="O63" s="335"/>
      <c r="P63" s="335"/>
      <c r="Q63" s="334"/>
      <c r="R63" s="335"/>
      <c r="S63" s="335"/>
    </row>
    <row r="64" spans="1:22" ht="22.5" thickTop="1" thickBot="1">
      <c r="A64" s="269" t="s">
        <v>36</v>
      </c>
      <c r="B64" s="270"/>
      <c r="C64" s="270"/>
      <c r="D64" s="270"/>
      <c r="E64" s="270"/>
      <c r="F64" s="270"/>
      <c r="G64" s="271">
        <f>SUM(G27:G63)</f>
        <v>58.26921059419476</v>
      </c>
      <c r="H64" s="272">
        <f>SUM(H27:H63)</f>
        <v>1.7524574614795418</v>
      </c>
      <c r="I64" s="273">
        <f ca="1">G64/$G$90</f>
        <v>0.26597060556901714</v>
      </c>
      <c r="K64" s="335" t="s">
        <v>201</v>
      </c>
      <c r="L64" s="335"/>
      <c r="M64" s="335"/>
      <c r="N64" s="335"/>
      <c r="O64" s="334"/>
      <c r="P64" s="334"/>
      <c r="Q64" s="335" t="s">
        <v>202</v>
      </c>
      <c r="R64" s="334"/>
      <c r="S64" s="334"/>
    </row>
    <row r="65" spans="1:19" thickTop="1">
      <c r="A65" s="336" t="s">
        <v>203</v>
      </c>
      <c r="B65" s="337"/>
      <c r="C65" s="337"/>
      <c r="D65" s="338"/>
      <c r="E65" s="191"/>
      <c r="F65" s="339"/>
      <c r="G65" s="340"/>
      <c r="H65" s="279"/>
      <c r="I65" s="251"/>
      <c r="K65" s="335"/>
      <c r="L65" s="335"/>
      <c r="M65" s="335"/>
      <c r="N65" s="335"/>
      <c r="O65" s="334"/>
      <c r="P65" s="334"/>
      <c r="Q65" s="334"/>
      <c r="R65" s="334"/>
      <c r="S65" s="341" t="s">
        <v>204</v>
      </c>
    </row>
    <row r="66" spans="1:19" ht="21">
      <c r="A66" s="342" t="s">
        <v>205</v>
      </c>
      <c r="B66" s="197"/>
      <c r="C66" s="343">
        <f>(1.78+0.04)*1.05</f>
        <v>1.9110000000000003</v>
      </c>
      <c r="D66" s="344" t="s">
        <v>206</v>
      </c>
      <c r="E66" s="191"/>
      <c r="F66" s="339">
        <f>$B$10</f>
        <v>24</v>
      </c>
      <c r="G66" s="249">
        <f>F66*C66</f>
        <v>45.864000000000004</v>
      </c>
      <c r="H66" s="250">
        <f>G66/$H$11</f>
        <v>1.3793684210526318</v>
      </c>
      <c r="I66" s="251">
        <f ca="1">G66/$G$90</f>
        <v>0.2093468528134258</v>
      </c>
      <c r="K66" s="335"/>
      <c r="L66" s="335"/>
      <c r="M66" s="335"/>
      <c r="N66" s="335"/>
      <c r="O66" s="335"/>
      <c r="P66" s="335"/>
      <c r="Q66" s="335"/>
      <c r="R66" s="335"/>
      <c r="S66" s="334"/>
    </row>
    <row r="67" spans="1:19">
      <c r="A67" s="342" t="s">
        <v>207</v>
      </c>
      <c r="B67" s="345"/>
      <c r="C67" s="346">
        <f>0.01*H11</f>
        <v>0.33250000000000002</v>
      </c>
      <c r="D67" s="338"/>
      <c r="E67" s="191"/>
      <c r="F67" s="339">
        <f>$B$10</f>
        <v>24</v>
      </c>
      <c r="G67" s="249">
        <f>F67*C67</f>
        <v>7.98</v>
      </c>
      <c r="H67" s="250">
        <f>G67/$H$11</f>
        <v>0.24000000000000002</v>
      </c>
      <c r="I67" s="251">
        <f ca="1">G67/$G$90</f>
        <v>3.6424818712958704E-2</v>
      </c>
      <c r="Q67" s="348"/>
    </row>
    <row r="68" spans="1:19" ht="22.5" thickBot="1">
      <c r="A68" s="342"/>
      <c r="B68" s="197"/>
      <c r="C68" s="346"/>
      <c r="D68" s="338"/>
      <c r="E68" s="191"/>
      <c r="F68" s="339"/>
      <c r="G68" s="249"/>
      <c r="H68" s="250"/>
      <c r="I68" s="251"/>
      <c r="Q68" s="348"/>
    </row>
    <row r="69" spans="1:19" ht="23.25" thickTop="1" thickBot="1">
      <c r="A69" s="349" t="s">
        <v>208</v>
      </c>
      <c r="B69" s="350"/>
      <c r="C69" s="350"/>
      <c r="D69" s="350"/>
      <c r="E69" s="350"/>
      <c r="F69" s="350"/>
      <c r="G69" s="271">
        <f>SUM(G66:G68)</f>
        <v>53.844000000000008</v>
      </c>
      <c r="H69" s="272">
        <f>SUM(H66:H68)</f>
        <v>1.6193684210526318</v>
      </c>
      <c r="I69" s="273">
        <f ca="1">G69/$G$90</f>
        <v>0.24577167152638452</v>
      </c>
      <c r="Q69" s="348"/>
    </row>
    <row r="70" spans="1:19" ht="22.5" thickTop="1">
      <c r="A70" s="336" t="s">
        <v>203</v>
      </c>
      <c r="B70" s="337"/>
      <c r="C70" s="337"/>
      <c r="D70" s="338"/>
      <c r="E70" s="191"/>
      <c r="F70" s="339"/>
      <c r="G70" s="249"/>
      <c r="H70" s="250"/>
      <c r="I70" s="251"/>
      <c r="Q70" s="348"/>
    </row>
    <row r="71" spans="1:19">
      <c r="A71" s="342" t="s">
        <v>209</v>
      </c>
      <c r="B71" s="351" t="s">
        <v>210</v>
      </c>
      <c r="C71" s="346">
        <v>6.3204908444306582</v>
      </c>
      <c r="D71" s="338"/>
      <c r="E71" s="191"/>
      <c r="F71" s="339">
        <f>$B$10/12</f>
        <v>2</v>
      </c>
      <c r="G71" s="249">
        <f>F71*C71</f>
        <v>12.640981688861316</v>
      </c>
      <c r="H71" s="250">
        <f>G71/$H$11</f>
        <v>0.38017990041688171</v>
      </c>
      <c r="I71" s="251">
        <f ca="1">G71/$G$90</f>
        <v>5.7699933129148361E-2</v>
      </c>
      <c r="Q71" s="348"/>
    </row>
    <row r="72" spans="1:19">
      <c r="A72" s="342" t="s">
        <v>211</v>
      </c>
      <c r="B72" s="351" t="s">
        <v>212</v>
      </c>
      <c r="C72" s="352">
        <v>5.1450000000000005</v>
      </c>
      <c r="D72" s="338"/>
      <c r="E72" s="191"/>
      <c r="F72" s="339">
        <f>$B$10/24</f>
        <v>1</v>
      </c>
      <c r="G72" s="249">
        <f>F72*C72</f>
        <v>5.1450000000000005</v>
      </c>
      <c r="H72" s="250">
        <f>G72/$H$11</f>
        <v>0.15473684210526317</v>
      </c>
      <c r="I72" s="251">
        <f ca="1">G72/$G$90</f>
        <v>2.3484422591249689E-2</v>
      </c>
    </row>
    <row r="73" spans="1:19">
      <c r="A73" s="342"/>
      <c r="B73" s="197"/>
      <c r="C73" s="346"/>
      <c r="D73" s="338"/>
      <c r="E73" s="191"/>
      <c r="F73" s="339"/>
      <c r="G73" s="249"/>
      <c r="H73" s="250"/>
      <c r="I73" s="251"/>
    </row>
    <row r="74" spans="1:19" ht="22.5" thickBot="1">
      <c r="A74" s="342"/>
      <c r="B74" s="197"/>
      <c r="C74" s="346"/>
      <c r="D74" s="338"/>
      <c r="E74" s="191"/>
      <c r="F74" s="339"/>
      <c r="G74" s="249"/>
      <c r="H74" s="250"/>
      <c r="I74" s="251"/>
    </row>
    <row r="75" spans="1:19" ht="23.25" thickTop="1" thickBot="1">
      <c r="A75" s="349" t="s">
        <v>208</v>
      </c>
      <c r="B75" s="350"/>
      <c r="C75" s="350"/>
      <c r="D75" s="350"/>
      <c r="E75" s="350"/>
      <c r="F75" s="350"/>
      <c r="G75" s="271">
        <f>SUM(G71:G74)</f>
        <v>17.785981688861316</v>
      </c>
      <c r="H75" s="272">
        <f>SUM(H71:H74)</f>
        <v>0.53491674252214483</v>
      </c>
      <c r="I75" s="273">
        <f ca="1">G75/$G$90</f>
        <v>8.1184355720398046E-2</v>
      </c>
    </row>
    <row r="76" spans="1:19" ht="22.5" thickTop="1">
      <c r="A76" s="353" t="s">
        <v>213</v>
      </c>
      <c r="B76" s="354"/>
      <c r="C76" s="354"/>
      <c r="D76" s="355"/>
      <c r="E76" s="185"/>
      <c r="F76" s="346"/>
      <c r="G76" s="356"/>
      <c r="H76" s="357"/>
      <c r="I76" s="251"/>
    </row>
    <row r="77" spans="1:19">
      <c r="A77" s="190" t="s">
        <v>37</v>
      </c>
      <c r="B77" s="191"/>
      <c r="C77" s="191"/>
      <c r="D77" s="338"/>
      <c r="E77" s="191"/>
      <c r="F77" s="346"/>
      <c r="G77" s="249">
        <f>69.7/24*$B$10</f>
        <v>69.7</v>
      </c>
      <c r="H77" s="250">
        <f>G77/$H$11</f>
        <v>2.0962406015037596</v>
      </c>
      <c r="I77" s="251">
        <f ca="1">G77/$G$90</f>
        <v>0.3181465995354914</v>
      </c>
      <c r="J77" s="358" t="s">
        <v>214</v>
      </c>
    </row>
    <row r="78" spans="1:19" ht="22.5" thickBot="1">
      <c r="A78" s="359"/>
      <c r="B78" s="360"/>
      <c r="C78" s="360"/>
      <c r="D78" s="361"/>
      <c r="E78" s="362"/>
      <c r="F78" s="363"/>
      <c r="G78" s="249"/>
      <c r="H78" s="250"/>
      <c r="I78" s="251"/>
      <c r="J78" s="358"/>
    </row>
    <row r="79" spans="1:19" ht="23.25" thickTop="1" thickBot="1">
      <c r="A79" s="349" t="s">
        <v>215</v>
      </c>
      <c r="B79" s="350"/>
      <c r="C79" s="350"/>
      <c r="D79" s="350"/>
      <c r="E79" s="350"/>
      <c r="F79" s="350"/>
      <c r="G79" s="271">
        <f>SUM(G77:G78)</f>
        <v>69.7</v>
      </c>
      <c r="H79" s="272">
        <f>SUM(H77:H78)</f>
        <v>2.0962406015037596</v>
      </c>
      <c r="I79" s="273">
        <f ca="1">G79/$G$90</f>
        <v>0.3181465995354914</v>
      </c>
      <c r="J79" s="358"/>
    </row>
    <row r="80" spans="1:19" ht="22.5" thickTop="1">
      <c r="A80" s="353" t="s">
        <v>216</v>
      </c>
      <c r="B80" s="354"/>
      <c r="C80" s="354"/>
      <c r="D80" s="355"/>
      <c r="E80" s="185"/>
      <c r="F80" s="185"/>
      <c r="G80" s="356"/>
      <c r="H80" s="357"/>
      <c r="I80" s="251"/>
      <c r="J80" s="364" t="s">
        <v>217</v>
      </c>
    </row>
    <row r="81" spans="1:10">
      <c r="A81" s="190" t="s">
        <v>218</v>
      </c>
      <c r="B81" s="191"/>
      <c r="C81" s="191"/>
      <c r="D81" s="338"/>
      <c r="E81" s="191"/>
      <c r="F81" s="346"/>
      <c r="G81" s="249">
        <f>3.33/24*$B$10</f>
        <v>3.33</v>
      </c>
      <c r="H81" s="250">
        <f>G81/$H$11</f>
        <v>0.10015037593984963</v>
      </c>
      <c r="I81" s="251">
        <f ca="1">G81/$G$90</f>
        <v>1.5199830365182014E-2</v>
      </c>
      <c r="J81" s="163" t="s">
        <v>219</v>
      </c>
    </row>
    <row r="82" spans="1:10">
      <c r="A82" s="190" t="s">
        <v>220</v>
      </c>
      <c r="B82" s="191"/>
      <c r="C82" s="191"/>
      <c r="D82" s="338"/>
      <c r="E82" s="191"/>
      <c r="F82" s="191"/>
      <c r="G82" s="249">
        <f>1/24*$B$10</f>
        <v>1</v>
      </c>
      <c r="H82" s="250">
        <f>G82/$H$11</f>
        <v>3.007518796992481E-2</v>
      </c>
      <c r="I82" s="251">
        <f ca="1">G82/$G$90</f>
        <v>4.564513623177782E-3</v>
      </c>
    </row>
    <row r="83" spans="1:10" ht="22.5" thickBot="1">
      <c r="A83" s="359"/>
      <c r="B83" s="360"/>
      <c r="C83" s="360"/>
      <c r="D83" s="361"/>
      <c r="E83" s="362"/>
      <c r="F83" s="362"/>
      <c r="G83" s="249"/>
      <c r="H83" s="250"/>
      <c r="I83" s="251"/>
    </row>
    <row r="84" spans="1:10" ht="23.25" thickTop="1" thickBot="1">
      <c r="A84" s="349" t="s">
        <v>221</v>
      </c>
      <c r="B84" s="350"/>
      <c r="C84" s="350"/>
      <c r="D84" s="350"/>
      <c r="E84" s="350"/>
      <c r="F84" s="350"/>
      <c r="G84" s="271">
        <f>SUM(G81:G83)</f>
        <v>4.33</v>
      </c>
      <c r="H84" s="272">
        <f>SUM(H81:H83)</f>
        <v>0.13022556390977444</v>
      </c>
      <c r="I84" s="273">
        <f t="shared" ref="I84:I90" ca="1" si="24">G84/$G$90</f>
        <v>1.9764343988359797E-2</v>
      </c>
    </row>
    <row r="85" spans="1:10" ht="22.5" thickTop="1">
      <c r="A85" s="365" t="s">
        <v>38</v>
      </c>
      <c r="B85" s="366"/>
      <c r="C85" s="366"/>
      <c r="D85" s="366"/>
      <c r="E85" s="366"/>
      <c r="F85" s="366"/>
      <c r="G85" s="367">
        <f>SUM(G25,G64,G75,G79,G84,G69)</f>
        <v>212.11590620305611</v>
      </c>
      <c r="H85" s="368">
        <f>SUM(H25,H64,H75,H79,H84,H69)</f>
        <v>6.3794257504678518</v>
      </c>
      <c r="I85" s="369">
        <f t="shared" ca="1" si="24"/>
        <v>0.96820594355655021</v>
      </c>
    </row>
    <row r="86" spans="1:10">
      <c r="A86" s="370" t="s">
        <v>94</v>
      </c>
      <c r="B86" s="371">
        <v>0.02</v>
      </c>
      <c r="C86" s="371"/>
      <c r="D86" s="372" t="s">
        <v>222</v>
      </c>
      <c r="E86" s="373"/>
      <c r="F86" s="373"/>
      <c r="G86" s="249">
        <f>SUM(G25,G64)*B86</f>
        <v>1.3291184902838953</v>
      </c>
      <c r="H86" s="250">
        <f>G86/$H$11</f>
        <v>3.9973488429590837E-2</v>
      </c>
      <c r="I86" s="251">
        <f t="shared" ca="1" si="24"/>
        <v>6.0667794557183264E-3</v>
      </c>
    </row>
    <row r="87" spans="1:10">
      <c r="A87" s="370" t="s">
        <v>94</v>
      </c>
      <c r="B87" s="371">
        <v>0.02</v>
      </c>
      <c r="C87" s="371"/>
      <c r="D87" s="374" t="s">
        <v>223</v>
      </c>
      <c r="E87" s="373"/>
      <c r="F87" s="373"/>
      <c r="G87" s="249">
        <f>SUM(G69)*B87</f>
        <v>1.0768800000000003</v>
      </c>
      <c r="H87" s="250">
        <f>G87/$H$11</f>
        <v>3.2387368421052637E-2</v>
      </c>
      <c r="I87" s="251">
        <f t="shared" ca="1" si="24"/>
        <v>4.9154334305276911E-3</v>
      </c>
    </row>
    <row r="88" spans="1:10">
      <c r="A88" s="370" t="s">
        <v>94</v>
      </c>
      <c r="B88" s="371">
        <v>0.01</v>
      </c>
      <c r="C88" s="371"/>
      <c r="D88" s="374" t="s">
        <v>224</v>
      </c>
      <c r="E88" s="373"/>
      <c r="F88" s="373"/>
      <c r="G88" s="249">
        <f>SUM(G75)*B88</f>
        <v>0.17785981688861316</v>
      </c>
      <c r="H88" s="250">
        <f>G88/$H$11</f>
        <v>5.3491674252214485E-3</v>
      </c>
      <c r="I88" s="251">
        <f t="shared" ca="1" si="24"/>
        <v>8.1184355720398046E-4</v>
      </c>
    </row>
    <row r="89" spans="1:10">
      <c r="A89" s="375" t="s">
        <v>39</v>
      </c>
      <c r="B89" s="376">
        <v>0.02</v>
      </c>
      <c r="C89" s="372"/>
      <c r="D89" s="372" t="s">
        <v>225</v>
      </c>
      <c r="E89" s="377"/>
      <c r="F89" s="377"/>
      <c r="G89" s="249">
        <f ca="1">G90*B89</f>
        <v>4.3816278471475218</v>
      </c>
      <c r="H89" s="250">
        <f ca="1">G89/$H$11</f>
        <v>0.1317782811172187</v>
      </c>
      <c r="I89" s="251">
        <f t="shared" ca="1" si="24"/>
        <v>0.02</v>
      </c>
    </row>
    <row r="90" spans="1:10">
      <c r="A90" s="378" t="s">
        <v>40</v>
      </c>
      <c r="B90" s="379"/>
      <c r="C90" s="379"/>
      <c r="D90" s="380"/>
      <c r="E90" s="379"/>
      <c r="F90" s="379"/>
      <c r="G90" s="381">
        <f ca="1">SUM(G85:G89)</f>
        <v>219.0813923573761</v>
      </c>
      <c r="H90" s="382">
        <f ca="1">SUM(H85:H89)</f>
        <v>6.5889140558609354</v>
      </c>
      <c r="I90" s="383">
        <f t="shared" ca="1" si="24"/>
        <v>1</v>
      </c>
    </row>
    <row r="91" spans="1:10">
      <c r="A91" s="370" t="s">
        <v>41</v>
      </c>
      <c r="B91" s="373" t="s">
        <v>226</v>
      </c>
      <c r="C91" s="373"/>
      <c r="D91" s="374"/>
      <c r="E91" s="373"/>
      <c r="F91" s="373"/>
      <c r="G91" s="384"/>
      <c r="H91" s="384"/>
      <c r="I91" s="385"/>
    </row>
    <row r="92" spans="1:10">
      <c r="A92" s="370"/>
      <c r="B92" s="373"/>
      <c r="C92" s="373"/>
      <c r="D92" s="374"/>
      <c r="E92" s="373"/>
      <c r="F92" s="373"/>
      <c r="G92" s="384"/>
      <c r="H92" s="384"/>
      <c r="I92" s="385"/>
    </row>
    <row r="93" spans="1:10">
      <c r="A93" s="370"/>
      <c r="B93" s="373"/>
      <c r="C93" s="373"/>
      <c r="D93" s="374"/>
      <c r="E93" s="373"/>
      <c r="F93" s="373"/>
      <c r="G93" s="384"/>
      <c r="H93" s="384"/>
      <c r="I93" s="385"/>
    </row>
    <row r="94" spans="1:10">
      <c r="A94" s="373"/>
      <c r="B94" s="373"/>
      <c r="C94" s="373"/>
      <c r="D94" s="374"/>
      <c r="E94" s="373"/>
      <c r="F94" s="373"/>
      <c r="G94" s="384"/>
      <c r="H94" s="384"/>
      <c r="I94" s="385"/>
    </row>
    <row r="95" spans="1:10" ht="22.5" thickBot="1">
      <c r="A95" s="191"/>
      <c r="B95" s="191"/>
      <c r="C95" s="191"/>
      <c r="D95" s="338"/>
      <c r="E95" s="191"/>
      <c r="F95" s="191"/>
      <c r="G95" s="346"/>
      <c r="H95" s="346"/>
      <c r="I95" s="346"/>
    </row>
    <row r="96" spans="1:10" ht="24" thickBot="1">
      <c r="A96" s="386" t="s">
        <v>42</v>
      </c>
      <c r="B96" s="387"/>
      <c r="C96" s="387"/>
      <c r="D96" s="387"/>
      <c r="E96" s="387"/>
      <c r="F96" s="387"/>
      <c r="G96" s="388" t="s">
        <v>227</v>
      </c>
      <c r="H96" s="389"/>
      <c r="I96" s="390"/>
    </row>
    <row r="97" spans="1:9">
      <c r="A97" s="191"/>
      <c r="B97" s="191"/>
      <c r="C97" s="191"/>
      <c r="D97" s="338"/>
      <c r="E97" s="191"/>
      <c r="F97" s="191"/>
      <c r="G97" s="346"/>
      <c r="H97" s="346"/>
      <c r="I97" s="346"/>
    </row>
    <row r="98" spans="1:9">
      <c r="A98" s="191"/>
      <c r="B98" s="191"/>
      <c r="C98" s="191"/>
      <c r="D98" s="338"/>
      <c r="E98" s="191"/>
      <c r="F98" s="191"/>
      <c r="G98" s="346"/>
      <c r="H98" s="346"/>
      <c r="I98" s="346"/>
    </row>
    <row r="99" spans="1:9">
      <c r="A99" s="191"/>
      <c r="B99" s="191"/>
      <c r="C99" s="191"/>
      <c r="D99" s="338"/>
      <c r="E99" s="191"/>
      <c r="F99" s="191"/>
      <c r="G99" s="346"/>
      <c r="H99" s="346"/>
      <c r="I99" s="346"/>
    </row>
    <row r="100" spans="1:9">
      <c r="A100" s="191"/>
      <c r="B100" s="191"/>
      <c r="C100" s="191"/>
      <c r="D100" s="338"/>
      <c r="E100" s="191"/>
      <c r="F100" s="191"/>
      <c r="G100" s="346"/>
      <c r="H100" s="346"/>
      <c r="I100" s="346"/>
    </row>
    <row r="101" spans="1:9">
      <c r="A101" s="391" t="s">
        <v>43</v>
      </c>
      <c r="B101" s="191"/>
      <c r="C101" s="191"/>
      <c r="D101" s="392"/>
      <c r="E101" s="208"/>
      <c r="F101" s="391"/>
      <c r="G101" s="391" t="s">
        <v>44</v>
      </c>
      <c r="H101" s="393"/>
      <c r="I101" s="393"/>
    </row>
    <row r="102" spans="1:9">
      <c r="A102" s="196"/>
      <c r="B102" s="196"/>
      <c r="C102" s="196"/>
      <c r="D102" s="394"/>
      <c r="E102" s="196"/>
      <c r="F102" s="196"/>
      <c r="G102" s="196"/>
      <c r="H102" s="395"/>
      <c r="I102" s="395"/>
    </row>
    <row r="103" spans="1:9">
      <c r="A103" s="196"/>
      <c r="B103" s="196"/>
      <c r="C103" s="196"/>
      <c r="D103" s="394"/>
      <c r="E103" s="196"/>
      <c r="F103" s="196"/>
      <c r="G103" s="196"/>
      <c r="H103" s="395"/>
      <c r="I103" s="395"/>
    </row>
    <row r="104" spans="1:9">
      <c r="A104" s="196"/>
      <c r="B104" s="196"/>
      <c r="C104" s="196"/>
      <c r="D104" s="394"/>
      <c r="E104" s="196"/>
      <c r="F104" s="196"/>
      <c r="G104" s="196"/>
      <c r="H104" s="395"/>
      <c r="I104" s="395"/>
    </row>
    <row r="105" spans="1:9">
      <c r="A105" s="196"/>
      <c r="B105" s="196"/>
      <c r="C105" s="196"/>
      <c r="D105" s="394"/>
      <c r="E105" s="196"/>
      <c r="F105" s="196"/>
      <c r="G105" s="196"/>
      <c r="H105" s="395"/>
      <c r="I105" s="395"/>
    </row>
    <row r="106" spans="1:9">
      <c r="A106" s="196"/>
      <c r="B106" s="196"/>
      <c r="C106" s="196"/>
      <c r="D106" s="394"/>
      <c r="E106" s="196"/>
      <c r="F106" s="196"/>
      <c r="G106" s="196"/>
      <c r="H106" s="395"/>
      <c r="I106" s="395"/>
    </row>
    <row r="107" spans="1:9">
      <c r="A107" s="196"/>
      <c r="B107" s="196"/>
      <c r="C107" s="196"/>
      <c r="D107" s="394"/>
      <c r="E107" s="196"/>
      <c r="F107" s="196"/>
      <c r="G107" s="196"/>
      <c r="H107" s="395"/>
      <c r="I107" s="395"/>
    </row>
    <row r="108" spans="1:9">
      <c r="A108" s="196"/>
      <c r="B108" s="196"/>
      <c r="C108" s="196"/>
      <c r="D108" s="394"/>
      <c r="E108" s="196"/>
      <c r="F108" s="196"/>
      <c r="G108" s="196"/>
      <c r="H108" s="395"/>
      <c r="I108" s="395"/>
    </row>
    <row r="109" spans="1:9">
      <c r="A109" s="196"/>
      <c r="B109" s="196"/>
      <c r="C109" s="196"/>
      <c r="D109" s="394"/>
      <c r="E109" s="196"/>
      <c r="F109" s="196"/>
      <c r="G109" s="196"/>
      <c r="H109" s="395"/>
      <c r="I109" s="395"/>
    </row>
    <row r="110" spans="1:9">
      <c r="A110" s="196"/>
      <c r="B110" s="196"/>
      <c r="C110" s="196"/>
      <c r="D110" s="394"/>
      <c r="E110" s="196"/>
      <c r="F110" s="196"/>
      <c r="G110" s="196"/>
      <c r="H110" s="395"/>
      <c r="I110" s="395"/>
    </row>
    <row r="111" spans="1:9">
      <c r="A111" s="196"/>
      <c r="B111" s="196"/>
      <c r="C111" s="196"/>
      <c r="D111" s="394"/>
      <c r="E111" s="196"/>
      <c r="F111" s="196"/>
      <c r="G111" s="196"/>
      <c r="H111" s="395"/>
      <c r="I111" s="395"/>
    </row>
    <row r="112" spans="1:9">
      <c r="A112" s="196"/>
      <c r="B112" s="196"/>
      <c r="C112" s="196"/>
      <c r="D112" s="394"/>
      <c r="E112" s="196"/>
      <c r="F112" s="196"/>
      <c r="G112" s="196"/>
      <c r="H112" s="395"/>
      <c r="I112" s="395"/>
    </row>
    <row r="113" spans="1:9">
      <c r="A113" s="196"/>
      <c r="B113" s="196"/>
      <c r="C113" s="196"/>
      <c r="D113" s="394"/>
      <c r="E113" s="196"/>
      <c r="F113" s="196"/>
      <c r="G113" s="196"/>
      <c r="H113" s="395"/>
      <c r="I113" s="395"/>
    </row>
    <row r="114" spans="1:9">
      <c r="A114" s="196"/>
      <c r="B114" s="196"/>
      <c r="C114" s="196"/>
      <c r="D114" s="394"/>
      <c r="E114" s="196"/>
      <c r="F114" s="196"/>
      <c r="G114" s="196"/>
      <c r="H114" s="395"/>
      <c r="I114" s="395"/>
    </row>
    <row r="115" spans="1:9">
      <c r="A115" s="196"/>
      <c r="B115" s="196"/>
      <c r="C115" s="196"/>
      <c r="D115" s="394"/>
      <c r="E115" s="196"/>
      <c r="F115" s="196"/>
      <c r="G115" s="196"/>
      <c r="H115" s="395"/>
      <c r="I115" s="395"/>
    </row>
  </sheetData>
  <mergeCells count="13">
    <mergeCell ref="G96:I96"/>
    <mergeCell ref="A69:F69"/>
    <mergeCell ref="A75:F75"/>
    <mergeCell ref="A79:F79"/>
    <mergeCell ref="A84:F84"/>
    <mergeCell ref="A85:F85"/>
    <mergeCell ref="A96:F96"/>
    <mergeCell ref="A1:G1"/>
    <mergeCell ref="R1:S1"/>
    <mergeCell ref="A3:I3"/>
    <mergeCell ref="G12:I12"/>
    <mergeCell ref="A25:F25"/>
    <mergeCell ref="A64:F64"/>
  </mergeCells>
  <pageMargins left="0.51181102362204722" right="0.23622047244094491" top="0.78740157480314965" bottom="0.78740157480314965" header="0.51181102362204722" footer="0.51181102362204722"/>
  <pageSetup paperSize="9" scale="6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shapeId="24577" r:id="rId4">
          <objectPr defaultSize="0" autoPict="0" r:id="rId5">
            <anchor moveWithCells="1" sizeWithCells="1">
              <from>
                <xdr:col>18</xdr:col>
                <xdr:colOff>0</xdr:colOff>
                <xdr:row>11</xdr:row>
                <xdr:rowOff>219075</xdr:rowOff>
              </from>
              <to>
                <xdr:col>18</xdr:col>
                <xdr:colOff>0</xdr:colOff>
                <xdr:row>12</xdr:row>
                <xdr:rowOff>0</xdr:rowOff>
              </to>
            </anchor>
          </objectPr>
        </oleObject>
      </mc:Choice>
      <mc:Fallback>
        <oleObject shapeId="2457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FF"/>
    <pageSetUpPr fitToPage="1"/>
  </sheetPr>
  <dimension ref="A1:I106"/>
  <sheetViews>
    <sheetView showGridLines="0" zoomScaleNormal="100" workbookViewId="0">
      <selection activeCell="F56" sqref="F56"/>
    </sheetView>
  </sheetViews>
  <sheetFormatPr defaultColWidth="9" defaultRowHeight="21"/>
  <cols>
    <col min="1" max="1" width="27.7109375" customWidth="1"/>
    <col min="2" max="2" width="15.42578125" customWidth="1"/>
    <col min="3" max="3" width="11" style="3" customWidth="1"/>
    <col min="4" max="4" width="10.42578125" customWidth="1"/>
    <col min="5" max="5" width="12.5703125" customWidth="1"/>
    <col min="6" max="6" width="10.42578125" customWidth="1"/>
    <col min="7" max="7" width="14.140625" customWidth="1"/>
    <col min="8" max="8" width="14.140625" style="82" customWidth="1"/>
    <col min="9" max="9" width="7.28515625" style="82" customWidth="1"/>
    <col min="10" max="16384" width="9" style="2"/>
  </cols>
  <sheetData>
    <row r="1" spans="1:9" ht="31.5">
      <c r="A1" s="150" t="s">
        <v>0</v>
      </c>
      <c r="B1" s="150"/>
      <c r="C1" s="150"/>
      <c r="D1" s="150"/>
      <c r="E1" s="150"/>
      <c r="F1" s="150"/>
      <c r="G1" s="150"/>
      <c r="H1" s="92"/>
      <c r="I1" s="92" t="s">
        <v>1</v>
      </c>
    </row>
    <row r="2" spans="1:9">
      <c r="A2" s="93"/>
      <c r="B2" s="93"/>
      <c r="C2" s="94"/>
      <c r="D2" s="93"/>
      <c r="E2" s="93"/>
      <c r="F2" s="93"/>
      <c r="G2" s="93"/>
      <c r="H2" s="95" t="s">
        <v>2</v>
      </c>
      <c r="I2" s="96" t="s">
        <v>3</v>
      </c>
    </row>
    <row r="3" spans="1:9" ht="26.25">
      <c r="A3" s="151" t="s">
        <v>4</v>
      </c>
      <c r="B3" s="151"/>
      <c r="C3" s="151"/>
      <c r="D3" s="151"/>
      <c r="E3" s="151"/>
      <c r="F3" s="151"/>
      <c r="G3" s="151"/>
      <c r="H3" s="151"/>
      <c r="I3" s="151"/>
    </row>
    <row r="4" spans="1:9">
      <c r="A4" s="4" t="s">
        <v>64</v>
      </c>
      <c r="B4" s="5" t="s">
        <v>95</v>
      </c>
      <c r="C4" s="5"/>
      <c r="D4" s="5"/>
      <c r="E4" s="97" t="s">
        <v>59</v>
      </c>
      <c r="F4" s="4" t="s">
        <v>5</v>
      </c>
      <c r="G4" s="83" t="s">
        <v>77</v>
      </c>
      <c r="H4" s="6"/>
      <c r="I4" s="7"/>
    </row>
    <row r="5" spans="1:9">
      <c r="A5" s="8" t="s">
        <v>65</v>
      </c>
      <c r="B5" s="9" t="s">
        <v>57</v>
      </c>
      <c r="C5" s="9"/>
      <c r="D5" s="9"/>
      <c r="E5" s="10"/>
      <c r="F5" s="8" t="s">
        <v>6</v>
      </c>
      <c r="G5" s="9" t="s">
        <v>66</v>
      </c>
      <c r="H5" s="11"/>
      <c r="I5" s="12"/>
    </row>
    <row r="6" spans="1:9">
      <c r="A6" s="8" t="s">
        <v>7</v>
      </c>
      <c r="B6" s="9" t="str">
        <f>B5</f>
        <v>Chicken Dinner with Vegetables in gravy</v>
      </c>
      <c r="C6" s="13"/>
      <c r="D6" s="9"/>
      <c r="E6" s="14"/>
      <c r="F6" s="8" t="s">
        <v>8</v>
      </c>
      <c r="G6" s="9" t="s">
        <v>67</v>
      </c>
      <c r="H6" s="11"/>
      <c r="I6" s="12"/>
    </row>
    <row r="7" spans="1:9">
      <c r="A7" s="8" t="s">
        <v>9</v>
      </c>
      <c r="B7" s="88" t="s">
        <v>58</v>
      </c>
      <c r="C7" s="15"/>
      <c r="D7" s="9"/>
      <c r="E7" s="14"/>
      <c r="F7" s="8" t="s">
        <v>10</v>
      </c>
      <c r="G7" s="9" t="s">
        <v>68</v>
      </c>
      <c r="H7" s="11"/>
      <c r="I7" s="12"/>
    </row>
    <row r="8" spans="1:9">
      <c r="A8" s="8" t="s">
        <v>11</v>
      </c>
      <c r="B8" s="84">
        <v>85</v>
      </c>
      <c r="C8" s="15"/>
      <c r="D8" s="88"/>
      <c r="E8" s="88"/>
      <c r="F8" s="8" t="s">
        <v>69</v>
      </c>
      <c r="G8" s="98" t="s">
        <v>70</v>
      </c>
      <c r="H8" s="11"/>
      <c r="I8" s="12"/>
    </row>
    <row r="9" spans="1:9">
      <c r="A9" s="8" t="s">
        <v>12</v>
      </c>
      <c r="B9" s="99" t="s">
        <v>71</v>
      </c>
      <c r="C9" s="9"/>
      <c r="D9" s="88"/>
      <c r="E9" s="100"/>
      <c r="F9" s="9" t="s">
        <v>13</v>
      </c>
      <c r="G9" s="9" t="s">
        <v>78</v>
      </c>
      <c r="H9" s="11"/>
      <c r="I9" s="12"/>
    </row>
    <row r="10" spans="1:9">
      <c r="A10" s="8" t="s">
        <v>14</v>
      </c>
      <c r="B10" s="85">
        <v>14</v>
      </c>
      <c r="C10" s="9"/>
      <c r="D10" s="9"/>
      <c r="E10" s="14"/>
      <c r="F10" s="8" t="s">
        <v>15</v>
      </c>
      <c r="G10" s="9" t="s">
        <v>97</v>
      </c>
      <c r="H10" s="11"/>
      <c r="I10" s="12"/>
    </row>
    <row r="11" spans="1:9">
      <c r="A11" s="16" t="s">
        <v>16</v>
      </c>
      <c r="B11" s="86"/>
      <c r="C11" s="17" t="s">
        <v>17</v>
      </c>
      <c r="D11" s="18"/>
      <c r="E11" s="101" t="s">
        <v>18</v>
      </c>
      <c r="F11" s="19" t="s">
        <v>19</v>
      </c>
      <c r="G11" s="20"/>
      <c r="H11" s="21">
        <v>35</v>
      </c>
      <c r="I11" s="22" t="s">
        <v>20</v>
      </c>
    </row>
    <row r="12" spans="1:9">
      <c r="A12" s="152" t="s">
        <v>21</v>
      </c>
      <c r="B12" s="153"/>
      <c r="C12" s="102" t="s">
        <v>22</v>
      </c>
      <c r="D12" s="103" t="s">
        <v>23</v>
      </c>
      <c r="E12" s="23" t="s">
        <v>24</v>
      </c>
      <c r="F12" s="103" t="s">
        <v>25</v>
      </c>
      <c r="G12" s="154" t="s">
        <v>26</v>
      </c>
      <c r="H12" s="155"/>
      <c r="I12" s="156"/>
    </row>
    <row r="13" spans="1:9">
      <c r="A13" s="24"/>
      <c r="B13" s="25"/>
      <c r="C13" s="102" t="s">
        <v>27</v>
      </c>
      <c r="D13" s="103" t="s">
        <v>28</v>
      </c>
      <c r="E13" s="23"/>
      <c r="F13" s="103" t="s">
        <v>29</v>
      </c>
      <c r="G13" s="104" t="s">
        <v>30</v>
      </c>
      <c r="H13" s="105" t="s">
        <v>31</v>
      </c>
      <c r="I13" s="106" t="s">
        <v>32</v>
      </c>
    </row>
    <row r="14" spans="1:9">
      <c r="A14" s="26" t="s">
        <v>33</v>
      </c>
      <c r="B14" s="107"/>
      <c r="C14" s="89"/>
      <c r="D14" s="108"/>
      <c r="E14" s="109"/>
      <c r="F14" s="108"/>
      <c r="G14" s="110"/>
      <c r="H14" s="109"/>
      <c r="I14" s="111"/>
    </row>
    <row r="15" spans="1:9">
      <c r="A15" s="112" t="s">
        <v>79</v>
      </c>
      <c r="B15" s="113"/>
      <c r="C15" s="89"/>
      <c r="D15" s="28"/>
      <c r="E15" s="89"/>
      <c r="F15" s="109"/>
      <c r="G15" s="41"/>
      <c r="H15" s="42"/>
      <c r="I15" s="30"/>
    </row>
    <row r="16" spans="1:9">
      <c r="A16" s="112" t="s">
        <v>53</v>
      </c>
      <c r="B16" s="113" t="s">
        <v>54</v>
      </c>
      <c r="C16" s="89">
        <v>17.82</v>
      </c>
      <c r="D16" s="28">
        <v>85</v>
      </c>
      <c r="E16" s="89">
        <f>C16/1000*$B$10/D16%</f>
        <v>0.29350588235294117</v>
      </c>
      <c r="F16" s="109">
        <v>16.700723155313948</v>
      </c>
      <c r="G16" s="41">
        <f>F16*E16</f>
        <v>4.9017604856326162</v>
      </c>
      <c r="H16" s="42">
        <f>G16/$H$11</f>
        <v>0.14005029958950332</v>
      </c>
      <c r="I16" s="30">
        <f ca="1">G16/$G$78</f>
        <v>3.2346286640788424E-2</v>
      </c>
    </row>
    <row r="17" spans="1:9">
      <c r="A17" s="112" t="s">
        <v>55</v>
      </c>
      <c r="B17" s="113" t="s">
        <v>56</v>
      </c>
      <c r="C17" s="89">
        <v>5.1480000000000006</v>
      </c>
      <c r="D17" s="28">
        <v>85</v>
      </c>
      <c r="E17" s="89">
        <f>C17/1000*$B$10/D17%</f>
        <v>8.4790588235294131E-2</v>
      </c>
      <c r="F17" s="109">
        <f>0.5*H$11</f>
        <v>17.5</v>
      </c>
      <c r="G17" s="41">
        <f>F17*E17</f>
        <v>1.4838352941176474</v>
      </c>
      <c r="H17" s="42">
        <f>G17/$H$11</f>
        <v>4.2395294117647066E-2</v>
      </c>
      <c r="I17" s="30">
        <f ca="1">G17/$G$78</f>
        <v>9.7916986951788257E-3</v>
      </c>
    </row>
    <row r="18" spans="1:9">
      <c r="A18" s="112" t="s">
        <v>45</v>
      </c>
      <c r="B18" s="113" t="s">
        <v>46</v>
      </c>
      <c r="C18" s="89">
        <v>0.88</v>
      </c>
      <c r="D18" s="28">
        <v>120</v>
      </c>
      <c r="E18" s="89">
        <f>C18/1000*$B$10/D18%</f>
        <v>1.0266666666666669E-2</v>
      </c>
      <c r="F18" s="109">
        <v>14.000286496979438</v>
      </c>
      <c r="G18" s="41">
        <f>F18*E18</f>
        <v>0.14373627470232225</v>
      </c>
      <c r="H18" s="42">
        <f>G18/$H$11</f>
        <v>4.1067507057806355E-3</v>
      </c>
      <c r="I18" s="30">
        <f ca="1">G18/$G$78</f>
        <v>9.4850304412627431E-4</v>
      </c>
    </row>
    <row r="19" spans="1:9">
      <c r="A19" s="112" t="s">
        <v>47</v>
      </c>
      <c r="B19" s="113" t="s">
        <v>48</v>
      </c>
      <c r="C19" s="89">
        <v>0.88</v>
      </c>
      <c r="D19" s="28">
        <v>100</v>
      </c>
      <c r="E19" s="89">
        <f>C19/1000*$B$10/D19%</f>
        <v>1.2320000000000001E-2</v>
      </c>
      <c r="F19" s="109">
        <v>53.025105726431612</v>
      </c>
      <c r="G19" s="41">
        <f>F19*E19</f>
        <v>0.65326930254963755</v>
      </c>
      <c r="H19" s="42">
        <f>G19/$H$11</f>
        <v>1.8664837215703931E-2</v>
      </c>
      <c r="I19" s="30">
        <f ca="1">G19/$G$78</f>
        <v>4.3108667132623858E-3</v>
      </c>
    </row>
    <row r="20" spans="1:9">
      <c r="A20" s="112" t="s">
        <v>49</v>
      </c>
      <c r="B20" s="113" t="s">
        <v>50</v>
      </c>
      <c r="C20" s="89">
        <v>1.76</v>
      </c>
      <c r="D20" s="28">
        <v>98</v>
      </c>
      <c r="E20" s="89">
        <f>C20/1000*$B$10/D20%</f>
        <v>2.5142857142857144E-2</v>
      </c>
      <c r="F20" s="109">
        <v>31.588210185892819</v>
      </c>
      <c r="G20" s="41">
        <f>F20*E20</f>
        <v>0.79421785610244811</v>
      </c>
      <c r="H20" s="42">
        <f>G20/$H$11</f>
        <v>2.2691938745784231E-2</v>
      </c>
      <c r="I20" s="30">
        <f ca="1">G20/$G$78</f>
        <v>5.2409738305291172E-3</v>
      </c>
    </row>
    <row r="21" spans="1:9">
      <c r="A21" s="114"/>
      <c r="B21" s="115"/>
      <c r="C21" s="89"/>
      <c r="D21" s="28"/>
      <c r="E21" s="89"/>
      <c r="F21" s="109"/>
      <c r="G21" s="41"/>
      <c r="H21" s="42"/>
      <c r="I21" s="30"/>
    </row>
    <row r="22" spans="1:9">
      <c r="A22" s="114"/>
      <c r="B22" s="115"/>
      <c r="C22" s="89"/>
      <c r="D22" s="28"/>
      <c r="E22" s="89"/>
      <c r="F22" s="109"/>
      <c r="G22" s="41"/>
      <c r="H22" s="42"/>
      <c r="I22" s="30"/>
    </row>
    <row r="23" spans="1:9">
      <c r="A23" s="114"/>
      <c r="B23" s="115"/>
      <c r="C23" s="89"/>
      <c r="D23" s="28"/>
      <c r="E23" s="89"/>
      <c r="F23" s="109"/>
      <c r="G23" s="41"/>
      <c r="H23" s="42"/>
      <c r="I23" s="30"/>
    </row>
    <row r="24" spans="1:9" ht="21.75" thickBot="1">
      <c r="A24" s="112"/>
      <c r="B24" s="115"/>
      <c r="C24" s="89"/>
      <c r="D24" s="28"/>
      <c r="E24" s="89"/>
      <c r="F24" s="109"/>
      <c r="G24" s="41"/>
      <c r="H24" s="42"/>
      <c r="I24" s="30"/>
    </row>
    <row r="25" spans="1:9" ht="22.5" thickTop="1" thickBot="1">
      <c r="A25" s="147" t="s">
        <v>34</v>
      </c>
      <c r="B25" s="148"/>
      <c r="C25" s="148"/>
      <c r="D25" s="148"/>
      <c r="E25" s="148"/>
      <c r="F25" s="149"/>
      <c r="G25" s="31">
        <f>SUM(G15:G24)</f>
        <v>7.9768192131046716</v>
      </c>
      <c r="H25" s="32">
        <f>SUM(H15:H24)</f>
        <v>0.22790912037441918</v>
      </c>
      <c r="I25" s="33">
        <f ca="1">G25/$G$78</f>
        <v>5.2638328923885029E-2</v>
      </c>
    </row>
    <row r="26" spans="1:9" ht="21.75" thickTop="1">
      <c r="A26" s="19" t="s">
        <v>35</v>
      </c>
      <c r="B26" s="116"/>
      <c r="C26" s="34"/>
      <c r="D26" s="35"/>
      <c r="E26" s="36"/>
      <c r="F26" s="35"/>
      <c r="G26" s="37"/>
      <c r="H26" s="38"/>
      <c r="I26" s="39"/>
    </row>
    <row r="27" spans="1:9">
      <c r="A27" s="112" t="s">
        <v>52</v>
      </c>
      <c r="B27" s="113"/>
      <c r="C27" s="89"/>
      <c r="D27" s="28"/>
      <c r="E27" s="89"/>
      <c r="F27" s="109"/>
      <c r="G27" s="41">
        <v>23.414945156585421</v>
      </c>
      <c r="H27" s="42">
        <f>G27/$H$11</f>
        <v>0.66899843304529771</v>
      </c>
      <c r="I27" s="30">
        <f t="shared" ref="I27:I28" ca="1" si="0">G27/$G$78</f>
        <v>0.15451316520527728</v>
      </c>
    </row>
    <row r="28" spans="1:9">
      <c r="A28" s="112" t="s">
        <v>51</v>
      </c>
      <c r="B28" s="113"/>
      <c r="C28" s="89"/>
      <c r="D28" s="28"/>
      <c r="E28" s="89"/>
      <c r="F28" s="109"/>
      <c r="G28" s="41">
        <v>1.2471517662857146</v>
      </c>
      <c r="H28" s="42">
        <f t="shared" ref="H28" si="1">G28/$H$11</f>
        <v>3.5632907608163275E-2</v>
      </c>
      <c r="I28" s="30">
        <f t="shared" ca="1" si="0"/>
        <v>8.2298448965600502E-3</v>
      </c>
    </row>
    <row r="29" spans="1:9">
      <c r="A29" s="112"/>
      <c r="B29" s="113"/>
      <c r="C29" s="89"/>
      <c r="D29" s="28"/>
      <c r="E29" s="89"/>
      <c r="F29" s="109"/>
      <c r="G29" s="41"/>
      <c r="H29" s="42"/>
      <c r="I29" s="30"/>
    </row>
    <row r="30" spans="1:9">
      <c r="A30" s="112"/>
      <c r="B30" s="113"/>
      <c r="C30" s="89"/>
      <c r="D30" s="28"/>
      <c r="E30" s="89"/>
      <c r="F30" s="109"/>
      <c r="G30" s="41"/>
      <c r="H30" s="42"/>
      <c r="I30" s="30"/>
    </row>
    <row r="31" spans="1:9">
      <c r="A31" s="112"/>
      <c r="B31" s="113"/>
      <c r="C31" s="89"/>
      <c r="D31" s="28"/>
      <c r="E31" s="89"/>
      <c r="F31" s="109"/>
      <c r="G31" s="41"/>
      <c r="H31" s="42"/>
      <c r="I31" s="30"/>
    </row>
    <row r="32" spans="1:9">
      <c r="A32" s="112"/>
      <c r="B32" s="113"/>
      <c r="C32" s="89"/>
      <c r="D32" s="28"/>
      <c r="E32" s="89"/>
      <c r="F32" s="109"/>
      <c r="G32" s="41"/>
      <c r="H32" s="42"/>
      <c r="I32" s="30"/>
    </row>
    <row r="33" spans="1:9" hidden="1">
      <c r="A33" s="112"/>
      <c r="B33" s="113"/>
      <c r="C33" s="89"/>
      <c r="D33" s="28"/>
      <c r="E33" s="89"/>
      <c r="F33" s="109"/>
      <c r="G33" s="41"/>
      <c r="H33" s="42"/>
      <c r="I33" s="30"/>
    </row>
    <row r="34" spans="1:9" hidden="1">
      <c r="A34" s="112"/>
      <c r="B34" s="113"/>
      <c r="C34" s="89"/>
      <c r="D34" s="28"/>
      <c r="E34" s="89"/>
      <c r="F34" s="109"/>
      <c r="G34" s="41"/>
      <c r="H34" s="42"/>
      <c r="I34" s="30"/>
    </row>
    <row r="35" spans="1:9" hidden="1">
      <c r="A35" s="112"/>
      <c r="B35" s="113"/>
      <c r="C35" s="89"/>
      <c r="D35" s="28"/>
      <c r="E35" s="89"/>
      <c r="F35" s="109"/>
      <c r="G35" s="41"/>
      <c r="H35" s="42"/>
      <c r="I35" s="30"/>
    </row>
    <row r="36" spans="1:9" hidden="1">
      <c r="A36" s="112"/>
      <c r="B36" s="113"/>
      <c r="C36" s="89"/>
      <c r="D36" s="28"/>
      <c r="E36" s="89"/>
      <c r="F36" s="109"/>
      <c r="G36" s="41"/>
      <c r="H36" s="42"/>
      <c r="I36" s="30"/>
    </row>
    <row r="37" spans="1:9" hidden="1">
      <c r="A37" s="112"/>
      <c r="B37" s="113"/>
      <c r="C37" s="89"/>
      <c r="D37" s="28"/>
      <c r="E37" s="89"/>
      <c r="F37" s="109"/>
      <c r="G37" s="41"/>
      <c r="H37" s="42"/>
      <c r="I37" s="30"/>
    </row>
    <row r="38" spans="1:9" hidden="1">
      <c r="A38" s="112"/>
      <c r="B38" s="113"/>
      <c r="C38" s="89"/>
      <c r="D38" s="28"/>
      <c r="E38" s="89"/>
      <c r="F38" s="109"/>
      <c r="G38" s="41"/>
      <c r="H38" s="42"/>
      <c r="I38" s="30"/>
    </row>
    <row r="39" spans="1:9" hidden="1">
      <c r="A39" s="112"/>
      <c r="B39" s="113"/>
      <c r="C39" s="89"/>
      <c r="D39" s="28"/>
      <c r="E39" s="89"/>
      <c r="F39" s="109"/>
      <c r="G39" s="41"/>
      <c r="H39" s="42"/>
      <c r="I39" s="30"/>
    </row>
    <row r="40" spans="1:9" hidden="1">
      <c r="A40" s="112"/>
      <c r="B40" s="113"/>
      <c r="C40" s="89"/>
      <c r="D40" s="28"/>
      <c r="E40" s="89"/>
      <c r="F40" s="109"/>
      <c r="G40" s="41"/>
      <c r="H40" s="42"/>
      <c r="I40" s="30"/>
    </row>
    <row r="41" spans="1:9" s="1" customFormat="1" hidden="1">
      <c r="A41" s="112"/>
      <c r="B41" s="113"/>
      <c r="C41" s="89"/>
      <c r="D41" s="28"/>
      <c r="E41" s="89"/>
      <c r="F41" s="109"/>
      <c r="G41" s="41"/>
      <c r="H41" s="42"/>
      <c r="I41" s="30"/>
    </row>
    <row r="42" spans="1:9" hidden="1">
      <c r="A42" s="112"/>
      <c r="B42" s="113"/>
      <c r="C42" s="89"/>
      <c r="D42" s="28"/>
      <c r="E42" s="89"/>
      <c r="F42" s="109"/>
      <c r="G42" s="41"/>
      <c r="H42" s="42"/>
      <c r="I42" s="30"/>
    </row>
    <row r="43" spans="1:9" hidden="1">
      <c r="A43" s="112"/>
      <c r="B43" s="113"/>
      <c r="C43" s="89"/>
      <c r="D43" s="28"/>
      <c r="E43" s="89"/>
      <c r="F43" s="109"/>
      <c r="G43" s="41"/>
      <c r="H43" s="42"/>
      <c r="I43" s="30"/>
    </row>
    <row r="44" spans="1:9" hidden="1">
      <c r="A44" s="112"/>
      <c r="B44" s="113"/>
      <c r="C44" s="89"/>
      <c r="D44" s="28"/>
      <c r="E44" s="89"/>
      <c r="F44" s="109"/>
      <c r="G44" s="41"/>
      <c r="H44" s="42"/>
      <c r="I44" s="30"/>
    </row>
    <row r="45" spans="1:9" hidden="1">
      <c r="A45" s="112"/>
      <c r="B45" s="113"/>
      <c r="C45" s="89"/>
      <c r="D45" s="28"/>
      <c r="E45" s="89"/>
      <c r="F45" s="109"/>
      <c r="G45" s="41"/>
      <c r="H45" s="42"/>
      <c r="I45" s="30"/>
    </row>
    <row r="46" spans="1:9" hidden="1">
      <c r="A46" s="112"/>
      <c r="B46" s="113"/>
      <c r="C46" s="89"/>
      <c r="D46" s="28"/>
      <c r="E46" s="89"/>
      <c r="F46" s="109"/>
      <c r="G46" s="41"/>
      <c r="H46" s="42"/>
      <c r="I46" s="30"/>
    </row>
    <row r="47" spans="1:9" hidden="1">
      <c r="A47" s="112"/>
      <c r="B47" s="113"/>
      <c r="C47" s="89"/>
      <c r="D47" s="28"/>
      <c r="E47" s="89"/>
      <c r="F47" s="109"/>
      <c r="G47" s="41"/>
      <c r="H47" s="42"/>
      <c r="I47" s="30"/>
    </row>
    <row r="48" spans="1:9" hidden="1">
      <c r="A48" s="112"/>
      <c r="B48" s="113"/>
      <c r="C48" s="89"/>
      <c r="D48" s="28"/>
      <c r="E48" s="89"/>
      <c r="F48" s="109"/>
      <c r="G48" s="41"/>
      <c r="H48" s="42"/>
      <c r="I48" s="30"/>
    </row>
    <row r="49" spans="1:9" hidden="1">
      <c r="A49" s="112"/>
      <c r="B49" s="113"/>
      <c r="C49" s="89"/>
      <c r="D49" s="28"/>
      <c r="E49" s="89"/>
      <c r="F49" s="109"/>
      <c r="G49" s="41"/>
      <c r="H49" s="42"/>
      <c r="I49" s="30"/>
    </row>
    <row r="50" spans="1:9" hidden="1">
      <c r="A50" s="112"/>
      <c r="B50" s="113"/>
      <c r="C50" s="89"/>
      <c r="D50" s="28"/>
      <c r="E50" s="89"/>
      <c r="F50" s="109"/>
      <c r="G50" s="41"/>
      <c r="H50" s="42"/>
      <c r="I50" s="30"/>
    </row>
    <row r="51" spans="1:9" hidden="1">
      <c r="A51" s="112"/>
      <c r="B51" s="113"/>
      <c r="C51" s="89"/>
      <c r="D51" s="28"/>
      <c r="E51" s="89"/>
      <c r="F51" s="109"/>
      <c r="G51" s="41"/>
      <c r="H51" s="42"/>
      <c r="I51" s="30"/>
    </row>
    <row r="52" spans="1:9" ht="21.75" thickBot="1">
      <c r="A52" s="112"/>
      <c r="B52" s="40"/>
      <c r="C52" s="89">
        <f>SUM(C15:C46)</f>
        <v>26.488</v>
      </c>
      <c r="D52" s="108"/>
      <c r="E52" s="108"/>
      <c r="F52" s="108"/>
      <c r="G52" s="41"/>
      <c r="H52" s="42"/>
      <c r="I52" s="30"/>
    </row>
    <row r="53" spans="1:9" ht="22.5" thickTop="1" thickBot="1">
      <c r="A53" s="147" t="s">
        <v>36</v>
      </c>
      <c r="B53" s="148"/>
      <c r="C53" s="148"/>
      <c r="D53" s="148"/>
      <c r="E53" s="148"/>
      <c r="F53" s="149"/>
      <c r="G53" s="31">
        <f>SUM(G27:G52)</f>
        <v>24.662096922871136</v>
      </c>
      <c r="H53" s="32">
        <f>SUM(H27:H52)</f>
        <v>0.704631340653461</v>
      </c>
      <c r="I53" s="33">
        <f ca="1">G53/$G$78</f>
        <v>0.16274301010183734</v>
      </c>
    </row>
    <row r="54" spans="1:9" ht="21.75" thickTop="1">
      <c r="A54" s="43" t="s">
        <v>80</v>
      </c>
      <c r="B54" s="90"/>
      <c r="C54" s="49"/>
      <c r="D54" s="9"/>
      <c r="E54" s="44"/>
      <c r="F54" s="45"/>
      <c r="G54" s="46"/>
      <c r="H54" s="38"/>
      <c r="I54" s="30"/>
    </row>
    <row r="55" spans="1:9">
      <c r="A55" s="47" t="s">
        <v>72</v>
      </c>
      <c r="B55" s="117" t="s">
        <v>60</v>
      </c>
      <c r="C55" s="118"/>
      <c r="D55" s="87"/>
      <c r="E55" s="44">
        <f>$B$10</f>
        <v>14</v>
      </c>
      <c r="F55" s="119">
        <v>2.9973000000000001</v>
      </c>
      <c r="G55" s="41">
        <f>E55*F55</f>
        <v>41.962200000000003</v>
      </c>
      <c r="H55" s="42">
        <f>G55/$H$11</f>
        <v>1.19892</v>
      </c>
      <c r="I55" s="30">
        <f ca="1">G55/$G$78</f>
        <v>0.27690486984349616</v>
      </c>
    </row>
    <row r="56" spans="1:9">
      <c r="A56" s="47" t="s">
        <v>88</v>
      </c>
      <c r="B56" s="119" t="s">
        <v>61</v>
      </c>
      <c r="C56" s="118"/>
      <c r="D56" s="87"/>
      <c r="E56" s="44">
        <f>$B$10</f>
        <v>14</v>
      </c>
      <c r="F56" s="119">
        <v>0.65423274697000855</v>
      </c>
      <c r="G56" s="41">
        <f>E56*F56</f>
        <v>9.159258457580119</v>
      </c>
      <c r="H56" s="42">
        <f>G56/$H$11</f>
        <v>0.2616930987880034</v>
      </c>
      <c r="I56" s="30">
        <f ca="1">G56/$G$78</f>
        <v>6.0441141576446519E-2</v>
      </c>
    </row>
    <row r="57" spans="1:9" ht="21.75" thickBot="1">
      <c r="A57" s="47"/>
      <c r="B57" s="121"/>
      <c r="C57" s="57"/>
      <c r="D57" s="58"/>
      <c r="E57" s="44"/>
      <c r="F57" s="122"/>
      <c r="G57" s="41"/>
      <c r="H57" s="42"/>
      <c r="I57" s="30"/>
    </row>
    <row r="58" spans="1:9" ht="22.5" thickTop="1" thickBot="1">
      <c r="A58" s="141" t="s">
        <v>81</v>
      </c>
      <c r="B58" s="142"/>
      <c r="C58" s="142"/>
      <c r="D58" s="142"/>
      <c r="E58" s="142"/>
      <c r="F58" s="143"/>
      <c r="G58" s="31">
        <f>SUM(G55:G57)</f>
        <v>51.121458457580118</v>
      </c>
      <c r="H58" s="32">
        <f>SUM(H55:H57)</f>
        <v>1.4606130987880035</v>
      </c>
      <c r="I58" s="33">
        <f ca="1">G58/$G$78</f>
        <v>0.33734601141994264</v>
      </c>
    </row>
    <row r="59" spans="1:9" ht="21.75" thickTop="1">
      <c r="A59" s="43" t="s">
        <v>82</v>
      </c>
      <c r="B59" s="90"/>
      <c r="C59" s="49"/>
      <c r="D59" s="9"/>
      <c r="E59" s="44"/>
      <c r="F59" s="45"/>
      <c r="G59" s="46"/>
      <c r="H59" s="38"/>
      <c r="I59" s="30"/>
    </row>
    <row r="60" spans="1:9">
      <c r="A60" s="47" t="s">
        <v>89</v>
      </c>
      <c r="B60" s="117"/>
      <c r="C60" s="118" t="s">
        <v>93</v>
      </c>
      <c r="D60" s="87"/>
      <c r="E60" s="44">
        <f>$B$10</f>
        <v>14</v>
      </c>
      <c r="F60" s="119">
        <v>3.2444999999999999</v>
      </c>
      <c r="G60" s="41">
        <f>E60*F60</f>
        <v>45.423000000000002</v>
      </c>
      <c r="H60" s="42">
        <f>G60/$H$11</f>
        <v>1.2978000000000001</v>
      </c>
      <c r="I60" s="30">
        <f ca="1">G60/$G$78</f>
        <v>0.299742384882135</v>
      </c>
    </row>
    <row r="61" spans="1:9">
      <c r="A61" s="47" t="s">
        <v>90</v>
      </c>
      <c r="B61" s="119"/>
      <c r="C61" s="118" t="s">
        <v>92</v>
      </c>
      <c r="D61" s="87"/>
      <c r="E61" s="44">
        <f>$B$10/7</f>
        <v>2</v>
      </c>
      <c r="F61" s="119">
        <v>1.9055000000000002</v>
      </c>
      <c r="G61" s="41">
        <f>E61*F61</f>
        <v>3.8110000000000004</v>
      </c>
      <c r="H61" s="42">
        <f>G61/$H$11</f>
        <v>0.10888571428571429</v>
      </c>
      <c r="I61" s="30">
        <f ca="1">G61/$G$78</f>
        <v>2.5148454060405886E-2</v>
      </c>
    </row>
    <row r="62" spans="1:9">
      <c r="A62" s="47" t="s">
        <v>91</v>
      </c>
      <c r="B62" s="117"/>
      <c r="C62" s="118" t="s">
        <v>92</v>
      </c>
      <c r="D62" s="87"/>
      <c r="E62" s="44">
        <f>$B$10/14</f>
        <v>1</v>
      </c>
      <c r="F62" s="120">
        <v>5.8195000000000006</v>
      </c>
      <c r="G62" s="41">
        <f>E62*F62</f>
        <v>5.8195000000000006</v>
      </c>
      <c r="H62" s="42">
        <f>G62/$H$11</f>
        <v>0.1662714285714286</v>
      </c>
      <c r="I62" s="30">
        <f ca="1">G62/$G$78</f>
        <v>3.8402369038187369E-2</v>
      </c>
    </row>
    <row r="63" spans="1:9" ht="21.75" thickBot="1">
      <c r="A63" s="47"/>
      <c r="B63" s="121"/>
      <c r="C63" s="57"/>
      <c r="D63" s="58"/>
      <c r="E63" s="44"/>
      <c r="F63" s="122"/>
      <c r="G63" s="41"/>
      <c r="H63" s="42"/>
      <c r="I63" s="30"/>
    </row>
    <row r="64" spans="1:9" ht="22.5" thickTop="1" thickBot="1">
      <c r="A64" s="141" t="s">
        <v>83</v>
      </c>
      <c r="B64" s="142"/>
      <c r="C64" s="142"/>
      <c r="D64" s="142"/>
      <c r="E64" s="142"/>
      <c r="F64" s="143"/>
      <c r="G64" s="31">
        <f>SUM(G60:G63)</f>
        <v>55.0535</v>
      </c>
      <c r="H64" s="32">
        <f>SUM(H60:H63)</f>
        <v>1.5729571428571429</v>
      </c>
      <c r="I64" s="33">
        <f ca="1">G64/$G$78</f>
        <v>0.36329320798072823</v>
      </c>
    </row>
    <row r="65" spans="1:9" ht="21.75" thickTop="1">
      <c r="A65" s="50" t="s">
        <v>84</v>
      </c>
      <c r="B65" s="51"/>
      <c r="C65" s="52"/>
      <c r="D65" s="5"/>
      <c r="E65" s="5"/>
      <c r="F65" s="7"/>
      <c r="G65" s="53"/>
      <c r="H65" s="54"/>
      <c r="I65" s="30"/>
    </row>
    <row r="66" spans="1:9">
      <c r="A66" s="8" t="s">
        <v>37</v>
      </c>
      <c r="B66" s="9"/>
      <c r="C66" s="49"/>
      <c r="D66" s="9"/>
      <c r="E66" s="9"/>
      <c r="F66" s="12"/>
      <c r="G66" s="29">
        <f>50.4/14*$B$10</f>
        <v>50.4</v>
      </c>
      <c r="H66" s="42">
        <f>G66/$H$11</f>
        <v>1.44</v>
      </c>
      <c r="I66" s="30">
        <f ca="1">G66/$G$78</f>
        <v>0.33258517046561442</v>
      </c>
    </row>
    <row r="67" spans="1:9" ht="21.75" thickBot="1">
      <c r="A67" s="55"/>
      <c r="B67" s="56"/>
      <c r="C67" s="57"/>
      <c r="D67" s="58"/>
      <c r="E67" s="58"/>
      <c r="F67" s="59"/>
      <c r="G67" s="29"/>
      <c r="H67" s="42"/>
      <c r="I67" s="30"/>
    </row>
    <row r="68" spans="1:9" ht="22.5" thickTop="1" thickBot="1">
      <c r="A68" s="141" t="s">
        <v>85</v>
      </c>
      <c r="B68" s="142"/>
      <c r="C68" s="142"/>
      <c r="D68" s="142"/>
      <c r="E68" s="142"/>
      <c r="F68" s="143"/>
      <c r="G68" s="31">
        <f>SUM(G66:G67)</f>
        <v>50.4</v>
      </c>
      <c r="H68" s="32">
        <f>SUM(H66:H67)</f>
        <v>1.44</v>
      </c>
      <c r="I68" s="33">
        <f ca="1">G68/$G$78</f>
        <v>0.33258517046561442</v>
      </c>
    </row>
    <row r="69" spans="1:9" ht="21.75" thickTop="1">
      <c r="A69" s="50" t="s">
        <v>86</v>
      </c>
      <c r="B69" s="51"/>
      <c r="C69" s="52"/>
      <c r="D69" s="5"/>
      <c r="E69" s="5"/>
      <c r="F69" s="7"/>
      <c r="G69" s="53"/>
      <c r="H69" s="54"/>
      <c r="I69" s="30"/>
    </row>
    <row r="70" spans="1:9">
      <c r="A70" s="8" t="s">
        <v>73</v>
      </c>
      <c r="B70" s="9"/>
      <c r="C70" s="49"/>
      <c r="D70" s="9"/>
      <c r="E70" s="9"/>
      <c r="F70" s="123"/>
      <c r="G70" s="29">
        <f>4.3/14*$B$10</f>
        <v>4.3</v>
      </c>
      <c r="H70" s="42">
        <f>G70/$H$11</f>
        <v>0.12285714285714285</v>
      </c>
      <c r="I70" s="30">
        <f ca="1">G70/$G$78</f>
        <v>2.8375322083375832E-2</v>
      </c>
    </row>
    <row r="71" spans="1:9" ht="21.75" thickBot="1">
      <c r="A71" s="55"/>
      <c r="B71" s="56"/>
      <c r="C71" s="57"/>
      <c r="D71" s="58"/>
      <c r="E71" s="58"/>
      <c r="F71" s="59"/>
      <c r="G71" s="29"/>
      <c r="H71" s="42"/>
      <c r="I71" s="30"/>
    </row>
    <row r="72" spans="1:9" ht="22.5" thickTop="1" thickBot="1">
      <c r="A72" s="141" t="s">
        <v>87</v>
      </c>
      <c r="B72" s="142"/>
      <c r="C72" s="142"/>
      <c r="D72" s="142"/>
      <c r="E72" s="142"/>
      <c r="F72" s="143"/>
      <c r="G72" s="31">
        <f>SUM(G70:G71)</f>
        <v>4.3</v>
      </c>
      <c r="H72" s="32">
        <f>SUM(H70:H71)</f>
        <v>0.12285714285714285</v>
      </c>
      <c r="I72" s="33">
        <f t="shared" ref="I72:I78" ca="1" si="2">G72/$G$78</f>
        <v>2.8375322083375832E-2</v>
      </c>
    </row>
    <row r="73" spans="1:9" ht="21.75" thickTop="1">
      <c r="A73" s="157" t="s">
        <v>38</v>
      </c>
      <c r="B73" s="158"/>
      <c r="C73" s="158"/>
      <c r="D73" s="158"/>
      <c r="E73" s="158"/>
      <c r="F73" s="159"/>
      <c r="G73" s="60">
        <f>SUM(G25,G53,G58,G68)</f>
        <v>134.16037459355593</v>
      </c>
      <c r="H73" s="61">
        <f>SUM(H25,H53,H58,H68)</f>
        <v>3.8331535598158837</v>
      </c>
      <c r="I73" s="62">
        <f t="shared" ca="1" si="2"/>
        <v>0.88531252091127943</v>
      </c>
    </row>
    <row r="74" spans="1:9">
      <c r="A74" s="63" t="s">
        <v>94</v>
      </c>
      <c r="B74" s="124">
        <v>0.02</v>
      </c>
      <c r="C74" s="64" t="s">
        <v>62</v>
      </c>
      <c r="D74" s="65"/>
      <c r="E74" s="65"/>
      <c r="F74" s="66"/>
      <c r="G74" s="41">
        <f>SUM(G25,G53)*B74</f>
        <v>0.65277832271951608</v>
      </c>
      <c r="H74" s="42">
        <f>G74/$H$11</f>
        <v>1.8650809220557601E-2</v>
      </c>
      <c r="I74" s="30">
        <f t="shared" ca="1" si="2"/>
        <v>4.3076267805144466E-3</v>
      </c>
    </row>
    <row r="75" spans="1:9">
      <c r="A75" s="63" t="s">
        <v>94</v>
      </c>
      <c r="B75" s="124">
        <v>0.02</v>
      </c>
      <c r="C75" s="64" t="s">
        <v>74</v>
      </c>
      <c r="D75" s="65"/>
      <c r="E75" s="65"/>
      <c r="F75" s="66"/>
      <c r="G75" s="41">
        <f>SUM(G58)*B75</f>
        <v>1.0224291691516023</v>
      </c>
      <c r="H75" s="42">
        <f t="shared" ref="H75:H76" si="3">G75/$H$11</f>
        <v>2.9212261975760066E-2</v>
      </c>
      <c r="I75" s="30">
        <f t="shared" ca="1" si="2"/>
        <v>6.7469202283988528E-3</v>
      </c>
    </row>
    <row r="76" spans="1:9">
      <c r="A76" s="63" t="s">
        <v>94</v>
      </c>
      <c r="B76" s="124">
        <v>0.01</v>
      </c>
      <c r="C76" s="64" t="s">
        <v>75</v>
      </c>
      <c r="D76" s="65"/>
      <c r="E76" s="65"/>
      <c r="F76" s="66"/>
      <c r="G76" s="41">
        <f>SUM(G64)*B76</f>
        <v>0.550535</v>
      </c>
      <c r="H76" s="42">
        <f t="shared" si="3"/>
        <v>1.572957142857143E-2</v>
      </c>
      <c r="I76" s="30">
        <f t="shared" ca="1" si="2"/>
        <v>3.6329320798072825E-3</v>
      </c>
    </row>
    <row r="77" spans="1:9">
      <c r="A77" s="67" t="s">
        <v>39</v>
      </c>
      <c r="B77" s="125">
        <v>0.1</v>
      </c>
      <c r="C77" s="68"/>
      <c r="D77" s="69"/>
      <c r="E77" s="69"/>
      <c r="F77" s="27"/>
      <c r="G77" s="41">
        <f ca="1">G78*B77</f>
        <v>15.154013009491894</v>
      </c>
      <c r="H77" s="42">
        <f ca="1">G77/$H$11</f>
        <v>0.43297180027119697</v>
      </c>
      <c r="I77" s="30">
        <f t="shared" ca="1" si="2"/>
        <v>0.1</v>
      </c>
    </row>
    <row r="78" spans="1:9">
      <c r="A78" s="70" t="s">
        <v>40</v>
      </c>
      <c r="B78" s="71"/>
      <c r="C78" s="72"/>
      <c r="D78" s="71"/>
      <c r="E78" s="71"/>
      <c r="F78" s="73"/>
      <c r="G78" s="91">
        <f ca="1">SUM(G73:G77)</f>
        <v>151.54013009491894</v>
      </c>
      <c r="H78" s="74">
        <f ca="1">SUM(H73:H77)</f>
        <v>4.3297180027119699</v>
      </c>
      <c r="I78" s="75">
        <f t="shared" ca="1" si="2"/>
        <v>1</v>
      </c>
    </row>
    <row r="79" spans="1:9" ht="21.75" customHeight="1">
      <c r="A79" s="63" t="s">
        <v>41</v>
      </c>
      <c r="B79" s="126" t="s">
        <v>76</v>
      </c>
      <c r="C79" s="64"/>
      <c r="D79" s="65"/>
      <c r="E79" s="65"/>
      <c r="F79" s="127"/>
      <c r="G79" s="128"/>
      <c r="H79" s="128"/>
      <c r="I79" s="129"/>
    </row>
    <row r="80" spans="1:9" ht="21.75" customHeight="1">
      <c r="A80" s="63"/>
      <c r="B80" s="130" t="s">
        <v>96</v>
      </c>
      <c r="C80" s="64"/>
      <c r="D80" s="65"/>
      <c r="E80" s="65"/>
      <c r="F80" s="127"/>
      <c r="G80" s="131"/>
      <c r="H80" s="131"/>
      <c r="I80" s="132"/>
    </row>
    <row r="81" spans="1:9" ht="21.75" customHeight="1">
      <c r="A81" s="63"/>
      <c r="B81" s="65"/>
      <c r="C81" s="64"/>
      <c r="D81" s="65"/>
      <c r="E81" s="65"/>
      <c r="F81" s="127"/>
      <c r="G81" s="133"/>
      <c r="H81" s="133"/>
      <c r="I81" s="132"/>
    </row>
    <row r="82" spans="1:9" ht="21.75" customHeight="1">
      <c r="A82" s="63"/>
      <c r="B82" s="65"/>
      <c r="C82" s="64"/>
      <c r="D82" s="65"/>
      <c r="E82" s="65"/>
      <c r="F82" s="127"/>
      <c r="G82" s="133"/>
      <c r="H82" s="133"/>
      <c r="I82" s="132"/>
    </row>
    <row r="83" spans="1:9" ht="21.75" customHeight="1">
      <c r="A83" s="63"/>
      <c r="B83" s="65"/>
      <c r="C83" s="64"/>
      <c r="D83" s="65"/>
      <c r="E83" s="65"/>
      <c r="F83" s="76"/>
      <c r="G83" s="133"/>
      <c r="H83" s="133"/>
      <c r="I83" s="132"/>
    </row>
    <row r="84" spans="1:9" ht="21.75" customHeight="1">
      <c r="A84" s="4"/>
      <c r="B84" s="5"/>
      <c r="C84" s="52"/>
      <c r="D84" s="5"/>
      <c r="E84" s="5"/>
      <c r="F84" s="134"/>
      <c r="G84" s="135"/>
      <c r="H84" s="135"/>
      <c r="I84" s="136"/>
    </row>
    <row r="85" spans="1:9" ht="21.75" customHeight="1" thickBot="1">
      <c r="A85" s="16"/>
      <c r="B85" s="17"/>
      <c r="C85" s="78"/>
      <c r="D85" s="17"/>
      <c r="E85" s="17"/>
      <c r="F85" s="137"/>
      <c r="G85" s="11"/>
      <c r="H85" s="11"/>
      <c r="I85" s="11"/>
    </row>
    <row r="86" spans="1:9" ht="21.75" customHeight="1" thickBot="1">
      <c r="A86" s="138" t="s">
        <v>42</v>
      </c>
      <c r="B86" s="139"/>
      <c r="C86" s="139"/>
      <c r="D86" s="139"/>
      <c r="E86" s="139"/>
      <c r="F86" s="140"/>
      <c r="G86" s="144" t="s">
        <v>63</v>
      </c>
      <c r="H86" s="145"/>
      <c r="I86" s="146"/>
    </row>
    <row r="87" spans="1:9">
      <c r="G87" s="11"/>
      <c r="H87" s="11"/>
      <c r="I87" s="11"/>
    </row>
    <row r="88" spans="1:9">
      <c r="A88" s="9"/>
      <c r="B88" s="9"/>
      <c r="C88" s="49"/>
      <c r="D88" s="9"/>
      <c r="E88" s="9"/>
      <c r="F88" s="48"/>
      <c r="G88" s="11"/>
      <c r="H88" s="11"/>
      <c r="I88" s="11"/>
    </row>
    <row r="89" spans="1:9">
      <c r="A89" s="9"/>
      <c r="B89" s="9"/>
      <c r="C89" s="49"/>
      <c r="D89" s="9"/>
      <c r="E89" s="9"/>
      <c r="F89" s="48"/>
      <c r="G89" s="11"/>
      <c r="H89" s="11"/>
      <c r="I89" s="11"/>
    </row>
    <row r="90" spans="1:9">
      <c r="A90" s="9"/>
      <c r="B90" s="9"/>
      <c r="C90" s="49"/>
      <c r="D90" s="9"/>
      <c r="E90" s="9"/>
      <c r="F90" s="48"/>
      <c r="G90" s="11"/>
      <c r="H90" s="11"/>
      <c r="I90" s="11"/>
    </row>
    <row r="91" spans="1:9">
      <c r="A91" s="9"/>
      <c r="B91" s="9"/>
      <c r="C91" s="49"/>
      <c r="D91" s="9"/>
      <c r="E91" s="9"/>
      <c r="F91" s="48"/>
      <c r="G91" s="11"/>
      <c r="H91" s="11"/>
      <c r="I91" s="11"/>
    </row>
    <row r="92" spans="1:9">
      <c r="A92" s="77" t="s">
        <v>43</v>
      </c>
      <c r="B92" s="9"/>
      <c r="C92" s="78"/>
      <c r="D92" s="17"/>
      <c r="E92" s="77"/>
      <c r="F92" s="77" t="s">
        <v>44</v>
      </c>
      <c r="G92" s="17"/>
      <c r="H92" s="79"/>
      <c r="I92" s="79"/>
    </row>
    <row r="93" spans="1:9">
      <c r="A93" s="13"/>
      <c r="B93" s="13"/>
      <c r="C93" s="80"/>
      <c r="D93" s="13"/>
      <c r="E93" s="13"/>
      <c r="F93" s="13"/>
      <c r="G93" s="13"/>
      <c r="H93" s="81"/>
      <c r="I93" s="81"/>
    </row>
    <row r="94" spans="1:9">
      <c r="A94" s="13"/>
      <c r="B94" s="13"/>
      <c r="C94" s="80"/>
      <c r="D94" s="13"/>
      <c r="E94" s="13"/>
      <c r="F94" s="13"/>
      <c r="G94" s="13"/>
      <c r="H94" s="81"/>
      <c r="I94" s="81"/>
    </row>
    <row r="95" spans="1:9">
      <c r="A95" s="13"/>
      <c r="B95" s="13"/>
      <c r="C95" s="80"/>
      <c r="D95" s="13"/>
      <c r="E95" s="13"/>
      <c r="F95" s="13"/>
      <c r="G95" s="13"/>
      <c r="H95" s="81"/>
      <c r="I95" s="81"/>
    </row>
    <row r="96" spans="1:9">
      <c r="A96" s="13"/>
      <c r="B96" s="13"/>
      <c r="C96" s="80"/>
      <c r="D96" s="13"/>
      <c r="E96" s="13"/>
      <c r="F96" s="13"/>
      <c r="G96" s="13"/>
      <c r="H96" s="81"/>
      <c r="I96" s="81"/>
    </row>
    <row r="97" spans="1:9">
      <c r="A97" s="13"/>
      <c r="B97" s="13"/>
      <c r="C97" s="80"/>
      <c r="D97" s="13"/>
      <c r="E97" s="13"/>
      <c r="F97" s="13"/>
      <c r="G97" s="13"/>
      <c r="H97" s="81"/>
      <c r="I97" s="81"/>
    </row>
    <row r="98" spans="1:9">
      <c r="A98" s="13"/>
      <c r="B98" s="13"/>
      <c r="C98" s="80"/>
      <c r="D98" s="13"/>
      <c r="E98" s="13"/>
      <c r="F98" s="13"/>
      <c r="G98" s="13"/>
      <c r="H98" s="81"/>
      <c r="I98" s="81"/>
    </row>
    <row r="99" spans="1:9">
      <c r="A99" s="13"/>
      <c r="B99" s="13"/>
      <c r="C99" s="80"/>
      <c r="D99" s="13"/>
      <c r="E99" s="13"/>
      <c r="F99" s="13"/>
      <c r="G99" s="13"/>
      <c r="H99" s="81"/>
      <c r="I99" s="81"/>
    </row>
    <row r="100" spans="1:9">
      <c r="A100" s="13"/>
      <c r="B100" s="13"/>
      <c r="C100" s="80"/>
      <c r="D100" s="13"/>
      <c r="E100" s="13"/>
      <c r="F100" s="13"/>
      <c r="G100" s="13"/>
      <c r="H100" s="81"/>
      <c r="I100" s="81"/>
    </row>
    <row r="101" spans="1:9">
      <c r="A101" s="13"/>
      <c r="B101" s="13"/>
      <c r="C101" s="80"/>
      <c r="D101" s="13"/>
      <c r="E101" s="13"/>
      <c r="F101" s="13"/>
      <c r="G101" s="13"/>
      <c r="H101" s="81"/>
      <c r="I101" s="81"/>
    </row>
    <row r="102" spans="1:9">
      <c r="A102" s="13"/>
      <c r="B102" s="13"/>
      <c r="C102" s="80"/>
      <c r="D102" s="13"/>
      <c r="E102" s="13"/>
      <c r="F102" s="13"/>
      <c r="G102" s="13"/>
      <c r="H102" s="81"/>
      <c r="I102" s="81"/>
    </row>
    <row r="103" spans="1:9">
      <c r="A103" s="13"/>
      <c r="B103" s="13"/>
      <c r="C103" s="80"/>
      <c r="D103" s="13"/>
      <c r="E103" s="13"/>
      <c r="F103" s="13"/>
      <c r="G103" s="13"/>
      <c r="H103" s="81"/>
      <c r="I103" s="81"/>
    </row>
    <row r="104" spans="1:9">
      <c r="A104" s="13"/>
      <c r="B104" s="13"/>
      <c r="C104" s="80"/>
      <c r="D104" s="13"/>
      <c r="E104" s="13"/>
      <c r="F104" s="13"/>
      <c r="G104" s="13"/>
      <c r="H104" s="81"/>
      <c r="I104" s="81"/>
    </row>
    <row r="105" spans="1:9">
      <c r="A105" s="13"/>
      <c r="B105" s="13"/>
      <c r="C105" s="80"/>
      <c r="D105" s="13"/>
      <c r="E105" s="13"/>
      <c r="F105" s="13"/>
      <c r="G105" s="13"/>
      <c r="H105" s="81"/>
      <c r="I105" s="81"/>
    </row>
    <row r="106" spans="1:9">
      <c r="A106" s="13"/>
      <c r="B106" s="13"/>
      <c r="C106" s="80"/>
      <c r="D106" s="13"/>
      <c r="E106" s="13"/>
      <c r="F106" s="13"/>
      <c r="G106" s="13"/>
      <c r="H106" s="81"/>
      <c r="I106" s="81"/>
    </row>
  </sheetData>
  <mergeCells count="13">
    <mergeCell ref="A1:G1"/>
    <mergeCell ref="A3:I3"/>
    <mergeCell ref="A12:B12"/>
    <mergeCell ref="G12:I12"/>
    <mergeCell ref="A73:F73"/>
    <mergeCell ref="A86:F86"/>
    <mergeCell ref="A64:F64"/>
    <mergeCell ref="G86:I86"/>
    <mergeCell ref="A25:F25"/>
    <mergeCell ref="A72:F72"/>
    <mergeCell ref="A53:F53"/>
    <mergeCell ref="A58:F58"/>
    <mergeCell ref="A68:F68"/>
  </mergeCells>
  <pageMargins left="1.4960629921259843" right="0.70866141732283472" top="0.35433070866141736" bottom="0.35433070866141736" header="0.31496062992125984" footer="0.31496062992125984"/>
  <pageSetup paperSize="9" scale="35" orientation="portrait" r:id="rId1"/>
  <drawing r:id="rId2"/>
  <legacyDrawing r:id="rId3"/>
  <oleObjects>
    <mc:AlternateContent xmlns:mc="http://schemas.openxmlformats.org/markup-compatibility/2006">
      <mc:Choice Requires="x14">
        <oleObject shapeId="23555" r:id="rId4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5" r:id="rId4"/>
      </mc:Fallback>
    </mc:AlternateContent>
    <mc:AlternateContent xmlns:mc="http://schemas.openxmlformats.org/markup-compatibility/2006">
      <mc:Choice Requires="x14">
        <oleObject shapeId="23556" r:id="rId6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6" r:id="rId6"/>
      </mc:Fallback>
    </mc:AlternateContent>
    <mc:AlternateContent xmlns:mc="http://schemas.openxmlformats.org/markup-compatibility/2006">
      <mc:Choice Requires="x14">
        <oleObject shapeId="23557" r:id="rId7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7" r:id="rId7"/>
      </mc:Fallback>
    </mc:AlternateContent>
    <mc:AlternateContent xmlns:mc="http://schemas.openxmlformats.org/markup-compatibility/2006">
      <mc:Choice Requires="x14">
        <oleObject shapeId="23558" r:id="rId8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8" r:id="rId8"/>
      </mc:Fallback>
    </mc:AlternateContent>
    <mc:AlternateContent xmlns:mc="http://schemas.openxmlformats.org/markup-compatibility/2006">
      <mc:Choice Requires="x14">
        <oleObject shapeId="23559" r:id="rId9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59" r:id="rId9"/>
      </mc:Fallback>
    </mc:AlternateContent>
    <mc:AlternateContent xmlns:mc="http://schemas.openxmlformats.org/markup-compatibility/2006">
      <mc:Choice Requires="x14">
        <oleObject shapeId="23560" r:id="rId10">
          <objectPr defaultSize="0" autoPict="0" r:id="rId5">
            <anchor moveWithCells="1" sizeWithCells="1">
              <from>
                <xdr:col>1</xdr:col>
                <xdr:colOff>1819275</xdr:colOff>
                <xdr:row>0</xdr:row>
                <xdr:rowOff>38100</xdr:rowOff>
              </from>
              <to>
                <xdr:col>1</xdr:col>
                <xdr:colOff>2200275</xdr:colOff>
                <xdr:row>1</xdr:row>
                <xdr:rowOff>85725</xdr:rowOff>
              </to>
            </anchor>
          </objectPr>
        </oleObject>
      </mc:Choice>
      <mc:Fallback>
        <oleObject shapeId="23560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BS2</vt:lpstr>
      <vt:lpstr>Sheet1</vt:lpstr>
      <vt:lpstr>'BS2'!Print_Area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RH12</dc:creator>
  <cp:lastModifiedBy>Voravut Somboornpong</cp:lastModifiedBy>
  <cp:lastPrinted>2016-10-18T04:41:09Z</cp:lastPrinted>
  <dcterms:created xsi:type="dcterms:W3CDTF">2014-08-19T13:54:17Z</dcterms:created>
  <dcterms:modified xsi:type="dcterms:W3CDTF">2018-02-22T11:19:20Z</dcterms:modified>
</cp:coreProperties>
</file>