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628"/>
  <mc:AlternateContent xmlns:mc="http://schemas.openxmlformats.org/markup-compatibility/2006">
    <mc:Choice Requires="x15">
      <x15ac:absPath xmlns:x15ac="http://schemas.microsoft.com/office/spreadsheetml/2010/11/ac" url="D:\inetpub\wwwroot\DEVWebAPI\App_Data\Documents\"/>
    </mc:Choice>
  </mc:AlternateContent>
  <bookViews>
    <workbookView xWindow="-108" yWindow="-108" windowWidth="23256" windowHeight="12576" activeTab="13"/>
  </bookViews>
  <sheets>
    <sheet name="Final template" sheetId="2" r:id="rId1"/>
    <sheet name="1_3AA8LN2NJAIUCIABSX" sheetId="1" r:id="rId2"/>
    <sheet name="2_3AAOCN2TKALN5IUAS4" sheetId="3" r:id="rId3"/>
    <sheet name="3_3AA8LN2NBAZN5IUU1P" sheetId="4" r:id="rId4"/>
    <sheet name="4_3BA8CBABT42PPIC4JC" sheetId="5" r:id="rId5"/>
    <sheet name="5_3AAOCN2NZA49NIUUSD" sheetId="6" r:id="rId6"/>
    <sheet name="6_3AAOCN2CXF69SIUURL" sheetId="7" r:id="rId7"/>
    <sheet name="7_3AAOCM3BBAHN5IUUS4" sheetId="8" r:id="rId8"/>
    <sheet name="8_3AA8IBABJAMU2MED2C" sheetId="9" r:id="rId9"/>
    <sheet name="9_3AA8IBABEA8U2MED3N" sheetId="10" r:id="rId10"/>
    <sheet name="10_3AA8IBABJAMU2MED2C" sheetId="11" r:id="rId11"/>
    <sheet name="11_3ATOLN2NBAZN5IUURU" sheetId="12" r:id="rId12"/>
    <sheet name="12_3AA7CBABBBPNTIUAZ0" sheetId="13" r:id="rId13"/>
    <sheet name="13_3AA7LBABSAANTIOKUF" sheetId="14" r:id="rId14"/>
  </sheets>
  <calcPr iterate="1"/>
</workbook>
</file>

<file path=xl/calcChain.xml><?xml version="1.0" encoding="utf-8"?>
<calcChain xmlns="http://schemas.openxmlformats.org/spreadsheetml/2006/main">
  <c i="14" l="1" r="D24"/>
  <c r="D23"/>
  <c r="F13"/>
  <c r="D21"/>
  <c r="F17"/>
  <c r="D16"/>
  <c r="F12"/>
  <c r="F11"/>
  <c r="F10"/>
  <c r="F9"/>
  <c r="F8"/>
  <c r="F19"/>
  <c r="F7"/>
  <c i="13" r="D24"/>
  <c r="D23"/>
  <c r="F13"/>
  <c r="D21"/>
  <c r="F17"/>
  <c r="D16"/>
  <c r="F12"/>
  <c r="F11"/>
  <c r="F10"/>
  <c r="F9"/>
  <c r="F8"/>
  <c r="F19"/>
  <c r="F7"/>
  <c i="12" r="D24"/>
  <c r="D23"/>
  <c r="F13"/>
  <c r="D21"/>
  <c r="F17"/>
  <c r="D16"/>
  <c r="F12"/>
  <c r="F11"/>
  <c r="F10"/>
  <c r="F9"/>
  <c r="F8"/>
  <c r="F19"/>
  <c r="F7"/>
  <c i="11" r="D24"/>
  <c r="D23"/>
  <c r="F13"/>
  <c r="D21"/>
  <c r="F17"/>
  <c r="D16"/>
  <c r="F12"/>
  <c r="F11"/>
  <c r="F10"/>
  <c r="F9"/>
  <c r="F8"/>
  <c r="F19"/>
  <c r="F7"/>
  <c i="10" r="D24"/>
  <c r="D23"/>
  <c r="F13"/>
  <c r="D21"/>
  <c r="F17"/>
  <c r="D16"/>
  <c r="F12"/>
  <c r="F11"/>
  <c r="F10"/>
  <c r="F9"/>
  <c r="F8"/>
  <c r="F19"/>
  <c r="F7"/>
  <c i="9" r="D24"/>
  <c r="D23"/>
  <c r="F13"/>
  <c r="D21"/>
  <c r="F17"/>
  <c r="D16"/>
  <c r="F12"/>
  <c r="F11"/>
  <c r="F10"/>
  <c r="F9"/>
  <c r="F8"/>
  <c r="F19"/>
  <c r="F7"/>
  <c i="8" r="D24"/>
  <c r="D23"/>
  <c r="F13"/>
  <c r="D21"/>
  <c r="F17"/>
  <c r="D16"/>
  <c r="F12"/>
  <c r="F11"/>
  <c r="F10"/>
  <c r="F9"/>
  <c r="F8"/>
  <c r="F19"/>
  <c r="F7"/>
  <c i="7" r="D24"/>
  <c r="D23"/>
  <c r="F13"/>
  <c r="D21"/>
  <c r="D16"/>
  <c r="F12"/>
  <c r="F11"/>
  <c r="F10"/>
  <c r="F9"/>
  <c r="F8"/>
  <c r="F19"/>
  <c r="F7"/>
  <c i="6" r="D24"/>
  <c r="D23"/>
  <c r="F13"/>
  <c r="D21"/>
  <c r="F17"/>
  <c r="D16"/>
  <c r="F12"/>
  <c r="F11"/>
  <c r="F10"/>
  <c r="F9"/>
  <c r="F8"/>
  <c r="F19"/>
  <c r="F7"/>
  <c i="5" r="D24"/>
  <c r="D23"/>
  <c r="F13"/>
  <c r="D21"/>
  <c r="F17"/>
  <c r="D16"/>
  <c r="F12"/>
  <c r="F11"/>
  <c r="F10"/>
  <c r="F9"/>
  <c r="F8"/>
  <c r="F19"/>
  <c r="F7"/>
  <c i="4" r="D24"/>
  <c r="D23"/>
  <c r="F13"/>
  <c r="D21"/>
  <c r="F17"/>
  <c r="D16"/>
  <c r="F12"/>
  <c r="F11"/>
  <c r="F10"/>
  <c r="F9"/>
  <c r="F8"/>
  <c r="F19"/>
  <c r="F7"/>
  <c i="3" r="D24"/>
  <c r="D23"/>
  <c r="F13"/>
  <c r="D21"/>
  <c r="F17"/>
  <c r="D16"/>
  <c r="F12"/>
  <c r="F11"/>
  <c r="F10"/>
  <c r="F9"/>
  <c r="F8"/>
  <c r="F19"/>
  <c r="F7"/>
  <c i="1" r="D24"/>
  <c r="D23"/>
  <c r="F13"/>
  <c r="D21"/>
  <c r="F17"/>
  <c r="D16"/>
  <c r="F12"/>
  <c r="F11"/>
  <c r="F10"/>
  <c r="F9"/>
  <c r="F8"/>
  <c r="F19"/>
  <c r="F7"/>
  <c i="14" r="F24"/>
  <c r="F23"/>
  <c r="F21"/>
  <c r="F20"/>
  <c r="F16"/>
  <c r="F14"/>
  <c r="F25"/>
  <c r="F22"/>
  <c r="F18"/>
  <c i="13" r="F24"/>
  <c r="F23"/>
  <c r="F21"/>
  <c r="F20"/>
  <c r="F16"/>
  <c r="F14"/>
  <c r="F25"/>
  <c r="F22"/>
  <c i="14" r="F15"/>
  <c i="13" r="F18"/>
  <c i="12" r="F24"/>
  <c r="F23"/>
  <c r="F21"/>
  <c r="F20"/>
  <c r="F16"/>
  <c r="F14"/>
  <c r="F25"/>
  <c r="F22"/>
  <c i="13" r="F15"/>
  <c i="12" r="F18"/>
  <c i="11" r="F24"/>
  <c r="F23"/>
  <c r="F21"/>
  <c r="F20"/>
  <c r="F16"/>
  <c r="F14"/>
  <c r="F25"/>
  <c r="F22"/>
  <c i="12" r="F15"/>
  <c i="11" r="F18"/>
  <c i="10" r="F24"/>
  <c r="F23"/>
  <c r="F21"/>
  <c r="F20"/>
  <c r="F16"/>
  <c r="F14"/>
  <c r="F25"/>
  <c r="F22"/>
  <c i="11" r="F15"/>
  <c i="10" r="F18"/>
  <c i="9" r="F24"/>
  <c r="F23"/>
  <c r="F21"/>
  <c r="F20"/>
  <c r="F16"/>
  <c r="F14"/>
  <c r="F25"/>
  <c r="F22"/>
  <c i="10" r="F15"/>
  <c i="9" r="F18"/>
  <c i="8" r="F24"/>
  <c r="F23"/>
  <c r="F21"/>
  <c r="F20"/>
  <c r="F16"/>
  <c r="F14"/>
  <c r="F25"/>
  <c r="F22"/>
  <c i="9" r="F15"/>
  <c i="8" r="F18"/>
  <c i="7" r="F24"/>
  <c r="F23"/>
  <c r="F21"/>
  <c r="F20"/>
  <c r="F17"/>
  <c r="F16"/>
  <c r="F14"/>
  <c r="F25"/>
  <c r="F22"/>
  <c i="8" r="F15"/>
  <c i="7" r="F18"/>
  <c i="6" r="F24"/>
  <c r="F23"/>
  <c r="F21"/>
  <c r="F20"/>
  <c r="F16"/>
  <c r="F14"/>
  <c r="F25"/>
  <c r="F22"/>
  <c i="7" r="F15"/>
  <c i="6" r="F18"/>
  <c i="5" r="F24"/>
  <c r="F23"/>
  <c r="F21"/>
  <c r="F20"/>
  <c r="F16"/>
  <c r="F14"/>
  <c r="F25"/>
  <c r="F22"/>
  <c i="6" r="F15"/>
  <c i="5" r="F18"/>
  <c i="4" r="F24"/>
  <c r="F23"/>
  <c r="F21"/>
  <c r="F20"/>
  <c r="F16"/>
  <c r="F14"/>
  <c r="F25"/>
  <c r="F22"/>
  <c i="5" r="F15"/>
  <c i="4" r="F18"/>
  <c i="3" r="F24"/>
  <c r="F23"/>
  <c r="F21"/>
  <c r="F20"/>
  <c r="F16"/>
  <c r="F14"/>
  <c r="F25"/>
  <c r="F22"/>
  <c i="4" r="F15"/>
  <c i="3" r="F18"/>
  <c i="1" r="F24"/>
  <c r="F23"/>
  <c r="F21"/>
  <c r="F20"/>
  <c r="F25"/>
  <c r="F16"/>
  <c r="F14"/>
  <c r="F18"/>
  <c r="F15"/>
  <c i="3" r="F15"/>
  <c i="1" r="F22"/>
</calcChain>
</file>

<file path=xl/sharedStrings.xml><?xml version="1.0" encoding="utf-8"?>
<sst xmlns="http://schemas.openxmlformats.org/spreadsheetml/2006/main">
  <si>
    <t>Offer price for AB IMPORTS on 15/02/2021</t>
  </si>
  <si>
    <t>Request no. 20210200041</t>
  </si>
  <si>
    <t>Page 1</t>
  </si>
  <si>
    <t>No.</t>
  </si>
  <si>
    <t>Products</t>
  </si>
  <si>
    <t>Offer price</t>
  </si>
  <si>
    <t xml:space="preserve">24 cans 200 g/150 g  SKJ MSC P&amp;L Solid in Sunflower Oil, , EOE Lid</t>
  </si>
  <si>
    <t>24.05</t>
  </si>
  <si>
    <t xml:space="preserve">48 cans 170 g/120 g  SKJ Chunk in Sunflower Oil Topping Chili, , EOE Lid</t>
  </si>
  <si>
    <t>38.84</t>
  </si>
  <si>
    <t xml:space="preserve">48 cans 160 g/112 g  SKJ MSC P&amp;L Solid in Sunflower Oil, , EOE Lid</t>
  </si>
  <si>
    <t>38.49</t>
  </si>
  <si>
    <t xml:space="preserve">4 bag 3100 g/2900 g  SKJ MSC P&amp;L Chunk in Brine, , </t>
  </si>
  <si>
    <t>59.31</t>
  </si>
  <si>
    <t/>
  </si>
  <si>
    <t>41.40</t>
  </si>
  <si>
    <t>42.68</t>
  </si>
  <si>
    <t xml:space="preserve">48 cans 160 g/104 g  SKJ Chunk in Pure Olive Oil, , EOE Lid</t>
  </si>
  <si>
    <t>39.15</t>
  </si>
  <si>
    <t xml:space="preserve">12 cans 185 g/130 g  SKJ MSC P&amp;L Fillet in Brine, Fillet or Solid 10% flake max, EOE Lid</t>
  </si>
  <si>
    <t>11.23</t>
  </si>
  <si>
    <t xml:space="preserve">24 cans 80 g/56 g  SKJ MSC P&amp;L Fillet in Brine, Fillet or Solid 10% flake max, EOE Lid</t>
  </si>
  <si>
    <t>11.86</t>
  </si>
  <si>
    <t>19.93</t>
  </si>
  <si>
    <t xml:space="preserve">24 cans 160 g/116 g  SKJ MSC Pacifical Chunk in Brine, , EOE Lid</t>
  </si>
  <si>
    <t>18.48</t>
  </si>
  <si>
    <t xml:space="preserve">48 cans 95 g/70 g  SKJ MSC Pacifical Solid in Brine, , EOE Lid</t>
  </si>
  <si>
    <t>28.32</t>
  </si>
  <si>
    <t>Remark :</t>
  </si>
  <si>
    <t>Condition ;</t>
  </si>
  <si>
    <t>1. [PAYMENT TERM]</t>
  </si>
  <si>
    <t>D/A 30 DAYS AFTER INVOICE DATE</t>
  </si>
  <si>
    <t>2. [INCOTERM]</t>
  </si>
  <si>
    <t>CFR:Costs and freight</t>
  </si>
  <si>
    <t>3. [QUALITY]</t>
  </si>
  <si>
    <t>4. [QUANTITY]</t>
  </si>
  <si>
    <t>5. [SHIPMENT]</t>
  </si>
  <si>
    <t>03/01/2021 - 05/31/2021</t>
  </si>
  <si>
    <t>6. [VALIDITY]</t>
  </si>
  <si>
    <t>02/19/2021</t>
  </si>
  <si>
    <t>Offer price (Calculation sheet)</t>
  </si>
  <si>
    <t>Material</t>
  </si>
  <si>
    <t>3AA8LN2NJAIUCIABSX</t>
  </si>
  <si>
    <t>Description</t>
  </si>
  <si>
    <t>307X113 2P 150D200N SJ SL N SFO-24</t>
  </si>
  <si>
    <t>Name</t>
  </si>
  <si>
    <t>Pack size</t>
  </si>
  <si>
    <t>Yield</t>
  </si>
  <si>
    <t>FW/Quantity</t>
  </si>
  <si>
    <t>Price</t>
  </si>
  <si>
    <t>Result</t>
  </si>
  <si>
    <t>Currency</t>
  </si>
  <si>
    <t xml:space="preserve">MSC Skipjack (Pole and Line) from Maldive (FAO 51) Indian Ocean  </t>
  </si>
  <si>
    <t>24</t>
  </si>
  <si>
    <t>0.41</t>
  </si>
  <si>
    <t>150.00</t>
  </si>
  <si>
    <t>1472.00</t>
  </si>
  <si>
    <t>USD/Case</t>
  </si>
  <si>
    <t>Media</t>
  </si>
  <si>
    <t>Primary Packaging</t>
  </si>
  <si>
    <t>LOH per pack 24</t>
  </si>
  <si>
    <t>Packing Style</t>
  </si>
  <si>
    <t>USD/case</t>
  </si>
  <si>
    <t>Secondary Packaging</t>
  </si>
  <si>
    <t>Upcharge</t>
  </si>
  <si>
    <t>Margin</t>
  </si>
  <si>
    <t>0</t>
  </si>
  <si>
    <t>FOB price(18 - digits)</t>
  </si>
  <si>
    <t>Value Commission</t>
  </si>
  <si>
    <t>USD/pack size</t>
  </si>
  <si>
    <t>OverPrice</t>
  </si>
  <si>
    <t>FOB Price</t>
  </si>
  <si>
    <t>Route</t>
  </si>
  <si>
    <t>5250</t>
  </si>
  <si>
    <t>3500</t>
  </si>
  <si>
    <t>Insurance</t>
  </si>
  <si>
    <t>Interest</t>
  </si>
  <si>
    <t>CIF Price</t>
  </si>
  <si>
    <t>Pacifical</t>
  </si>
  <si>
    <t>MSC</t>
  </si>
  <si>
    <t>Offer Price</t>
  </si>
  <si>
    <t>Equivalent fish price</t>
  </si>
  <si>
    <t>USD/TON</t>
  </si>
  <si>
    <t>3AAOCN2TKALN5IUAS4</t>
  </si>
  <si>
    <t>307X111 2P 120D170N SJ CH N SFO CHILI-48</t>
  </si>
  <si>
    <t xml:space="preserve">Skipjack </t>
  </si>
  <si>
    <t>48</t>
  </si>
  <si>
    <t>0.42</t>
  </si>
  <si>
    <t>115.00</t>
  </si>
  <si>
    <t>1372.00</t>
  </si>
  <si>
    <t>LOH per pack 48</t>
  </si>
  <si>
    <t>1800</t>
  </si>
  <si>
    <t>3AA8LN2NBAZN5IUU1P</t>
  </si>
  <si>
    <t>307X108 2P 112D160N MSC SKJ SL N SFO-48</t>
  </si>
  <si>
    <t>112.00</t>
  </si>
  <si>
    <t>2000</t>
  </si>
  <si>
    <t>3BA8CBABT42PPIC4JC</t>
  </si>
  <si>
    <t>300X430 2900D3100N SJ MSC P&amp;L CHK NW-4</t>
  </si>
  <si>
    <t>4</t>
  </si>
  <si>
    <t>2800.00</t>
  </si>
  <si>
    <t>LOH per pack 4</t>
  </si>
  <si>
    <t>1200</t>
  </si>
  <si>
    <t>3AAOCN2NZA49NIUUSD</t>
  </si>
  <si>
    <t>401X411 3P D560N800/SJ CH/SFO-12</t>
  </si>
  <si>
    <t>12</t>
  </si>
  <si>
    <t>570.00</t>
  </si>
  <si>
    <t>LOH per pack 12</t>
  </si>
  <si>
    <t>1500</t>
  </si>
  <si>
    <t>3AAOCN2CXF69SIUURL</t>
  </si>
  <si>
    <t>603X408 3P 1200D1700N SJ CH N SFO-6</t>
  </si>
  <si>
    <t>6</t>
  </si>
  <si>
    <t>1223.00</t>
  </si>
  <si>
    <t>LOH per pack 6</t>
  </si>
  <si>
    <t xml:space="preserve">  2.00 </t>
  </si>
  <si>
    <t>1400</t>
  </si>
  <si>
    <t>3AAOCM3BBAHN5IUUS4</t>
  </si>
  <si>
    <t>307X108 2P104D160N SJ CH N P.OLV OIL-48</t>
  </si>
  <si>
    <t>104.00</t>
  </si>
  <si>
    <t xml:space="preserve">  0.25 </t>
  </si>
  <si>
    <t>3AA8IBABJAMU2MED2C</t>
  </si>
  <si>
    <t>307X113 2P 130D185N MSC SJ SL N BR-12</t>
  </si>
  <si>
    <t>135.00</t>
  </si>
  <si>
    <t>6700</t>
  </si>
  <si>
    <t>3AA8IBABEA8U2MED3N</t>
  </si>
  <si>
    <t>211X106 2P 56D80N MSC SJ FILLET N BR-24</t>
  </si>
  <si>
    <t>60.00</t>
  </si>
  <si>
    <t>8000</t>
  </si>
  <si>
    <t>3ATOLN2NBAZN5IUURU</t>
  </si>
  <si>
    <t>307X108 2P 112D160N TG SL N SFO-24</t>
  </si>
  <si>
    <t>Tonggol</t>
  </si>
  <si>
    <t>0.37</t>
  </si>
  <si>
    <t>1525.00</t>
  </si>
  <si>
    <t>4000</t>
  </si>
  <si>
    <t>3AA7CBABBBPNTIUAZ0</t>
  </si>
  <si>
    <t>307x108 2P 116D160N SJ CH N BR-24</t>
  </si>
  <si>
    <t>MSC Skipjack (Pacifical) from Western Pacific Ocean FAO71, 77 purse seines, Fad free</t>
  </si>
  <si>
    <t>116.00</t>
  </si>
  <si>
    <t>3AA7LBABSAANTIOKUF</t>
  </si>
  <si>
    <t>211X109 2P 70D95N SJ MSC SL N BR-48</t>
  </si>
  <si>
    <t>72.00</t>
  </si>
</sst>
</file>

<file path=xl/styles.xml><?xml version="1.0" encoding="utf-8"?>
<styleSheet xmlns="http://schemas.openxmlformats.org/spreadsheetml/2006/main">
  <numFmts count="4">
    <numFmt numFmtId="166" formatCode="$#,##0.00"/>
    <numFmt numFmtId="44" formatCode="_(&quot;$&quot;* #,##0.00_);_(&quot;$&quot;* (#,##0.00);_(&quot;$&quot;* &quot;-&quot;??_);_(@_)"/>
    <numFmt numFmtId="164" formatCode="0.0000"/>
    <numFmt numFmtId="165" formatCode="0.000"/>
  </numFmts>
  <fonts count="10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6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9"/>
      <color rgb="FF000000"/>
      <name val="Tahoma"/>
    </font>
    <font>
      <b/>
      <sz val="16"/>
      <name val="Calibri"/>
    </font>
    <font>
      <sz val="7.7"/>
      <name val="Calibri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1">
    <border/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6" fontId="1" fillId="0" borderId="2" xfId="1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44" fontId="1" fillId="0" borderId="2" xfId="1" applyFont="1" applyBorder="1" applyAlignment="1"/>
    <xf numFmtId="0" fontId="3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9" xfId="0" applyFont="1" applyFill="1" applyBorder="1"/>
    <xf numFmtId="0" fontId="0" fillId="0" borderId="9" xfId="0" applyFill="1" applyBorder="1"/>
    <xf numFmtId="0" fontId="4" fillId="0" borderId="2" xfId="0" applyFont="1" applyFill="1" applyBorder="1" applyAlignment="1">
      <alignment horizontal="center"/>
    </xf>
    <xf numFmtId="0" fontId="5" fillId="0" borderId="10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right" vertical="center" indent="1"/>
    </xf>
    <xf numFmtId="9" fontId="5" fillId="0" borderId="2" xfId="0" applyNumberFormat="1" applyFont="1" applyBorder="1" applyAlignment="1">
      <alignment horizontal="right" vertical="center" indent="1"/>
    </xf>
    <xf numFmtId="164" fontId="5" fillId="0" borderId="2" xfId="0" applyNumberFormat="1" applyFont="1" applyBorder="1" applyAlignment="1">
      <alignment horizontal="right" vertical="center" indent="1"/>
    </xf>
    <xf numFmtId="0" fontId="5" fillId="0" borderId="2" xfId="0" applyFont="1" applyBorder="1" applyAlignment="1">
      <alignment horizontal="center" vertical="center"/>
    </xf>
    <xf numFmtId="165" fontId="0" fillId="0" borderId="0" xfId="0" applyNumberFormat="1" applyFill="1"/>
    <xf numFmtId="0" fontId="0" fillId="0" borderId="0" xfId="0" applyFill="1" applyBorder="1" applyAlignment="1">
      <alignment horizontal="center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theme" Target="theme/theme1.xml" /><Relationship Id="rId17" Type="http://schemas.openxmlformats.org/officeDocument/2006/relationships/calcChain" Target="calcChain.xml" /><Relationship Id="rId1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 tint="-0.499984740745262"/>
  </sheetPr>
  <sheetViews>
    <sheetView zoomScaleNormal="100" zoomScaleSheetLayoutView="115" workbookViewId="0">
      <selection activeCell="C4" sqref="C4"/>
    </sheetView>
  </sheetViews>
  <sheetFormatPr defaultColWidth="9.140625" defaultRowHeight="14.4"/>
  <cols>
    <col min="1" max="1" width="0.9921875" style="2" customWidth="1"/>
    <col min="2" max="2" width="3.851563" style="2" customWidth="1"/>
    <col min="3" max="3" width="51.85156" style="2" customWidth="1"/>
    <col min="4" max="4" width="21.28125" style="2" customWidth="1"/>
    <col min="5" max="5" width="1.285156" style="2" customWidth="1"/>
    <col min="6" max="16384" width="9.140625" style="2"/>
  </cols>
  <sheetData>
    <row r="1" ht="21">
      <c r="A1" s="3"/>
      <c r="B1" s="3"/>
      <c r="C1" s="4" t="s">
        <v>0</v>
      </c>
    </row>
    <row r="2">
      <c r="C2" s="5" t="s">
        <v>1</v>
      </c>
      <c r="D2" s="6" t="s">
        <v>2</v>
      </c>
    </row>
    <row r="3">
      <c r="B3" s="7" t="s">
        <v>3</v>
      </c>
      <c r="C3" s="7" t="s">
        <v>4</v>
      </c>
      <c r="D3" s="8" t="s">
        <v>5</v>
      </c>
    </row>
    <row r="4">
      <c r="B4" s="9">
        <v>1</v>
      </c>
      <c r="C4" s="9" t="s">
        <v>6</v>
      </c>
      <c r="D4" s="10" t="s">
        <v>7</v>
      </c>
    </row>
    <row r="5">
      <c r="B5" s="11">
        <v>2</v>
      </c>
      <c r="C5" s="12" t="s">
        <v>8</v>
      </c>
      <c r="D5" s="13" t="s">
        <v>9</v>
      </c>
    </row>
    <row r="6">
      <c r="B6" s="11">
        <v>3</v>
      </c>
      <c r="C6" s="12" t="s">
        <v>10</v>
      </c>
      <c r="D6" s="13" t="s">
        <v>11</v>
      </c>
    </row>
    <row r="7">
      <c r="B7" s="11">
        <v>4</v>
      </c>
      <c r="C7" s="12" t="s">
        <v>12</v>
      </c>
      <c r="D7" s="13" t="s">
        <v>13</v>
      </c>
    </row>
    <row r="8">
      <c r="B8" s="11">
        <v>5</v>
      </c>
      <c r="C8" s="12" t="s">
        <v>14</v>
      </c>
      <c r="D8" s="13" t="s">
        <v>15</v>
      </c>
    </row>
    <row r="9">
      <c r="B9" s="11">
        <v>6</v>
      </c>
      <c r="C9" s="12" t="s">
        <v>14</v>
      </c>
      <c r="D9" s="13" t="s">
        <v>16</v>
      </c>
    </row>
    <row r="10">
      <c r="B10" s="11">
        <v>7</v>
      </c>
      <c r="C10" s="12" t="s">
        <v>17</v>
      </c>
      <c r="D10" s="13" t="s">
        <v>18</v>
      </c>
    </row>
    <row r="11">
      <c r="B11" s="11">
        <v>8</v>
      </c>
      <c r="C11" s="12" t="s">
        <v>19</v>
      </c>
      <c r="D11" s="13" t="s">
        <v>20</v>
      </c>
    </row>
    <row r="12">
      <c r="B12" s="11">
        <v>9</v>
      </c>
      <c r="C12" s="12" t="s">
        <v>21</v>
      </c>
      <c r="D12" s="13" t="s">
        <v>22</v>
      </c>
    </row>
    <row r="13">
      <c r="B13" s="11">
        <v>10</v>
      </c>
      <c r="C13" s="12" t="s">
        <v>19</v>
      </c>
      <c r="D13" s="13" t="s">
        <v>20</v>
      </c>
    </row>
    <row r="14">
      <c r="B14" s="11">
        <v>11</v>
      </c>
      <c r="C14" s="12" t="s">
        <v>14</v>
      </c>
      <c r="D14" s="13" t="s">
        <v>23</v>
      </c>
    </row>
    <row r="15">
      <c r="B15" s="11">
        <v>12</v>
      </c>
      <c r="C15" s="12" t="s">
        <v>24</v>
      </c>
      <c r="D15" s="13" t="s">
        <v>25</v>
      </c>
    </row>
    <row r="16">
      <c r="B16" s="11">
        <v>13</v>
      </c>
      <c r="C16" s="12" t="s">
        <v>26</v>
      </c>
      <c r="D16" s="13" t="s">
        <v>27</v>
      </c>
    </row>
    <row r="17">
      <c r="B17" s="14"/>
      <c r="C17" s="12"/>
      <c r="D17" s="15"/>
    </row>
    <row r="18">
      <c r="B18" s="14"/>
      <c r="C18" s="12"/>
      <c r="D18" s="15"/>
    </row>
    <row r="19">
      <c r="C19" s="16" t="s">
        <v>28</v>
      </c>
    </row>
    <row r="20" ht="15" customHeight="1">
      <c r="C20" s="17"/>
      <c r="D20" s="18"/>
    </row>
    <row r="21">
      <c r="C21" s="19"/>
      <c r="D21" s="20"/>
    </row>
    <row r="22">
      <c r="C22" s="21"/>
      <c r="D22" s="22"/>
    </row>
    <row r="23" ht="15" customHeight="1">
      <c r="C23" s="23" t="s">
        <v>29</v>
      </c>
      <c r="D23" s="24"/>
    </row>
    <row r="24">
      <c r="C24" s="5" t="s">
        <v>30</v>
      </c>
      <c r="D24" s="25" t="s">
        <v>31</v>
      </c>
    </row>
    <row r="25">
      <c r="C25" s="5" t="s">
        <v>32</v>
      </c>
      <c r="D25" s="25" t="s">
        <v>33</v>
      </c>
    </row>
    <row r="26">
      <c r="C26" s="5" t="s">
        <v>34</v>
      </c>
      <c r="D26" s="25"/>
    </row>
    <row r="27">
      <c r="C27" s="5" t="s">
        <v>35</v>
      </c>
      <c r="D27" s="25"/>
    </row>
    <row r="28">
      <c r="C28" s="5" t="s">
        <v>36</v>
      </c>
      <c r="D28" s="25" t="s">
        <v>37</v>
      </c>
    </row>
    <row r="29">
      <c r="C29" s="5" t="s">
        <v>38</v>
      </c>
      <c r="D29" s="25" t="s">
        <v>39</v>
      </c>
    </row>
    <row r="31">
      <c r="C31" s="16" t="s">
        <v>28</v>
      </c>
    </row>
    <row r="32">
      <c r="C32" s="17"/>
      <c r="D32" s="18"/>
    </row>
    <row r="33">
      <c r="C33" s="19"/>
      <c r="D33" s="20"/>
    </row>
    <row r="34">
      <c r="C34" s="21"/>
      <c r="D34" s="22"/>
    </row>
  </sheetData>
  <mergeCells count="2">
    <mergeCell ref="C20:D22"/>
    <mergeCell ref="C32:D34"/>
  </mergeCells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>
      <selection activeCell="F19" sqref="F19"/>
    </sheetView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42</v>
      </c>
    </row>
    <row r="4">
      <c r="A4" s="28" t="s">
        <v>43</v>
      </c>
      <c r="B4" s="26" t="s">
        <v>44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52</v>
      </c>
      <c r="B7" s="32" t="s">
        <v>53</v>
      </c>
      <c r="C7" s="33" t="s">
        <v>54</v>
      </c>
      <c r="D7" s="32" t="s">
        <v>55</v>
      </c>
      <c r="E7" s="32" t="s">
        <v>56</v>
      </c>
      <c r="F7" s="34">
        <f>(E7/1000)*(D7/1000)/C7*B7</f>
        <v>12.924878048780489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1.092</f>
        <v>1.0920000000000001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2.184</f>
        <v>2.1840000000000002</v>
      </c>
      <c r="G9" s="35" t="s">
        <v>57</v>
      </c>
    </row>
    <row r="10">
      <c r="A10" s="31" t="s">
        <v>60</v>
      </c>
      <c r="B10" s="32"/>
      <c r="C10" s="32"/>
      <c r="D10" s="32"/>
      <c r="E10" s="32"/>
      <c r="F10" s="34">
        <f>4.9873</f>
        <v>4.9873000000000003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0.2707</f>
        <v>0.2707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1.425</f>
        <v>1.425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22.883878048780492</v>
      </c>
      <c r="G15" s="35" t="s">
        <v>57</v>
      </c>
    </row>
    <row r="16">
      <c r="A16" s="31" t="s">
        <v>68</v>
      </c>
      <c r="B16" s="32"/>
      <c r="C16" s="32"/>
      <c r="D16" s="32">
        <f>  1</f>
        <v>1</v>
      </c>
      <c r="E16" s="32">
        <v>0</v>
      </c>
      <c r="F16" s="34">
        <f ca="1">(F15/(100 -D16)*100)-F15</f>
        <v>0.23115028332101417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23.115028332101506</v>
      </c>
      <c r="G18" s="35" t="s">
        <v>69</v>
      </c>
    </row>
    <row r="19">
      <c r="A19" s="31" t="s">
        <v>72</v>
      </c>
      <c r="B19" s="32"/>
      <c r="C19" s="32"/>
      <c r="D19" s="32" t="s">
        <v>73</v>
      </c>
      <c r="E19" s="32" t="s">
        <v>74</v>
      </c>
      <c r="F19" s="34">
        <f>ROUND(E19/D19,4)</f>
        <v>0.66669999999999996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0.026317808013392011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0.11723387205965531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23.925280012174554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0.11962640006087277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24.044906412235427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1472.0000000000016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83</v>
      </c>
    </row>
    <row r="4">
      <c r="A4" s="28" t="s">
        <v>43</v>
      </c>
      <c r="B4" s="26" t="s">
        <v>84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85</v>
      </c>
      <c r="B7" s="32" t="s">
        <v>86</v>
      </c>
      <c r="C7" s="33" t="s">
        <v>87</v>
      </c>
      <c r="D7" s="32" t="s">
        <v>88</v>
      </c>
      <c r="E7" s="32" t="s">
        <v>89</v>
      </c>
      <c r="F7" s="34">
        <f>(E7/1000)*(D7/1000)/C7*B7</f>
        <v>18.032000000000004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2.4024</f>
        <v>2.4024000000000001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4.048</f>
        <v>4.048</v>
      </c>
      <c r="G9" s="35" t="s">
        <v>57</v>
      </c>
    </row>
    <row r="10">
      <c r="A10" s="31" t="s">
        <v>90</v>
      </c>
      <c r="B10" s="32"/>
      <c r="C10" s="32"/>
      <c r="D10" s="32"/>
      <c r="E10" s="32"/>
      <c r="F10" s="34">
        <f>8.9067</f>
        <v>8.9067000000000007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0.5414</f>
        <v>0.54139999999999999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2</f>
        <v>2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35.930500000000009</v>
      </c>
      <c r="G15" s="35" t="s">
        <v>57</v>
      </c>
    </row>
    <row r="16">
      <c r="A16" s="31" t="s">
        <v>68</v>
      </c>
      <c r="B16" s="32"/>
      <c r="C16" s="32"/>
      <c r="D16" s="32">
        <f>  2</f>
        <v>2</v>
      </c>
      <c r="E16" s="32">
        <v>0</v>
      </c>
      <c r="F16" s="34">
        <f ca="1">(F15/(100 -D16)*100)-F15</f>
        <v>0.73327551020408066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36.66377551020409</v>
      </c>
      <c r="G18" s="35" t="s">
        <v>69</v>
      </c>
    </row>
    <row r="19">
      <c r="A19" s="31" t="s">
        <v>72</v>
      </c>
      <c r="B19" s="32"/>
      <c r="C19" s="32"/>
      <c r="D19" s="32" t="s">
        <v>91</v>
      </c>
      <c r="E19" s="32" t="s">
        <v>74</v>
      </c>
      <c r="F19" s="34">
        <f>ROUND(E19/D19,4)</f>
        <v>1.9443999999999999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0.042725345132016611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0.19032199195171035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38.841222847287824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0%</f>
        <v>0</v>
      </c>
      <c r="E24" s="32">
        <v>0</v>
      </c>
      <c r="F24" s="34">
        <f ca="1">D24*F22</f>
        <v>0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38.841222847287824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1372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92</v>
      </c>
    </row>
    <row r="4">
      <c r="A4" s="28" t="s">
        <v>43</v>
      </c>
      <c r="B4" s="26" t="s">
        <v>93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52</v>
      </c>
      <c r="B7" s="32" t="s">
        <v>86</v>
      </c>
      <c r="C7" s="33" t="s">
        <v>54</v>
      </c>
      <c r="D7" s="32" t="s">
        <v>94</v>
      </c>
      <c r="E7" s="32" t="s">
        <v>56</v>
      </c>
      <c r="F7" s="34">
        <f>(E7/1000)*(D7/1000)/C7*B7</f>
        <v>19.301151219512196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2.0966</f>
        <v>2.0966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4.048</f>
        <v>4.048</v>
      </c>
      <c r="G9" s="35" t="s">
        <v>57</v>
      </c>
    </row>
    <row r="10">
      <c r="A10" s="31" t="s">
        <v>90</v>
      </c>
      <c r="B10" s="32"/>
      <c r="C10" s="32"/>
      <c r="D10" s="32"/>
      <c r="E10" s="32"/>
      <c r="F10" s="34">
        <f>8.8323</f>
        <v>8.8323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0.5414</f>
        <v>0.54139999999999999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1.5</f>
        <v>1.5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36.319451219512196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36.319451219512196</v>
      </c>
      <c r="G18" s="35" t="s">
        <v>69</v>
      </c>
    </row>
    <row r="19">
      <c r="A19" s="31" t="s">
        <v>72</v>
      </c>
      <c r="B19" s="32"/>
      <c r="C19" s="32"/>
      <c r="D19" s="32" t="s">
        <v>95</v>
      </c>
      <c r="E19" s="32" t="s">
        <v>74</v>
      </c>
      <c r="F19" s="34">
        <f>ROUND(E19/D19,4)</f>
        <v>1.75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0.042129171369681508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0.18766630882858124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38.299246699710459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0.1914962334985523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38.490742933209013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1472.0000000000005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96</v>
      </c>
    </row>
    <row r="4">
      <c r="A4" s="28" t="s">
        <v>43</v>
      </c>
      <c r="B4" s="26" t="s">
        <v>97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52</v>
      </c>
      <c r="B7" s="32" t="s">
        <v>98</v>
      </c>
      <c r="C7" s="33" t="s">
        <v>54</v>
      </c>
      <c r="D7" s="32" t="s">
        <v>99</v>
      </c>
      <c r="E7" s="32" t="s">
        <v>56</v>
      </c>
      <c r="F7" s="34">
        <f>(E7/1000)*(D7/1000)/C7*B7</f>
        <v>40.210731707317073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0</f>
        <v>0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1.3787</f>
        <v>1.3787</v>
      </c>
      <c r="G9" s="35" t="s">
        <v>57</v>
      </c>
    </row>
    <row r="10">
      <c r="A10" s="31" t="s">
        <v>100</v>
      </c>
      <c r="B10" s="32"/>
      <c r="C10" s="32"/>
      <c r="D10" s="32"/>
      <c r="E10" s="32"/>
      <c r="F10" s="34">
        <f>11.62</f>
        <v>11.619999999999999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1.4145</f>
        <v>1.4145000000000001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0</f>
        <v>0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54.62393170731707</v>
      </c>
      <c r="G15" s="35" t="s">
        <v>57</v>
      </c>
    </row>
    <row r="16">
      <c r="A16" s="31" t="s">
        <v>68</v>
      </c>
      <c r="B16" s="32"/>
      <c r="C16" s="32"/>
      <c r="D16" s="32">
        <f>  2</f>
        <v>2</v>
      </c>
      <c r="E16" s="32">
        <v>0</v>
      </c>
      <c r="F16" s="34">
        <f ca="1">(F15/(100 -D16)*100)-F15</f>
        <v>1.1147741164758642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55.738705823792934</v>
      </c>
      <c r="G18" s="35" t="s">
        <v>69</v>
      </c>
    </row>
    <row r="19">
      <c r="A19" s="31" t="s">
        <v>72</v>
      </c>
      <c r="B19" s="32"/>
      <c r="C19" s="32"/>
      <c r="D19" s="32" t="s">
        <v>101</v>
      </c>
      <c r="E19" s="32" t="s">
        <v>74</v>
      </c>
      <c r="F19" s="34">
        <f>ROUND(E19/D19,4)</f>
        <v>2.9167000000000001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0.064910408859328195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0.28914636673700739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59.009462599389266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0.29504731299694636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59.304509912386216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1472.0000000000007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102</v>
      </c>
    </row>
    <row r="4">
      <c r="A4" s="28" t="s">
        <v>43</v>
      </c>
      <c r="B4" s="26" t="s">
        <v>103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85</v>
      </c>
      <c r="B7" s="32" t="s">
        <v>104</v>
      </c>
      <c r="C7" s="33" t="s">
        <v>87</v>
      </c>
      <c r="D7" s="32" t="s">
        <v>105</v>
      </c>
      <c r="E7" s="32" t="s">
        <v>89</v>
      </c>
      <c r="F7" s="34">
        <f>(E7/1000)*(D7/1000)/C7*B7</f>
        <v>22.343999999999998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2.5116</f>
        <v>2.5116000000000001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3.728</f>
        <v>3.7280000000000002</v>
      </c>
      <c r="G9" s="35" t="s">
        <v>57</v>
      </c>
    </row>
    <row r="10">
      <c r="A10" s="31" t="s">
        <v>106</v>
      </c>
      <c r="B10" s="32"/>
      <c r="C10" s="32"/>
      <c r="D10" s="32"/>
      <c r="E10" s="32"/>
      <c r="F10" s="34">
        <f>9.5887</f>
        <v>9.5886999999999993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0.6448</f>
        <v>0.64480000000000004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0</f>
        <v>0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38.817099999999996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38.817099999999996</v>
      </c>
      <c r="G18" s="35" t="s">
        <v>69</v>
      </c>
    </row>
    <row r="19">
      <c r="A19" s="31" t="s">
        <v>72</v>
      </c>
      <c r="B19" s="32"/>
      <c r="C19" s="32"/>
      <c r="D19" s="32" t="s">
        <v>107</v>
      </c>
      <c r="E19" s="32" t="s">
        <v>74</v>
      </c>
      <c r="F19" s="34">
        <f>ROUND(E19/D19,4)</f>
        <v>2.3332999999999999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0.04553867203219316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0.20285408450704226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41.398792756539237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0%</f>
        <v>0</v>
      </c>
      <c r="E24" s="32">
        <v>0</v>
      </c>
      <c r="F24" s="34">
        <f ca="1">D24*F22</f>
        <v>0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41.398792756539237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1372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108</v>
      </c>
    </row>
    <row r="4">
      <c r="A4" s="28" t="s">
        <v>43</v>
      </c>
      <c r="B4" s="26" t="s">
        <v>109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85</v>
      </c>
      <c r="B7" s="32" t="s">
        <v>110</v>
      </c>
      <c r="C7" s="33" t="s">
        <v>87</v>
      </c>
      <c r="D7" s="32" t="s">
        <v>111</v>
      </c>
      <c r="E7" s="32" t="s">
        <v>89</v>
      </c>
      <c r="F7" s="34">
        <f>(E7/1000)*(D7/1000)/C7*B7</f>
        <v>23.970800000000004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2.2324</f>
        <v>2.2324000000000002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3.134</f>
        <v>3.1339999999999999</v>
      </c>
      <c r="G9" s="35" t="s">
        <v>57</v>
      </c>
    </row>
    <row r="10">
      <c r="A10" s="31" t="s">
        <v>112</v>
      </c>
      <c r="B10" s="32"/>
      <c r="C10" s="32"/>
      <c r="D10" s="32"/>
      <c r="E10" s="32"/>
      <c r="F10" s="34">
        <f>9.6844</f>
        <v>9.6844000000000001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0.582</f>
        <v>0.58199999999999996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0</f>
        <v>0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39.603600000000007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113</v>
      </c>
      <c r="F17" s="34">
        <f ca="1">(F15/(100-E17)*100)-F15</f>
        <v>0.80823673469387813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40.411836734693885</v>
      </c>
      <c r="G18" s="35" t="s">
        <v>69</v>
      </c>
    </row>
    <row r="19">
      <c r="A19" s="31" t="s">
        <v>72</v>
      </c>
      <c r="B19" s="32"/>
      <c r="C19" s="32"/>
      <c r="D19" s="32" t="s">
        <v>114</v>
      </c>
      <c r="E19" s="32" t="s">
        <v>74</v>
      </c>
      <c r="F19" s="34">
        <f>ROUND(E19/D19,4)</f>
        <v>2.5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0.04748794809674374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0.21153722334004027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43.170861906130668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0%</f>
        <v>0</v>
      </c>
      <c r="E24" s="32">
        <v>0</v>
      </c>
      <c r="F24" s="34">
        <f ca="1">D24*F22</f>
        <v>0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43.170861906130668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1372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115</v>
      </c>
    </row>
    <row r="4">
      <c r="A4" s="28" t="s">
        <v>43</v>
      </c>
      <c r="B4" s="26" t="s">
        <v>116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85</v>
      </c>
      <c r="B7" s="32" t="s">
        <v>86</v>
      </c>
      <c r="C7" s="33" t="s">
        <v>87</v>
      </c>
      <c r="D7" s="32" t="s">
        <v>117</v>
      </c>
      <c r="E7" s="32" t="s">
        <v>89</v>
      </c>
      <c r="F7" s="34">
        <f>(E7/1000)*(D7/1000)/C7*B7</f>
        <v>16.307200000000002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6.3867</f>
        <v>6.3867000000000003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4.048</f>
        <v>4.048</v>
      </c>
      <c r="G9" s="35" t="s">
        <v>57</v>
      </c>
    </row>
    <row r="10">
      <c r="A10" s="31" t="s">
        <v>90</v>
      </c>
      <c r="B10" s="32"/>
      <c r="C10" s="32"/>
      <c r="D10" s="32"/>
      <c r="E10" s="32"/>
      <c r="F10" s="34">
        <f>8.6339</f>
        <v>8.6339000000000006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0.5414</f>
        <v>0.54139999999999999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1</f>
        <v>1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36.917200000000001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118</v>
      </c>
      <c r="F17" s="34">
        <f>  0.25</f>
        <v>0.25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37.167200000000001</v>
      </c>
      <c r="G18" s="35" t="s">
        <v>69</v>
      </c>
    </row>
    <row r="19">
      <c r="A19" s="31" t="s">
        <v>72</v>
      </c>
      <c r="B19" s="32"/>
      <c r="C19" s="32"/>
      <c r="D19" s="32" t="s">
        <v>95</v>
      </c>
      <c r="E19" s="32" t="s">
        <v>74</v>
      </c>
      <c r="F19" s="34">
        <f>ROUND(E19/D19,4)</f>
        <v>1.75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0.04306732394366198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0.19184535211267606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39.15211267605634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0%</f>
        <v>0</v>
      </c>
      <c r="E24" s="32">
        <v>0</v>
      </c>
      <c r="F24" s="34">
        <f ca="1">D24*F22</f>
        <v>0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39.15211267605634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1372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119</v>
      </c>
    </row>
    <row r="4">
      <c r="A4" s="28" t="s">
        <v>43</v>
      </c>
      <c r="B4" s="26" t="s">
        <v>120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52</v>
      </c>
      <c r="B7" s="32" t="s">
        <v>104</v>
      </c>
      <c r="C7" s="33" t="s">
        <v>54</v>
      </c>
      <c r="D7" s="32" t="s">
        <v>121</v>
      </c>
      <c r="E7" s="32" t="s">
        <v>56</v>
      </c>
      <c r="F7" s="34">
        <f>(E7/1000)*(D7/1000)/C7*B7</f>
        <v>5.8161951219512202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0</f>
        <v>0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1.092</f>
        <v>1.0920000000000001</v>
      </c>
      <c r="G9" s="35" t="s">
        <v>57</v>
      </c>
    </row>
    <row r="10">
      <c r="A10" s="31" t="s">
        <v>106</v>
      </c>
      <c r="B10" s="32"/>
      <c r="C10" s="32"/>
      <c r="D10" s="32"/>
      <c r="E10" s="32"/>
      <c r="F10" s="34">
        <f>2.4507</f>
        <v>2.4506999999999999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0.1354</f>
        <v>0.13539999999999999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1.0875</f>
        <v>1.0874999999999999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10.58179512195122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10.58179512195122</v>
      </c>
      <c r="G18" s="35" t="s">
        <v>69</v>
      </c>
    </row>
    <row r="19">
      <c r="A19" s="31" t="s">
        <v>72</v>
      </c>
      <c r="B19" s="32"/>
      <c r="C19" s="32"/>
      <c r="D19" s="32" t="s">
        <v>122</v>
      </c>
      <c r="E19" s="32" t="s">
        <v>74</v>
      </c>
      <c r="F19" s="34">
        <f>ROUND(E19/D19,4)</f>
        <v>0.52239999999999998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0.012288344702360505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0.054738990037787698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11.171222456691368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0.055856112283456841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11.227078568974825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1471.9999999999948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123</v>
      </c>
    </row>
    <row r="4">
      <c r="A4" s="28" t="s">
        <v>43</v>
      </c>
      <c r="B4" s="26" t="s">
        <v>124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52</v>
      </c>
      <c r="B7" s="32" t="s">
        <v>53</v>
      </c>
      <c r="C7" s="33" t="s">
        <v>54</v>
      </c>
      <c r="D7" s="32" t="s">
        <v>125</v>
      </c>
      <c r="E7" s="32" t="s">
        <v>56</v>
      </c>
      <c r="F7" s="34">
        <f>(E7/1000)*(D7/1000)/C7*B7</f>
        <v>5.1699512195121953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0</f>
        <v>0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1.656</f>
        <v>1.6559999999999999</v>
      </c>
      <c r="G9" s="35" t="s">
        <v>57</v>
      </c>
    </row>
    <row r="10">
      <c r="A10" s="31" t="s">
        <v>60</v>
      </c>
      <c r="B10" s="32"/>
      <c r="C10" s="32"/>
      <c r="D10" s="32"/>
      <c r="E10" s="32"/>
      <c r="F10" s="34">
        <f>3.0439</f>
        <v>3.0438999999999998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0.1762</f>
        <v>0.1762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1.25</f>
        <v>1.25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11.296051219512195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11.296051219512195</v>
      </c>
      <c r="G18" s="35" t="s">
        <v>69</v>
      </c>
    </row>
    <row r="19">
      <c r="A19" s="31" t="s">
        <v>72</v>
      </c>
      <c r="B19" s="32"/>
      <c r="C19" s="32"/>
      <c r="D19" s="32" t="s">
        <v>126</v>
      </c>
      <c r="E19" s="32" t="s">
        <v>74</v>
      </c>
      <c r="F19" s="34">
        <f>ROUND(E19/D19,4)</f>
        <v>0.4375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0.012984815232860578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0.057841449673651658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11.804377484418707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0.059021887422093536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11.863399371840799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1472.0000000000016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119</v>
      </c>
    </row>
    <row r="4">
      <c r="A4" s="28" t="s">
        <v>43</v>
      </c>
      <c r="B4" s="26" t="s">
        <v>120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52</v>
      </c>
      <c r="B7" s="32" t="s">
        <v>104</v>
      </c>
      <c r="C7" s="33" t="s">
        <v>54</v>
      </c>
      <c r="D7" s="32" t="s">
        <v>121</v>
      </c>
      <c r="E7" s="32" t="s">
        <v>56</v>
      </c>
      <c r="F7" s="34">
        <f>(E7/1000)*(D7/1000)/C7*B7</f>
        <v>5.8161951219512202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0</f>
        <v>0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1.092</f>
        <v>1.0920000000000001</v>
      </c>
      <c r="G9" s="35" t="s">
        <v>57</v>
      </c>
    </row>
    <row r="10">
      <c r="A10" s="31" t="s">
        <v>106</v>
      </c>
      <c r="B10" s="32"/>
      <c r="C10" s="32"/>
      <c r="D10" s="32"/>
      <c r="E10" s="32"/>
      <c r="F10" s="34">
        <f>2.4507</f>
        <v>2.4506999999999999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0.1354</f>
        <v>0.13539999999999999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1.0875</f>
        <v>1.0874999999999999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10.58179512195122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10.58179512195122</v>
      </c>
      <c r="G18" s="35" t="s">
        <v>69</v>
      </c>
    </row>
    <row r="19">
      <c r="A19" s="31" t="s">
        <v>72</v>
      </c>
      <c r="B19" s="32"/>
      <c r="C19" s="32"/>
      <c r="D19" s="32" t="s">
        <v>122</v>
      </c>
      <c r="E19" s="32" t="s">
        <v>74</v>
      </c>
      <c r="F19" s="34">
        <f>ROUND(E19/D19,4)</f>
        <v>0.52239999999999998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0.012288344702360505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0.054738990037787698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11.171222456691368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0.055856112283456841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11.227078568974825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1471.9999999999948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127</v>
      </c>
    </row>
    <row r="4">
      <c r="A4" s="28" t="s">
        <v>43</v>
      </c>
      <c r="B4" s="26" t="s">
        <v>128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129</v>
      </c>
      <c r="B7" s="32" t="s">
        <v>53</v>
      </c>
      <c r="C7" s="33" t="s">
        <v>130</v>
      </c>
      <c r="D7" s="32" t="s">
        <v>94</v>
      </c>
      <c r="E7" s="32" t="s">
        <v>131</v>
      </c>
      <c r="F7" s="34">
        <f>(E7/1000)*(D7/1000)/C7*B7</f>
        <v>11.078918918918919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1.0483</f>
        <v>1.0483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2.024</f>
        <v>2.024</v>
      </c>
      <c r="G9" s="35" t="s">
        <v>57</v>
      </c>
    </row>
    <row r="10">
      <c r="A10" s="31" t="s">
        <v>60</v>
      </c>
      <c r="B10" s="32"/>
      <c r="C10" s="32"/>
      <c r="D10" s="32"/>
      <c r="E10" s="32"/>
      <c r="F10" s="34">
        <f>4.5161</f>
        <v>4.5160999999999998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0.2707</f>
        <v>0.2707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0</f>
        <v>0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18.938018918918917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18.938018918918917</v>
      </c>
      <c r="G18" s="35" t="s">
        <v>69</v>
      </c>
    </row>
    <row r="19">
      <c r="A19" s="31" t="s">
        <v>72</v>
      </c>
      <c r="B19" s="32"/>
      <c r="C19" s="32"/>
      <c r="D19" s="32" t="s">
        <v>132</v>
      </c>
      <c r="E19" s="32" t="s">
        <v>74</v>
      </c>
      <c r="F19" s="34">
        <f>ROUND(E19/D19,4)</f>
        <v>0.875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0.021925876067214096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0.097669811572135515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19.932614606558268</v>
      </c>
      <c r="G22" s="35" t="s">
        <v>69</v>
      </c>
    </row>
    <row r="23">
      <c r="A23" s="31" t="s">
        <v>78</v>
      </c>
      <c r="B23" s="32"/>
      <c r="C23" s="32"/>
      <c r="D23" s="32">
        <f>0%</f>
        <v>0</v>
      </c>
      <c r="E23" s="32">
        <v>0</v>
      </c>
      <c r="F23" s="34">
        <f ca="1">D23*F22</f>
        <v>0</v>
      </c>
      <c r="G23" s="35"/>
    </row>
    <row r="24">
      <c r="A24" s="31" t="s">
        <v>79</v>
      </c>
      <c r="B24" s="32"/>
      <c r="C24" s="32"/>
      <c r="D24" s="32">
        <f>0%</f>
        <v>0</v>
      </c>
      <c r="E24" s="32">
        <v>0</v>
      </c>
      <c r="F24" s="34">
        <f ca="1">D24*F22</f>
        <v>0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19.932614606558268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1524.9999999999973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133</v>
      </c>
    </row>
    <row r="4">
      <c r="A4" s="28" t="s">
        <v>43</v>
      </c>
      <c r="B4" s="26" t="s">
        <v>134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135</v>
      </c>
      <c r="B7" s="32" t="s">
        <v>53</v>
      </c>
      <c r="C7" s="33" t="s">
        <v>87</v>
      </c>
      <c r="D7" s="32" t="s">
        <v>136</v>
      </c>
      <c r="E7" s="32" t="s">
        <v>56</v>
      </c>
      <c r="F7" s="34">
        <f>(E7/1000)*(D7/1000)/C7*B7</f>
        <v>9.757257142857144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0</f>
        <v>0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2.024</f>
        <v>2.024</v>
      </c>
      <c r="G9" s="35" t="s">
        <v>57</v>
      </c>
    </row>
    <row r="10">
      <c r="A10" s="31" t="s">
        <v>60</v>
      </c>
      <c r="B10" s="32"/>
      <c r="C10" s="32"/>
      <c r="D10" s="32"/>
      <c r="E10" s="32"/>
      <c r="F10" s="34">
        <f>4.5657</f>
        <v>4.5656999999999996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0.2707</f>
        <v>0.2707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0.425</f>
        <v>0.42499999999999999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17.042657142857145</v>
      </c>
      <c r="G15" s="35" t="s">
        <v>57</v>
      </c>
    </row>
    <row r="16">
      <c r="A16" s="31" t="s">
        <v>68</v>
      </c>
      <c r="B16" s="32"/>
      <c r="C16" s="32"/>
      <c r="D16" s="32">
        <f>0</f>
        <v>0</v>
      </c>
      <c r="E16" s="32">
        <v>0</v>
      </c>
      <c r="F16" s="34">
        <f ca="1">(F15/(100 -D16)*100)-F15</f>
        <v>0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17.042657142857145</v>
      </c>
      <c r="G18" s="35" t="s">
        <v>69</v>
      </c>
    </row>
    <row r="19">
      <c r="A19" s="31" t="s">
        <v>72</v>
      </c>
      <c r="B19" s="32"/>
      <c r="C19" s="32"/>
      <c r="D19" s="32" t="s">
        <v>132</v>
      </c>
      <c r="E19" s="32" t="s">
        <v>74</v>
      </c>
      <c r="F19" s="34">
        <f>ROUND(E19/D19,4)</f>
        <v>0.875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0.01982839321644151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0.088326478873239439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18.025812014946826</v>
      </c>
      <c r="G22" s="35" t="s">
        <v>69</v>
      </c>
    </row>
    <row r="23">
      <c r="A23" s="31" t="s">
        <v>78</v>
      </c>
      <c r="B23" s="32"/>
      <c r="C23" s="32"/>
      <c r="D23" s="32">
        <f>2%</f>
        <v>0.02</v>
      </c>
      <c r="E23" s="32">
        <v>0</v>
      </c>
      <c r="F23" s="34">
        <f ca="1">D23*F22</f>
        <v>0.36051624029893653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0.090129060074734132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18.476457315320495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1471.9999999999934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tabColor rgb="FF002060"/>
  </sheetPr>
  <sheetViews>
    <sheetView tabSelected="1" showGridLines="0" workbookViewId="0" topLeftCell="A4"/>
  </sheetViews>
  <sheetFormatPr defaultRowHeight="14.4"/>
  <cols>
    <col min="1" max="1" width="24.57422" style="26" bestFit="1" customWidth="1"/>
    <col min="2" max="2" width="11.85156" style="26" customWidth="1"/>
    <col min="3" max="3" width="11.00391" style="26" customWidth="1"/>
    <col min="4" max="4" width="12.42188" style="26" bestFit="1" customWidth="1"/>
    <col min="5" max="5" width="8.851563" style="26" customWidth="1"/>
    <col min="6" max="6" width="11.28125" style="26" bestFit="1" customWidth="1"/>
    <col min="7" max="7" width="13.71094" style="27" customWidth="1"/>
    <col min="8" max="9" width="8.851563" style="1"/>
    <col min="10" max="16384" width="8.851563" style="26"/>
  </cols>
  <sheetData>
    <row r="1">
      <c r="A1" s="28" t="s">
        <v>40</v>
      </c>
    </row>
    <row r="2">
      <c r="A2" s="29"/>
    </row>
    <row r="3">
      <c r="A3" s="28" t="s">
        <v>41</v>
      </c>
      <c r="B3" s="26" t="s">
        <v>137</v>
      </c>
    </row>
    <row r="4">
      <c r="A4" s="28" t="s">
        <v>43</v>
      </c>
      <c r="B4" s="26" t="s">
        <v>138</v>
      </c>
      <c r="F4" s="27"/>
    </row>
    <row r="5">
      <c r="A5" s="29"/>
    </row>
    <row r="6">
      <c r="A6" s="30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</row>
    <row r="7">
      <c r="A7" s="31" t="s">
        <v>135</v>
      </c>
      <c r="B7" s="32" t="s">
        <v>86</v>
      </c>
      <c r="C7" s="33" t="s">
        <v>87</v>
      </c>
      <c r="D7" s="32" t="s">
        <v>139</v>
      </c>
      <c r="E7" s="32" t="s">
        <v>56</v>
      </c>
      <c r="F7" s="34">
        <f>(E7/1000)*(D7/1000)/C7*B7</f>
        <v>12.112457142857142</v>
      </c>
      <c r="G7" s="35" t="s">
        <v>57</v>
      </c>
      <c r="J7" s="36"/>
    </row>
    <row r="8">
      <c r="A8" s="31" t="s">
        <v>58</v>
      </c>
      <c r="B8" s="32"/>
      <c r="C8" s="32"/>
      <c r="D8" s="32"/>
      <c r="E8" s="32"/>
      <c r="F8" s="34">
        <f>0</f>
        <v>0</v>
      </c>
      <c r="G8" s="35" t="s">
        <v>57</v>
      </c>
    </row>
    <row r="9">
      <c r="A9" s="31" t="s">
        <v>59</v>
      </c>
      <c r="B9" s="32"/>
      <c r="C9" s="32"/>
      <c r="D9" s="32"/>
      <c r="E9" s="32"/>
      <c r="F9" s="34">
        <f>3.312</f>
        <v>3.3119999999999998</v>
      </c>
      <c r="G9" s="35" t="s">
        <v>57</v>
      </c>
    </row>
    <row r="10">
      <c r="A10" s="31" t="s">
        <v>90</v>
      </c>
      <c r="B10" s="32"/>
      <c r="C10" s="32"/>
      <c r="D10" s="32"/>
      <c r="E10" s="32"/>
      <c r="F10" s="34">
        <f>6.1854</f>
        <v>6.1853999999999996</v>
      </c>
      <c r="G10" s="35" t="s">
        <v>57</v>
      </c>
    </row>
    <row r="11">
      <c r="A11" s="31" t="s">
        <v>61</v>
      </c>
      <c r="B11" s="32"/>
      <c r="C11" s="32"/>
      <c r="D11" s="32"/>
      <c r="E11" s="32"/>
      <c r="F11" s="34">
        <f>0</f>
        <v>0</v>
      </c>
      <c r="G11" s="35" t="s">
        <v>62</v>
      </c>
    </row>
    <row r="12">
      <c r="A12" s="31" t="s">
        <v>63</v>
      </c>
      <c r="B12" s="32"/>
      <c r="C12" s="32"/>
      <c r="D12" s="32"/>
      <c r="E12" s="32"/>
      <c r="F12" s="34">
        <f>0.3524</f>
        <v>0.35239999999999999</v>
      </c>
      <c r="G12" s="35" t="s">
        <v>57</v>
      </c>
    </row>
    <row r="13">
      <c r="A13" s="31" t="s">
        <v>64</v>
      </c>
      <c r="B13" s="32"/>
      <c r="C13" s="32"/>
      <c r="D13" s="32" t="s">
        <v>14</v>
      </c>
      <c r="E13" s="32" t="s">
        <v>14</v>
      </c>
      <c r="F13" s="34">
        <f>4.35</f>
        <v>4.3499999999999996</v>
      </c>
      <c r="G13" s="35" t="s">
        <v>57</v>
      </c>
    </row>
    <row r="14">
      <c r="A14" s="31" t="s">
        <v>65</v>
      </c>
      <c r="B14" s="32"/>
      <c r="C14" s="32"/>
      <c r="D14" s="32" t="s">
        <v>66</v>
      </c>
      <c r="E14" s="32">
        <v>0</v>
      </c>
      <c r="F14" s="34">
        <f ca="1">F15*D14/100</f>
        <v>0</v>
      </c>
      <c r="G14" s="35" t="s">
        <v>57</v>
      </c>
    </row>
    <row r="15">
      <c r="A15" s="31" t="s">
        <v>67</v>
      </c>
      <c r="B15" s="32"/>
      <c r="C15" s="32"/>
      <c r="D15" s="32">
        <v>0</v>
      </c>
      <c r="E15" s="32">
        <v>0</v>
      </c>
      <c r="F15" s="34">
        <f ca="1">SUM(F7:F14)</f>
        <v>26.312257142857142</v>
      </c>
      <c r="G15" s="35" t="s">
        <v>57</v>
      </c>
    </row>
    <row r="16">
      <c r="A16" s="31" t="s">
        <v>68</v>
      </c>
      <c r="B16" s="32"/>
      <c r="C16" s="32"/>
      <c r="D16" s="32">
        <f>  1</f>
        <v>1</v>
      </c>
      <c r="E16" s="32">
        <v>0</v>
      </c>
      <c r="F16" s="34">
        <f ca="1">(F15/(100 -D16)*100)-F15</f>
        <v>0.26578037518037689</v>
      </c>
      <c r="G16" s="35" t="s">
        <v>69</v>
      </c>
    </row>
    <row r="17">
      <c r="A17" s="31" t="s">
        <v>70</v>
      </c>
      <c r="B17" s="32"/>
      <c r="C17" s="32"/>
      <c r="D17" s="32">
        <v>0</v>
      </c>
      <c r="E17" s="32" t="s">
        <v>14</v>
      </c>
      <c r="F17" s="34">
        <f>0</f>
        <v>0</v>
      </c>
      <c r="G17" s="35" t="s">
        <v>69</v>
      </c>
    </row>
    <row r="18">
      <c r="A18" s="31" t="s">
        <v>71</v>
      </c>
      <c r="B18" s="32"/>
      <c r="C18" s="32"/>
      <c r="D18" s="32">
        <v>0</v>
      </c>
      <c r="E18" s="32">
        <v>0</v>
      </c>
      <c r="F18" s="34">
        <f ca="1">SUM(F15:F17)</f>
        <v>26.578037518037519</v>
      </c>
      <c r="G18" s="35" t="s">
        <v>69</v>
      </c>
    </row>
    <row r="19">
      <c r="A19" s="31" t="s">
        <v>72</v>
      </c>
      <c r="B19" s="32"/>
      <c r="C19" s="32"/>
      <c r="D19" s="32" t="s">
        <v>132</v>
      </c>
      <c r="E19" s="32" t="s">
        <v>74</v>
      </c>
      <c r="F19" s="34">
        <f>ROUND(E19/D19,4)</f>
        <v>0.875</v>
      </c>
      <c r="G19" s="35"/>
    </row>
    <row r="20">
      <c r="A20" s="31" t="s">
        <v>75</v>
      </c>
      <c r="B20" s="32"/>
      <c r="C20" s="32"/>
      <c r="D20" s="32">
        <v>0</v>
      </c>
      <c r="E20" s="32">
        <v>0</v>
      </c>
      <c r="F20" s="34">
        <f ca="1">F22*0.11%</f>
        <v>0.030380625019961038</v>
      </c>
      <c r="G20" s="35"/>
    </row>
    <row r="21">
      <c r="A21" s="31" t="s">
        <v>76</v>
      </c>
      <c r="B21" s="32"/>
      <c r="C21" s="32"/>
      <c r="D21" s="32">
        <f>0.49</f>
        <v>0.48999999999999999</v>
      </c>
      <c r="E21" s="32">
        <v>0</v>
      </c>
      <c r="F21" s="34">
        <f ca="1">F22*0.49%</f>
        <v>0.13533187508891734</v>
      </c>
      <c r="G21" s="35"/>
    </row>
    <row r="22">
      <c r="A22" s="31" t="s">
        <v>77</v>
      </c>
      <c r="B22" s="32"/>
      <c r="C22" s="32"/>
      <c r="D22" s="32">
        <v>0</v>
      </c>
      <c r="E22" s="32">
        <v>0</v>
      </c>
      <c r="F22" s="34">
        <f ca="1">SUM(F18:F21)</f>
        <v>27.618750018146397</v>
      </c>
      <c r="G22" s="35" t="s">
        <v>69</v>
      </c>
    </row>
    <row r="23">
      <c r="A23" s="31" t="s">
        <v>78</v>
      </c>
      <c r="B23" s="32"/>
      <c r="C23" s="32"/>
      <c r="D23" s="32">
        <f>2%</f>
        <v>0.02</v>
      </c>
      <c r="E23" s="32">
        <v>0</v>
      </c>
      <c r="F23" s="34">
        <f ca="1">D23*F22</f>
        <v>0.55237500036292797</v>
      </c>
      <c r="G23" s="35"/>
    </row>
    <row r="24">
      <c r="A24" s="31" t="s">
        <v>79</v>
      </c>
      <c r="B24" s="32"/>
      <c r="C24" s="32"/>
      <c r="D24" s="32">
        <f>0.5%</f>
        <v>0.0050000000000000001</v>
      </c>
      <c r="E24" s="32">
        <v>0</v>
      </c>
      <c r="F24" s="34">
        <f ca="1">D24*F22</f>
        <v>0.13809375009073199</v>
      </c>
      <c r="G24" s="35"/>
    </row>
    <row r="25">
      <c r="A25" s="31" t="s">
        <v>80</v>
      </c>
      <c r="B25" s="32"/>
      <c r="C25" s="32"/>
      <c r="D25" s="32">
        <v>0</v>
      </c>
      <c r="E25" s="32">
        <v>0</v>
      </c>
      <c r="F25" s="34">
        <f ca="1">SUM(F22:F24)</f>
        <v>28.309218768600058</v>
      </c>
      <c r="G25" s="35" t="s">
        <v>69</v>
      </c>
    </row>
    <row r="26">
      <c r="A26" s="31" t="s">
        <v>81</v>
      </c>
      <c r="B26" s="32"/>
      <c r="C26" s="32"/>
      <c r="D26" s="32">
        <v>0</v>
      </c>
      <c r="E26" s="32">
        <v>0</v>
      </c>
      <c r="F26" s="32">
        <v>1471.9999999999945</v>
      </c>
      <c r="G26" s="35" t="s">
        <v>82</v>
      </c>
    </row>
    <row r="27" s="1" customFormat="1">
      <c r="G27" s="37"/>
    </row>
    <row r="28" s="1" customFormat="1">
      <c r="G28" s="37"/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Voravut Somboornpong (Neung)</dc:creator>
  <cp:lastModifiedBy>IIS APPPOOL\.NET v4.5</cp:lastModifiedBy>
  <dcterms:created xsi:type="dcterms:W3CDTF">2021-02-04T23:47:10Z</dcterms:created>
  <dcterms:modified xsi:type="dcterms:W3CDTF">2021-02-15T11:55:30Z</dcterms:modified>
</cp:coreProperties>
</file>