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59tor\git\repos_lehre\Customer-Oriented-Concept-Assessment-COCA-Tool\02_Database\"/>
    </mc:Choice>
  </mc:AlternateContent>
  <xr:revisionPtr revIDLastSave="0" documentId="13_ncr:1_{A7024F92-8BB0-4A1B-B642-9A3234C638FF}" xr6:coauthVersionLast="47" xr6:coauthVersionMax="47" xr10:uidLastSave="{00000000-0000-0000-0000-000000000000}"/>
  <bookViews>
    <workbookView xWindow="825" yWindow="-120" windowWidth="37695" windowHeight="21840" activeTab="1" xr2:uid="{00000000-000D-0000-FFFF-FFFF00000000}"/>
  </bookViews>
  <sheets>
    <sheet name="Vehicle Data" sheetId="3" r:id="rId1"/>
    <sheet name="Properties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27" i="3" l="1"/>
  <c r="T44" i="3"/>
  <c r="T46" i="3" s="1"/>
  <c r="T51" i="3"/>
  <c r="T13" i="3"/>
  <c r="T27" i="3"/>
  <c r="T21" i="3"/>
  <c r="T22" i="3" s="1"/>
  <c r="X44" i="3"/>
  <c r="X46" i="3" s="1"/>
  <c r="X51" i="3"/>
  <c r="X13" i="3"/>
  <c r="X27" i="3"/>
  <c r="X21" i="3"/>
  <c r="X22" i="3" s="1"/>
  <c r="AI13" i="3"/>
  <c r="AI44" i="3"/>
  <c r="AI46" i="3" s="1"/>
  <c r="AI51" i="3"/>
  <c r="AI27" i="3"/>
  <c r="AI21" i="3"/>
  <c r="AI22" i="3" s="1"/>
  <c r="AH44" i="3"/>
  <c r="AH46" i="3" s="1"/>
  <c r="AH51" i="3"/>
  <c r="AH13" i="3"/>
  <c r="AH21" i="3"/>
  <c r="AH22" i="3"/>
  <c r="BM44" i="3"/>
  <c r="BM46" i="3" s="1"/>
  <c r="BM51" i="3"/>
  <c r="BM13" i="3"/>
  <c r="BM27" i="3"/>
  <c r="BM21" i="3"/>
  <c r="BM22" i="3"/>
  <c r="AR44" i="3"/>
  <c r="AR46" i="3" s="1"/>
  <c r="AR51" i="3"/>
  <c r="AR13" i="3"/>
  <c r="AR27" i="3"/>
  <c r="AR21" i="3"/>
  <c r="AR22" i="3"/>
  <c r="AS13" i="3"/>
  <c r="AS44" i="3"/>
  <c r="AS46" i="3" s="1"/>
  <c r="AS51" i="3"/>
  <c r="AS27" i="3"/>
  <c r="AS21" i="3"/>
  <c r="AS22" i="3"/>
  <c r="AQ44" i="3"/>
  <c r="AQ46" i="3" s="1"/>
  <c r="AQ51" i="3"/>
  <c r="AQ13" i="3"/>
  <c r="AQ27" i="3"/>
  <c r="AQ21" i="3"/>
  <c r="AQ22" i="3"/>
  <c r="AO27" i="3"/>
  <c r="AO44" i="3"/>
  <c r="AO46" i="3" s="1"/>
  <c r="AO51" i="3"/>
  <c r="AO13" i="3"/>
  <c r="AO21" i="3"/>
  <c r="AO22" i="3"/>
  <c r="AB44" i="3"/>
  <c r="AB46" i="3" s="1"/>
  <c r="AB51" i="3"/>
  <c r="AB27" i="3"/>
  <c r="AB13" i="3"/>
  <c r="AB21" i="3"/>
  <c r="AB22" i="3"/>
  <c r="Z27" i="3"/>
  <c r="Z44" i="3"/>
  <c r="Z46" i="3" s="1"/>
  <c r="Z51" i="3"/>
  <c r="Z13" i="3"/>
  <c r="Z21" i="3"/>
  <c r="Z22" i="3"/>
  <c r="BO44" i="3"/>
  <c r="BO46" i="3" s="1"/>
  <c r="BO51" i="3"/>
  <c r="BO13" i="3"/>
  <c r="BO27" i="3"/>
  <c r="BO21" i="3"/>
  <c r="BO22" i="3"/>
  <c r="BI44" i="3"/>
  <c r="BI46" i="3" s="1"/>
  <c r="BI51" i="3"/>
  <c r="BI13" i="3"/>
  <c r="BI27" i="3"/>
  <c r="BI21" i="3"/>
  <c r="BI22" i="3"/>
  <c r="E44" i="3"/>
  <c r="E46" i="3" s="1"/>
  <c r="E13" i="3"/>
  <c r="E27" i="3"/>
  <c r="E21" i="3"/>
  <c r="E22" i="3"/>
  <c r="E51" i="3"/>
  <c r="R51" i="3"/>
  <c r="R44" i="3"/>
  <c r="R46" i="3" s="1"/>
  <c r="R13" i="3"/>
  <c r="R27" i="3"/>
  <c r="R21" i="3"/>
  <c r="R22" i="3"/>
  <c r="M13" i="3"/>
  <c r="M44" i="3"/>
  <c r="M46" i="3" s="1"/>
  <c r="M51" i="3"/>
  <c r="M27" i="3"/>
  <c r="M21" i="3"/>
  <c r="M22" i="3"/>
  <c r="AT46" i="3"/>
  <c r="AT27" i="3"/>
  <c r="AT21" i="3"/>
  <c r="AT22" i="3" s="1"/>
  <c r="AT13" i="3"/>
  <c r="AT51" i="3"/>
  <c r="AN46" i="3"/>
  <c r="AN27" i="3"/>
  <c r="AN21" i="3"/>
  <c r="AN22" i="3" s="1"/>
  <c r="AN13" i="3"/>
  <c r="AN51" i="3"/>
  <c r="F46" i="3"/>
  <c r="F51" i="3"/>
  <c r="F27" i="3"/>
  <c r="F21" i="3"/>
  <c r="F22" i="3"/>
  <c r="F13" i="3"/>
  <c r="Q46" i="3"/>
  <c r="Q51" i="3"/>
  <c r="Q27" i="3"/>
  <c r="Q21" i="3"/>
  <c r="Q22" i="3"/>
  <c r="Q13" i="3"/>
  <c r="P46" i="3"/>
  <c r="P13" i="3"/>
  <c r="P51" i="3"/>
  <c r="P27" i="3"/>
  <c r="P21" i="3"/>
  <c r="P22" i="3"/>
  <c r="AW46" i="3"/>
  <c r="AW51" i="3"/>
  <c r="AW27" i="3"/>
  <c r="AW21" i="3"/>
  <c r="AW22" i="3"/>
  <c r="AW13" i="3"/>
  <c r="U46" i="3"/>
  <c r="U51" i="3"/>
  <c r="U13" i="3"/>
  <c r="U27" i="3"/>
  <c r="U21" i="3"/>
  <c r="U22" i="3"/>
  <c r="AX46" i="3"/>
  <c r="AX13" i="3"/>
  <c r="AX51" i="3"/>
  <c r="AX27" i="3"/>
  <c r="AX21" i="3"/>
  <c r="AX22" i="3"/>
  <c r="AL13" i="3"/>
  <c r="AL46" i="3"/>
  <c r="AL51" i="3"/>
  <c r="AL27" i="3"/>
  <c r="AL21" i="3"/>
  <c r="AL22" i="3"/>
  <c r="AM13" i="3"/>
  <c r="AM51" i="3"/>
  <c r="AM46" i="3"/>
  <c r="AM27" i="3"/>
  <c r="AM21" i="3"/>
  <c r="AM22" i="3"/>
  <c r="AJ13" i="3"/>
  <c r="AJ51" i="3"/>
  <c r="AJ46" i="3"/>
  <c r="AJ27" i="3"/>
  <c r="AJ21" i="3"/>
  <c r="AJ22" i="3"/>
  <c r="N51" i="3"/>
  <c r="N46" i="3"/>
  <c r="N13" i="3"/>
  <c r="N27" i="3"/>
  <c r="N21" i="3"/>
  <c r="N22" i="3"/>
  <c r="AV51" i="3"/>
  <c r="AV46" i="3"/>
  <c r="AV13" i="3"/>
  <c r="AV27" i="3"/>
  <c r="AV21" i="3"/>
  <c r="AV22" i="3"/>
  <c r="S51" i="3"/>
  <c r="S46" i="3"/>
  <c r="S13" i="3"/>
  <c r="S27" i="3"/>
  <c r="AK27" i="3"/>
  <c r="S21" i="3"/>
  <c r="S22" i="3" s="1"/>
  <c r="AK13" i="3"/>
  <c r="AK51" i="3"/>
  <c r="AK46" i="3"/>
  <c r="AK21" i="3"/>
  <c r="AK22" i="3"/>
  <c r="W13" i="3"/>
  <c r="V13" i="3"/>
  <c r="W51" i="3"/>
  <c r="W46" i="3"/>
  <c r="W27" i="3"/>
  <c r="W21" i="3"/>
  <c r="W22" i="3" s="1"/>
  <c r="V51" i="3"/>
  <c r="V46" i="3"/>
  <c r="V27" i="3"/>
  <c r="BB27" i="3"/>
  <c r="V22" i="3"/>
  <c r="V21" i="3"/>
  <c r="C65" i="3" l="1"/>
  <c r="C64" i="3"/>
  <c r="C62" i="3"/>
  <c r="C63" i="3"/>
  <c r="C61" i="3"/>
  <c r="BJ45" i="3"/>
  <c r="BJ44" i="3"/>
  <c r="BB46" i="3"/>
  <c r="BF46" i="3"/>
  <c r="AC46" i="3"/>
  <c r="AU46" i="3"/>
  <c r="BN46" i="3"/>
  <c r="L46" i="3"/>
  <c r="K46" i="3"/>
  <c r="AZ46" i="3"/>
  <c r="J46" i="3"/>
  <c r="BC46" i="3"/>
  <c r="AG46" i="3"/>
  <c r="BK46" i="3"/>
  <c r="O46" i="3"/>
  <c r="I46" i="3"/>
  <c r="AY46" i="3"/>
  <c r="Y46" i="3"/>
  <c r="G46" i="3"/>
  <c r="AE46" i="3"/>
  <c r="D46" i="3"/>
  <c r="AD46" i="3"/>
  <c r="BA46" i="3"/>
  <c r="BD46" i="3"/>
  <c r="BL46" i="3"/>
  <c r="AP46" i="3"/>
  <c r="BE46" i="3"/>
  <c r="AA46" i="3"/>
  <c r="H46" i="3"/>
  <c r="BG46" i="3"/>
  <c r="BH46" i="3"/>
  <c r="AF46" i="3"/>
  <c r="BJ51" i="3"/>
  <c r="BB51" i="3"/>
  <c r="BB13" i="3" s="1"/>
  <c r="BF51" i="3"/>
  <c r="AC51" i="3"/>
  <c r="AU51" i="3"/>
  <c r="BN51" i="3"/>
  <c r="L51" i="3"/>
  <c r="K51" i="3"/>
  <c r="AZ51" i="3"/>
  <c r="J51" i="3"/>
  <c r="BC51" i="3"/>
  <c r="AG51" i="3"/>
  <c r="BK51" i="3"/>
  <c r="O51" i="3"/>
  <c r="I51" i="3"/>
  <c r="AY51" i="3"/>
  <c r="Y51" i="3"/>
  <c r="G51" i="3"/>
  <c r="AE51" i="3"/>
  <c r="D51" i="3"/>
  <c r="AF51" i="3"/>
  <c r="AD51" i="3"/>
  <c r="BA51" i="3"/>
  <c r="BD51" i="3"/>
  <c r="BL51" i="3"/>
  <c r="AP51" i="3"/>
  <c r="BE51" i="3"/>
  <c r="AA51" i="3"/>
  <c r="H51" i="3"/>
  <c r="BG51" i="3"/>
  <c r="BH51" i="3"/>
  <c r="BF37" i="3"/>
  <c r="AC37" i="3"/>
  <c r="AU37" i="3"/>
  <c r="BN37" i="3"/>
  <c r="L37" i="3"/>
  <c r="K37" i="3"/>
  <c r="AZ37" i="3"/>
  <c r="J37" i="3"/>
  <c r="BC37" i="3"/>
  <c r="BK37" i="3"/>
  <c r="O37" i="3"/>
  <c r="I37" i="3"/>
  <c r="AY37" i="3"/>
  <c r="Y37" i="3"/>
  <c r="G37" i="3"/>
  <c r="AE37" i="3"/>
  <c r="D37" i="3"/>
  <c r="AD37" i="3"/>
  <c r="BA37" i="3"/>
  <c r="BD37" i="3"/>
  <c r="BL37" i="3"/>
  <c r="BE37" i="3"/>
  <c r="AA37" i="3"/>
  <c r="H37" i="3"/>
  <c r="BG37" i="3"/>
  <c r="BH37" i="3"/>
  <c r="BB32" i="3"/>
  <c r="BF32" i="3"/>
  <c r="AC32" i="3"/>
  <c r="AU32" i="3"/>
  <c r="BN32" i="3"/>
  <c r="L32" i="3"/>
  <c r="K32" i="3"/>
  <c r="AZ32" i="3"/>
  <c r="J32" i="3"/>
  <c r="AG32" i="3"/>
  <c r="O32" i="3"/>
  <c r="I32" i="3"/>
  <c r="AY32" i="3"/>
  <c r="G32" i="3"/>
  <c r="D32" i="3"/>
  <c r="AF32" i="3"/>
  <c r="AD32" i="3"/>
  <c r="BA32" i="3"/>
  <c r="BD32" i="3"/>
  <c r="BL32" i="3"/>
  <c r="BE32" i="3"/>
  <c r="BJ32" i="3"/>
  <c r="BG32" i="3"/>
  <c r="BH32" i="3"/>
  <c r="BF27" i="3"/>
  <c r="AC27" i="3"/>
  <c r="AU27" i="3"/>
  <c r="BN27" i="3"/>
  <c r="L27" i="3"/>
  <c r="K27" i="3"/>
  <c r="AZ27" i="3"/>
  <c r="J27" i="3"/>
  <c r="BC27" i="3"/>
  <c r="AG27" i="3"/>
  <c r="BK27" i="3"/>
  <c r="O27" i="3"/>
  <c r="I27" i="3"/>
  <c r="AY27" i="3"/>
  <c r="Y27" i="3"/>
  <c r="Y13" i="3" s="1"/>
  <c r="G27" i="3"/>
  <c r="G13" i="3" s="1"/>
  <c r="AE27" i="3"/>
  <c r="D27" i="3"/>
  <c r="AF27" i="3"/>
  <c r="AD27" i="3"/>
  <c r="BA27" i="3"/>
  <c r="BD27" i="3"/>
  <c r="BL27" i="3"/>
  <c r="AP27" i="3"/>
  <c r="BE27" i="3"/>
  <c r="AA27" i="3"/>
  <c r="AA13" i="3" s="1"/>
  <c r="BJ27" i="3"/>
  <c r="BJ13" i="3" s="1"/>
  <c r="H27" i="3"/>
  <c r="BG27" i="3"/>
  <c r="BG13" i="3" s="1"/>
  <c r="BH27" i="3"/>
  <c r="BH13" i="3" s="1"/>
  <c r="K22" i="3"/>
  <c r="AZ22" i="3"/>
  <c r="BC22" i="3"/>
  <c r="AG22" i="3"/>
  <c r="D22" i="3"/>
  <c r="AF22" i="3"/>
  <c r="BA22" i="3"/>
  <c r="BD22" i="3"/>
  <c r="BH22" i="3"/>
  <c r="BB21" i="3"/>
  <c r="BB22" i="3" s="1"/>
  <c r="BF21" i="3"/>
  <c r="BF22" i="3" s="1"/>
  <c r="AC21" i="3"/>
  <c r="AC22" i="3" s="1"/>
  <c r="AU21" i="3"/>
  <c r="AU22" i="3" s="1"/>
  <c r="BN21" i="3"/>
  <c r="BN22" i="3" s="1"/>
  <c r="L21" i="3"/>
  <c r="L22" i="3" s="1"/>
  <c r="K21" i="3"/>
  <c r="AZ21" i="3"/>
  <c r="J21" i="3"/>
  <c r="J22" i="3" s="1"/>
  <c r="BC21" i="3"/>
  <c r="AG21" i="3"/>
  <c r="BK21" i="3"/>
  <c r="BK22" i="3" s="1"/>
  <c r="O21" i="3"/>
  <c r="O22" i="3" s="1"/>
  <c r="I21" i="3"/>
  <c r="I22" i="3" s="1"/>
  <c r="AY21" i="3"/>
  <c r="AY22" i="3" s="1"/>
  <c r="Y21" i="3"/>
  <c r="Y22" i="3" s="1"/>
  <c r="G21" i="3"/>
  <c r="G22" i="3" s="1"/>
  <c r="AE21" i="3"/>
  <c r="AE22" i="3" s="1"/>
  <c r="D21" i="3"/>
  <c r="AF21" i="3"/>
  <c r="AD21" i="3"/>
  <c r="AD22" i="3" s="1"/>
  <c r="BA21" i="3"/>
  <c r="BD21" i="3"/>
  <c r="BL21" i="3"/>
  <c r="BL22" i="3" s="1"/>
  <c r="AP21" i="3"/>
  <c r="AP22" i="3" s="1"/>
  <c r="BE21" i="3"/>
  <c r="BE22" i="3" s="1"/>
  <c r="AA21" i="3"/>
  <c r="AA22" i="3" s="1"/>
  <c r="BJ21" i="3"/>
  <c r="BJ22" i="3" s="1"/>
  <c r="H21" i="3"/>
  <c r="H22" i="3" s="1"/>
  <c r="BG21" i="3"/>
  <c r="BG22" i="3" s="1"/>
  <c r="BH21" i="3"/>
  <c r="BF13" i="3"/>
  <c r="AC13" i="3"/>
  <c r="AU13" i="3"/>
  <c r="BN13" i="3"/>
  <c r="L13" i="3"/>
  <c r="K13" i="3"/>
  <c r="AZ13" i="3"/>
  <c r="J13" i="3"/>
  <c r="BC13" i="3"/>
  <c r="AG13" i="3"/>
  <c r="BK13" i="3"/>
  <c r="O13" i="3"/>
  <c r="I13" i="3"/>
  <c r="AY13" i="3"/>
  <c r="AE13" i="3"/>
  <c r="D13" i="3"/>
  <c r="AF13" i="3"/>
  <c r="AD13" i="3"/>
  <c r="BA13" i="3"/>
  <c r="BD13" i="3"/>
  <c r="BL13" i="3"/>
  <c r="AP13" i="3"/>
  <c r="BE13" i="3"/>
  <c r="H13" i="3"/>
  <c r="BJ46" i="3" l="1"/>
</calcChain>
</file>

<file path=xl/sharedStrings.xml><?xml version="1.0" encoding="utf-8"?>
<sst xmlns="http://schemas.openxmlformats.org/spreadsheetml/2006/main" count="588" uniqueCount="375">
  <si>
    <t xml:space="preserve"> </t>
  </si>
  <si>
    <t>CO2-Emissionen</t>
  </si>
  <si>
    <t>VW</t>
  </si>
  <si>
    <t>Otto</t>
  </si>
  <si>
    <t>Porsche</t>
  </si>
  <si>
    <t>911 GT3</t>
  </si>
  <si>
    <t>Twizy</t>
  </si>
  <si>
    <t>Renault</t>
  </si>
  <si>
    <t>Elektro</t>
  </si>
  <si>
    <t>-</t>
  </si>
  <si>
    <t>6,1 kWh</t>
  </si>
  <si>
    <t>fortwo coupé 1.0</t>
  </si>
  <si>
    <t>smart</t>
  </si>
  <si>
    <t>Mercedes</t>
  </si>
  <si>
    <t>Model S 75D</t>
  </si>
  <si>
    <t>Tesla</t>
  </si>
  <si>
    <t>75 kWh</t>
  </si>
  <si>
    <t>BMW</t>
  </si>
  <si>
    <t>X6 xDrive50i Steptronic F16</t>
  </si>
  <si>
    <t>RS6 Avant performance</t>
  </si>
  <si>
    <t>Audi</t>
  </si>
  <si>
    <t>Polo 1.0 TSI beats</t>
  </si>
  <si>
    <t>Golf 1.0 TSI Comfortline</t>
  </si>
  <si>
    <t>205/55R16</t>
  </si>
  <si>
    <t>195/55R16</t>
  </si>
  <si>
    <t>285/30R21</t>
  </si>
  <si>
    <t>255/50R19</t>
  </si>
  <si>
    <t>245/45R19</t>
  </si>
  <si>
    <t>245/50R18</t>
  </si>
  <si>
    <t>165/65R15 / 185/60R15</t>
  </si>
  <si>
    <t>125/80R13 / 145/80R13</t>
  </si>
  <si>
    <t>245/35R20 / 305/30R20</t>
  </si>
  <si>
    <t>T6 Multivan 2.0 TSI BMT Trendline</t>
  </si>
  <si>
    <t>215/65R16</t>
  </si>
  <si>
    <t>205/65R16</t>
  </si>
  <si>
    <t>i3 (94 Ah) (inkl. Range Extender)</t>
  </si>
  <si>
    <t>Elektro mit Range Extender</t>
  </si>
  <si>
    <t>27,2 kWh / 9</t>
  </si>
  <si>
    <t>155/70R19 / 175/60R19</t>
  </si>
  <si>
    <t>1er (118i)</t>
  </si>
  <si>
    <t>Ford</t>
  </si>
  <si>
    <t>245/35R20 / 325/30ZR20</t>
  </si>
  <si>
    <t>S 560 9G-TRONIC W222</t>
  </si>
  <si>
    <t>L104</t>
  </si>
  <si>
    <t>L105</t>
  </si>
  <si>
    <t>L103</t>
  </si>
  <si>
    <t>GT 2017</t>
  </si>
  <si>
    <t>Fiat</t>
  </si>
  <si>
    <t>500 1.2</t>
  </si>
  <si>
    <t>175/65R14</t>
  </si>
  <si>
    <t>Focus IV 1.0 EcoBoost</t>
  </si>
  <si>
    <t>205/60R16</t>
  </si>
  <si>
    <t>Octavia Combi 1.8 TSI</t>
  </si>
  <si>
    <t>Skoda</t>
  </si>
  <si>
    <t>205/55/R16</t>
  </si>
  <si>
    <t>A4 Avant 2.0 TFSI</t>
  </si>
  <si>
    <t>225/50R17</t>
  </si>
  <si>
    <t>Diesel</t>
  </si>
  <si>
    <t>E 220 d T-Modell (W213)</t>
  </si>
  <si>
    <t>225/55R17</t>
  </si>
  <si>
    <t>V90 T5 Momentum Automatic</t>
  </si>
  <si>
    <t>Volvo</t>
  </si>
  <si>
    <t>245/45R18</t>
  </si>
  <si>
    <t>i8 Coupé</t>
  </si>
  <si>
    <t>Hybrid</t>
  </si>
  <si>
    <t>195/50R20 / 215/45R20</t>
  </si>
  <si>
    <t>9,1 kWh / 30</t>
  </si>
  <si>
    <t>R8 Coupé V10</t>
  </si>
  <si>
    <t>Seat</t>
  </si>
  <si>
    <t>Alhambra 2.0 TDI</t>
  </si>
  <si>
    <t>245/35R19 / 295/35R19</t>
  </si>
  <si>
    <t xml:space="preserve">205/60R16 </t>
  </si>
  <si>
    <t>One First F-56 3-Türer</t>
  </si>
  <si>
    <t>Mini</t>
  </si>
  <si>
    <t>175/65R15</t>
  </si>
  <si>
    <t>Ateca 1.0 TSI Ecomotive</t>
  </si>
  <si>
    <t>215/55R17</t>
  </si>
  <si>
    <t>Cayenne</t>
  </si>
  <si>
    <t>255/55R19 / 275/50R19</t>
  </si>
  <si>
    <t>XJ 3.0 V6 Kompressor</t>
  </si>
  <si>
    <t>Jaguar</t>
  </si>
  <si>
    <t>245/45R19 / 275/40R19</t>
  </si>
  <si>
    <t>Bentley</t>
  </si>
  <si>
    <t>Mulsanne Speed</t>
  </si>
  <si>
    <t>265/45R20</t>
  </si>
  <si>
    <t>Ghost 6.6 V12</t>
  </si>
  <si>
    <t>Rolls-Royce</t>
  </si>
  <si>
    <t>255/45R20 / 285/40R20</t>
  </si>
  <si>
    <t>S 650 7G-TRONIC PLUS</t>
  </si>
  <si>
    <t>Mercedes Maybach</t>
  </si>
  <si>
    <t>NEFZ</t>
  </si>
  <si>
    <t>195/65R15</t>
  </si>
  <si>
    <t>Prius 1.8 Plug-In Hybrid Executive</t>
  </si>
  <si>
    <t>Toyota</t>
  </si>
  <si>
    <t>vgl [32, S.26]</t>
  </si>
  <si>
    <t>(total)</t>
  </si>
  <si>
    <t>Vehicle dynamics</t>
  </si>
  <si>
    <t>Costs</t>
  </si>
  <si>
    <t>Comfort</t>
  </si>
  <si>
    <t>Suitability</t>
  </si>
  <si>
    <t>Safety</t>
  </si>
  <si>
    <t>Design</t>
  </si>
  <si>
    <t>Weight</t>
  </si>
  <si>
    <t>Acceleration</t>
  </si>
  <si>
    <t>Top speed</t>
  </si>
  <si>
    <t>Turning cycle</t>
  </si>
  <si>
    <t>Asset Costs</t>
  </si>
  <si>
    <t>Consumption</t>
  </si>
  <si>
    <t>Headroom front</t>
  </si>
  <si>
    <t>Legroom rear</t>
  </si>
  <si>
    <t>Headroom rear</t>
  </si>
  <si>
    <t>Acoustics</t>
  </si>
  <si>
    <t>Trunk volume</t>
  </si>
  <si>
    <t>Payload</t>
  </si>
  <si>
    <t>Number of seats</t>
  </si>
  <si>
    <t>Range</t>
  </si>
  <si>
    <t>Tank size</t>
  </si>
  <si>
    <t>Overhang front</t>
  </si>
  <si>
    <t>Overhang rear</t>
  </si>
  <si>
    <t>Wheelbase</t>
  </si>
  <si>
    <t>Ratio Height/Width</t>
  </si>
  <si>
    <t>Wheel diameter</t>
  </si>
  <si>
    <t>Climbing ability</t>
  </si>
  <si>
    <t>Vehicle Dynamics</t>
  </si>
  <si>
    <t>kW</t>
  </si>
  <si>
    <t>PS</t>
  </si>
  <si>
    <t>Power</t>
  </si>
  <si>
    <t>Rotational speed at max power</t>
  </si>
  <si>
    <t>1/min</t>
  </si>
  <si>
    <t>Torque</t>
  </si>
  <si>
    <t xml:space="preserve">Rotational speed at max torque </t>
  </si>
  <si>
    <t>s</t>
  </si>
  <si>
    <t>km/h</t>
  </si>
  <si>
    <t>m</t>
  </si>
  <si>
    <t>Length</t>
  </si>
  <si>
    <t>Width</t>
  </si>
  <si>
    <t>Height</t>
  </si>
  <si>
    <t>mm</t>
  </si>
  <si>
    <t>Wheel specifications</t>
  </si>
  <si>
    <t>Dimensions</t>
  </si>
  <si>
    <t>%</t>
  </si>
  <si>
    <t>dB</t>
  </si>
  <si>
    <t>l</t>
  </si>
  <si>
    <t>km</t>
  </si>
  <si>
    <t>kg</t>
  </si>
  <si>
    <t>l or kWh</t>
  </si>
  <si>
    <t>Consumption ICEV</t>
  </si>
  <si>
    <t>l/100km</t>
  </si>
  <si>
    <t>euro</t>
  </si>
  <si>
    <t>Consumption BEV</t>
  </si>
  <si>
    <t>kWh/100km</t>
  </si>
  <si>
    <t>Model</t>
  </si>
  <si>
    <t>Manufacturer</t>
  </si>
  <si>
    <t>g</t>
  </si>
  <si>
    <t>T6 Transporter 2.0 TSI BMT Normal roof</t>
  </si>
  <si>
    <t>Lateral acceleration</t>
  </si>
  <si>
    <t>Ratio Length/Height</t>
  </si>
  <si>
    <t>*(excluding Consumption), based on https://www.adac.de/rund-ums-fahrzeug/autokatalog</t>
  </si>
  <si>
    <t>Fixed Operational Costs</t>
  </si>
  <si>
    <t>€/month</t>
  </si>
  <si>
    <t>Maintenance Costs</t>
  </si>
  <si>
    <t>€/100km</t>
  </si>
  <si>
    <t>Ownership in years</t>
  </si>
  <si>
    <t>km/year</t>
  </si>
  <si>
    <t>https://www.adac.de/rund-ums-fahrzeug/autokatalog/marken-modelle/vw-nutzfahrzeuge/transporter/6generation/248208/#kosten</t>
  </si>
  <si>
    <t>https://www.adac.de/rund-ums-fahrzeug/autokatalog/marken-modelle/vw-nutzfahrzeuge/transporter/6generation/261664/#kosten</t>
  </si>
  <si>
    <t>Twizy:</t>
  </si>
  <si>
    <t>Battery</t>
  </si>
  <si>
    <t>Other Fixed Costs</t>
  </si>
  <si>
    <t>https://autokosten.net/renault/twizy/twizy/twizy_1</t>
  </si>
  <si>
    <t>Maintenance</t>
  </si>
  <si>
    <t>assumend</t>
  </si>
  <si>
    <t>https://www.adac.de/rund-ums-fahrzeug/autokatalog/marken-modelle/smart/fortwo/453/242477/#kosten</t>
  </si>
  <si>
    <t>https://www.adac.de/rund-ums-fahrzeug/autokatalog/marken-modelle/mercedes/s-klasse/217-222-facelift/278837/#kosten</t>
  </si>
  <si>
    <t>https://www.adac.de/rund-ums-fahrzeug/autokatalog/marken-modelle/tesla/model-s/1generation-facelift/257044/#kosten</t>
  </si>
  <si>
    <t>https://www.adac.de/rund-ums-fahrzeug/autokatalog/marken-modelle/bmw/x6/f16-f86/241477/#kosten</t>
  </si>
  <si>
    <t>https://www.adac.de/rund-ums-fahrzeug/autokatalog/marken-modelle/audi/a6/c7-facelift/250965/#kosten</t>
  </si>
  <si>
    <t>https://www.adac.de/rund-ums-fahrzeug/autokatalog/marken-modelle/vw/polo/vi/283814/#kosten</t>
  </si>
  <si>
    <t>https://www.adac.de/rund-ums-fahrzeug/autokatalog/marken-modelle/vw/golf/vii-facelift/266210/#kosten</t>
  </si>
  <si>
    <t>https://www.adac.de/rund-ums-fahrzeug/autokatalog/marken-modelle/bmw/1er-reihe/f20-f21-facelift/247743/#kosten</t>
  </si>
  <si>
    <t>https://www.adac.de/rund-ums-fahrzeug/autokatalog/marken-modelle/fiat/500/312-facelift/268062/#kosten</t>
  </si>
  <si>
    <t>https://www.adac.de/rund-ums-fahrzeug/autokatalog/marken-modelle/ford/focus/iv/304957/#kosten</t>
  </si>
  <si>
    <t>https://www.adac.de/rund-ums-fahrzeug/autokatalog/marken-modelle/skoda/octavia/3generation-facelift/266374/#kosten</t>
  </si>
  <si>
    <t>https://www.adac.de/rund-ums-fahrzeug/autokatalog/marken-modelle/audi/a4/b8-facelift/230679/#kosten</t>
  </si>
  <si>
    <t>https://www.adac.de/rund-ums-fahrzeug/autokatalog/marken-modelle/mercedes/e-klasse/213-238/258722/#kosten</t>
  </si>
  <si>
    <t>https://www.adac.de/rund-ums-fahrzeug/autokatalog/marken-modelle/volvo/s90-v90/2generation/283898/#kosten</t>
  </si>
  <si>
    <t>https://www.adac.de/rund-ums-fahrzeug/autokatalog/marken-modelle/bmw/i8/1generation-facelift/285096/#kosten</t>
  </si>
  <si>
    <t>https://www.adac.de/rund-ums-fahrzeug/autokatalog/marken-modelle/audi/r8/4s/247586/#kosten</t>
  </si>
  <si>
    <t>https://www.adac.de/rund-ums-fahrzeug/autokatalog/marken-modelle/seat/alhambra/7n-facelift/268044/#kosten</t>
  </si>
  <si>
    <t>https://www.adac.de/rund-ums-fahrzeug/autokatalog/marken-modelle/mini/mini/f55-f56-f57/286064/#kosten</t>
  </si>
  <si>
    <t>https://www.adac.de/rund-ums-fahrzeug/autokatalog/marken-modelle/seat/ateca/5fp/253963/#kosten</t>
  </si>
  <si>
    <t>https://www.adac.de/rund-ums-fahrzeug/autokatalog/marken-modelle/porsche/cayenne/955-facelift/208864/#kosten</t>
  </si>
  <si>
    <t>https://www.adac.de/rund-ums-fahrzeug/autokatalog/marken-modelle/jaguar/xj/x351/234279/#kosten</t>
  </si>
  <si>
    <t>Mulsanne</t>
  </si>
  <si>
    <t>Ghost</t>
  </si>
  <si>
    <t>Scale it according to taxes and asset costs, in comparison with Maybach S650</t>
  </si>
  <si>
    <t>Fixed Costs</t>
  </si>
  <si>
    <t>https://www.adac.de/rund-ums-fahrzeug/autokatalog/marken-modelle/bentley/mulsanne/1generation/261919/#allgemeine-daten</t>
  </si>
  <si>
    <t>https://www.adac.de/rund-ums-fahrzeug/autokatalog/marken-modelle/mercedes/s-klasse/217-222-facelift/290000/#kosten</t>
  </si>
  <si>
    <t>https://www.adac.de/rund-ums-fahrzeug/autokatalog/marken-modelle/rolls-royce/ghost/rr4-facelift/241307/#allgemeine-daten</t>
  </si>
  <si>
    <t>https://www.adac.de/rund-ums-fahrzeug/autokatalog/marken-modelle/porsche/911/991-facelift/283481/#kosten</t>
  </si>
  <si>
    <t>Scale it according to taxes, in comparison with Maybach S650</t>
  </si>
  <si>
    <t>Assumption</t>
  </si>
  <si>
    <t>https://www.adac.de/rund-ums-fahrzeug/autokatalog/marken-modelle/ford/gt/ii/266340/</t>
  </si>
  <si>
    <t>https://www.adac.de/rund-ums-fahrzeug/autokatalog/marken-modelle/bmw/i3/1generation-facelift/283076/#kosten</t>
  </si>
  <si>
    <t>https://www.adac.de/rund-ums-fahrzeug/autokatalog/marken-modelle/toyota/prius/zvw50-zvw52/268971/#kosten</t>
  </si>
  <si>
    <t>Combined Operational Costs</t>
  </si>
  <si>
    <t>€/100km*</t>
  </si>
  <si>
    <t>Audi</t>
    <phoneticPr fontId="7" type="noConversion"/>
  </si>
  <si>
    <t>Elektro</t>
    <phoneticPr fontId="7" type="noConversion"/>
  </si>
  <si>
    <t>-</t>
    <phoneticPr fontId="7" type="noConversion"/>
  </si>
  <si>
    <t>Nm</t>
    <phoneticPr fontId="7" type="noConversion"/>
  </si>
  <si>
    <t>225/55R19 / 275/45R19</t>
    <phoneticPr fontId="7" type="noConversion"/>
  </si>
  <si>
    <t>93.4 kWh</t>
    <phoneticPr fontId="7" type="noConversion"/>
  </si>
  <si>
    <t>Audi</t>
    <phoneticPr fontId="7" type="noConversion"/>
  </si>
  <si>
    <t>-</t>
    <phoneticPr fontId="7" type="noConversion"/>
  </si>
  <si>
    <t>285/45R20</t>
    <phoneticPr fontId="7" type="noConversion"/>
  </si>
  <si>
    <t>BMW</t>
    <phoneticPr fontId="7" type="noConversion"/>
  </si>
  <si>
    <t>Elektro</t>
    <phoneticPr fontId="7" type="noConversion"/>
  </si>
  <si>
    <t>245/45R20 / 275/40R20</t>
    <phoneticPr fontId="7" type="noConversion"/>
  </si>
  <si>
    <t>https://www.adac.de/rund-ums-fahrzeug/autokatalog/marken-modelle/bmw/ix3/g08-facelift/321497/#kosten</t>
    <phoneticPr fontId="7" type="noConversion"/>
  </si>
  <si>
    <t>https://www.adac.de/rund-ums-fahrzeug/autokatalog/marken-modelle/audi/e-tron/ge/315204/#kosten</t>
    <phoneticPr fontId="7" type="noConversion"/>
  </si>
  <si>
    <t>https://www.adac.de/rund-ums-fahrzeug/autokatalog/marken-modelle/audi/e-tron-gt/fw/319402/#kosten</t>
    <phoneticPr fontId="7" type="noConversion"/>
  </si>
  <si>
    <t>e-tron GT quattro 2021</t>
    <phoneticPr fontId="7" type="noConversion"/>
  </si>
  <si>
    <t>e-tron S Sportback quattro 2020</t>
    <phoneticPr fontId="7" type="noConversion"/>
  </si>
  <si>
    <t>iX3 Impressive 2021</t>
    <phoneticPr fontId="7" type="noConversion"/>
  </si>
  <si>
    <t>e-C4 Shine 2020</t>
    <phoneticPr fontId="7" type="noConversion"/>
  </si>
  <si>
    <t>Citroen</t>
    <phoneticPr fontId="7" type="noConversion"/>
  </si>
  <si>
    <t>195/60R18</t>
    <phoneticPr fontId="7" type="noConversion"/>
  </si>
  <si>
    <t>Ford</t>
    <phoneticPr fontId="7" type="noConversion"/>
  </si>
  <si>
    <t>Elektro</t>
    <phoneticPr fontId="7" type="noConversion"/>
  </si>
  <si>
    <t>-</t>
    <phoneticPr fontId="7" type="noConversion"/>
  </si>
  <si>
    <t>225/55R19</t>
    <phoneticPr fontId="7" type="noConversion"/>
  </si>
  <si>
    <t>98.7 kWh</t>
    <phoneticPr fontId="7" type="noConversion"/>
  </si>
  <si>
    <t>95 kWh</t>
    <phoneticPr fontId="7" type="noConversion"/>
  </si>
  <si>
    <t>80 kWh</t>
    <phoneticPr fontId="7" type="noConversion"/>
  </si>
  <si>
    <t>50 kWh</t>
    <phoneticPr fontId="7" type="noConversion"/>
  </si>
  <si>
    <t>https://www.adac.de/rund-ums-fahrzeug/autokatalog/marken-modelle/ford/mustang-mach-e/1generation/308741/#kosten</t>
  </si>
  <si>
    <t>https://www.adac.de/rund-ums-fahrzeug/autokatalog/marken-modelle/citroen/c4/3generation/315422/#kosten</t>
  </si>
  <si>
    <t>Honda</t>
    <phoneticPr fontId="7" type="noConversion"/>
  </si>
  <si>
    <t>e 2020</t>
    <phoneticPr fontId="7" type="noConversion"/>
  </si>
  <si>
    <t>185/60R16 / 205/55R16</t>
    <phoneticPr fontId="7" type="noConversion"/>
  </si>
  <si>
    <t>35.5 kWh</t>
    <phoneticPr fontId="7" type="noConversion"/>
  </si>
  <si>
    <t>https://www.adac.de/rund-ums-fahrzeug/autokatalog/marken-modelle/honda/e/1generation/303594/#kosten</t>
  </si>
  <si>
    <t>Hyundai</t>
    <phoneticPr fontId="7" type="noConversion"/>
  </si>
  <si>
    <t>Mustang Mach-E Extended Range AWD 2021</t>
    <phoneticPr fontId="7" type="noConversion"/>
  </si>
  <si>
    <t>IONIQ Elektro Advantage-Paket 2022</t>
    <phoneticPr fontId="7" type="noConversion"/>
  </si>
  <si>
    <t>-</t>
    <phoneticPr fontId="7" type="noConversion"/>
  </si>
  <si>
    <t>38.3 kWh</t>
    <phoneticPr fontId="7" type="noConversion"/>
  </si>
  <si>
    <t>https://www.adac.de/rund-ums-fahrzeug/autokatalog/marken-modelle/hyundai/ioniq/1generation-facelift/324080/#kosten</t>
  </si>
  <si>
    <t>Kona Elektro (64 kWh) Prime 2021</t>
    <phoneticPr fontId="7" type="noConversion"/>
  </si>
  <si>
    <t>Hyundai</t>
    <phoneticPr fontId="7" type="noConversion"/>
  </si>
  <si>
    <t>Elektro</t>
    <phoneticPr fontId="7" type="noConversion"/>
  </si>
  <si>
    <t>215/55R17</t>
    <phoneticPr fontId="7" type="noConversion"/>
  </si>
  <si>
    <t>67 kWh</t>
    <phoneticPr fontId="7" type="noConversion"/>
  </si>
  <si>
    <t>https://www.adac.de/rund-ums-fahrzeug/autokatalog/marken-modelle/hyundai/kona/1generation-facelift/318874/#kosten</t>
  </si>
  <si>
    <t>I-Pace EV400 S AWD 2020</t>
    <phoneticPr fontId="7" type="noConversion"/>
  </si>
  <si>
    <t>Jaguar</t>
    <phoneticPr fontId="7" type="noConversion"/>
  </si>
  <si>
    <t>235/65R18</t>
    <phoneticPr fontId="7" type="noConversion"/>
  </si>
  <si>
    <t>90.2 kWh</t>
    <phoneticPr fontId="7" type="noConversion"/>
  </si>
  <si>
    <t>https://www.adac.de/rund-ums-fahrzeug/autokatalog/marken-modelle/jaguar/i-pace/x590/313298/#kosten</t>
  </si>
  <si>
    <t>Niro EV (64.8 kWh) Spirit 2022</t>
    <phoneticPr fontId="7" type="noConversion"/>
  </si>
  <si>
    <t>Kia</t>
    <phoneticPr fontId="7" type="noConversion"/>
  </si>
  <si>
    <t>215/55R17W</t>
    <phoneticPr fontId="7" type="noConversion"/>
  </si>
  <si>
    <t>64.8 kWh</t>
    <phoneticPr fontId="7" type="noConversion"/>
  </si>
  <si>
    <t>https://www.adac.de/rund-ums-fahrzeug/autokatalog/marken-modelle/kia/niro/de-facelift/309558/#kosten</t>
  </si>
  <si>
    <t>e-Soul (64 kWh) Spirit 2020</t>
    <phoneticPr fontId="7" type="noConversion"/>
  </si>
  <si>
    <t>https://www.adac.de/rund-ums-fahrzeug/autokatalog/marken-modelle/kia/soul/sk3/312202/#kosten</t>
  </si>
  <si>
    <t>MX-30 e-SKYACTIV Makoto 2022</t>
    <phoneticPr fontId="7" type="noConversion"/>
  </si>
  <si>
    <t>Mazda</t>
    <phoneticPr fontId="7" type="noConversion"/>
  </si>
  <si>
    <t>215/55R18</t>
    <phoneticPr fontId="7" type="noConversion"/>
  </si>
  <si>
    <t>35.5 kWh</t>
    <phoneticPr fontId="7" type="noConversion"/>
  </si>
  <si>
    <t>https://www.adac.de/rund-ums-fahrzeug/autokatalog/marken-modelle/mazda/mx-30/dr/324449/#kosten</t>
  </si>
  <si>
    <t>EQA 250 Electric Art 2022</t>
    <phoneticPr fontId="7" type="noConversion"/>
  </si>
  <si>
    <t>Mercedes</t>
    <phoneticPr fontId="7" type="noConversion"/>
  </si>
  <si>
    <t>235/55R18</t>
    <phoneticPr fontId="7" type="noConversion"/>
  </si>
  <si>
    <t>66.5 kWh</t>
    <phoneticPr fontId="7" type="noConversion"/>
  </si>
  <si>
    <t>https://www.adac.de/rund-ums-fahrzeug/autokatalog/marken-modelle/mercedes-benz/eqa/243/324850/#kosten</t>
  </si>
  <si>
    <t>EQC 400 4MATIC 2021</t>
    <phoneticPr fontId="7" type="noConversion"/>
  </si>
  <si>
    <t>Mercedes</t>
    <phoneticPr fontId="7" type="noConversion"/>
  </si>
  <si>
    <t>Elektro</t>
    <phoneticPr fontId="7" type="noConversion"/>
  </si>
  <si>
    <t>-</t>
    <phoneticPr fontId="7" type="noConversion"/>
  </si>
  <si>
    <t>235/55R19 / 255/50R19</t>
    <phoneticPr fontId="7" type="noConversion"/>
  </si>
  <si>
    <t>85 kWh</t>
    <phoneticPr fontId="7" type="noConversion"/>
  </si>
  <si>
    <t>https://www.adac.de/rund-ums-fahrzeug/autokatalog/marken-modelle/mercedes-benz/eqc/293/319529/#kosten</t>
  </si>
  <si>
    <t>3-Türer Cooper SE Electric Trim 2021</t>
    <phoneticPr fontId="7" type="noConversion"/>
  </si>
  <si>
    <t>Mini</t>
    <phoneticPr fontId="7" type="noConversion"/>
  </si>
  <si>
    <t>205/45R17</t>
    <phoneticPr fontId="7" type="noConversion"/>
  </si>
  <si>
    <t>32.6 kWh</t>
    <phoneticPr fontId="7" type="noConversion"/>
  </si>
  <si>
    <t>https://www.adac.de/rund-ums-fahrzeug/autokatalog/marken-modelle/mini/mini/f55-f56-f57-facelift-2/319150/#kosten</t>
  </si>
  <si>
    <t>Leaf (40 kWh) Tekna 2019</t>
    <phoneticPr fontId="7" type="noConversion"/>
  </si>
  <si>
    <t>Nissan</t>
    <phoneticPr fontId="7" type="noConversion"/>
  </si>
  <si>
    <t>215/50R17</t>
    <phoneticPr fontId="7" type="noConversion"/>
  </si>
  <si>
    <t>40 kWh</t>
    <phoneticPr fontId="7" type="noConversion"/>
  </si>
  <si>
    <t>https://www.adac.de/rund-ums-fahrzeug/autokatalog/marken-modelle/nissan/leaf/ze1/297955/#kosten</t>
  </si>
  <si>
    <t>Mokka-e Ultimate 2021</t>
    <phoneticPr fontId="7" type="noConversion"/>
  </si>
  <si>
    <t>Opel</t>
    <phoneticPr fontId="7" type="noConversion"/>
  </si>
  <si>
    <t>215/55R18</t>
    <phoneticPr fontId="7" type="noConversion"/>
  </si>
  <si>
    <t>50 kWh</t>
    <phoneticPr fontId="7" type="noConversion"/>
  </si>
  <si>
    <t>https://www.adac.de/rund-ums-fahrzeug/autokatalog/marken-modelle/opel/mokka/b/315851/#kosten</t>
  </si>
  <si>
    <t>Opel</t>
    <phoneticPr fontId="7" type="noConversion"/>
  </si>
  <si>
    <t>Elektro</t>
    <phoneticPr fontId="7" type="noConversion"/>
  </si>
  <si>
    <t>Corsa-e Elegance 2020</t>
    <phoneticPr fontId="7" type="noConversion"/>
  </si>
  <si>
    <t>-</t>
    <phoneticPr fontId="7" type="noConversion"/>
  </si>
  <si>
    <t>195/55R16</t>
    <phoneticPr fontId="7" type="noConversion"/>
  </si>
  <si>
    <t>50 kWh</t>
    <phoneticPr fontId="7" type="noConversion"/>
  </si>
  <si>
    <t>https://www.adac.de/rund-ums-fahrzeug/autokatalog/marken-modelle/opel/corsa/f/312301/#kosten</t>
  </si>
  <si>
    <t>e-2008 Allure 2020</t>
    <phoneticPr fontId="7" type="noConversion"/>
  </si>
  <si>
    <t>Peugeot</t>
    <phoneticPr fontId="7" type="noConversion"/>
  </si>
  <si>
    <t>215/60R17</t>
    <phoneticPr fontId="7" type="noConversion"/>
  </si>
  <si>
    <t>https://www.adac.de/rund-ums-fahrzeug/autokatalog/marken-modelle/peugeot/2008/2generation/309005/#kosten</t>
  </si>
  <si>
    <t>2 Long Range Dual Motor 2020</t>
    <phoneticPr fontId="7" type="noConversion"/>
  </si>
  <si>
    <t>Polestar</t>
    <phoneticPr fontId="7" type="noConversion"/>
  </si>
  <si>
    <t>245/45R19</t>
    <phoneticPr fontId="7" type="noConversion"/>
  </si>
  <si>
    <t>78 kWh</t>
    <phoneticPr fontId="7" type="noConversion"/>
  </si>
  <si>
    <t>https://www.adac.de/rund-ums-fahrzeug/autokatalog/marken-modelle/polestar/2/1generation/305218/#kosten</t>
  </si>
  <si>
    <t>Taycan Turbo S 2020</t>
    <phoneticPr fontId="7" type="noConversion"/>
  </si>
  <si>
    <t>Porsche</t>
    <phoneticPr fontId="7" type="noConversion"/>
  </si>
  <si>
    <t>265/35R21 305/30R21</t>
    <phoneticPr fontId="7" type="noConversion"/>
  </si>
  <si>
    <t>93.4 kWh</t>
    <phoneticPr fontId="7" type="noConversion"/>
  </si>
  <si>
    <t>https://www.adac.de/rund-ums-fahrzeug/autokatalog/marken-modelle/porsche/taycan/y1a/303496/#kosten</t>
  </si>
  <si>
    <t>Zoe R135 Z.E. 50 Riviera (inkl. Batterie) 2020</t>
    <phoneticPr fontId="7" type="noConversion"/>
  </si>
  <si>
    <t>Renault</t>
    <phoneticPr fontId="7" type="noConversion"/>
  </si>
  <si>
    <t>55 kWh</t>
    <phoneticPr fontId="7" type="noConversion"/>
  </si>
  <si>
    <t>https://www.adac.de/rund-ums-fahrzeug/autokatalog/marken-modelle/renault/zoe/1generation-facelift/316404/#kosten</t>
  </si>
  <si>
    <t>smart</t>
    <phoneticPr fontId="7" type="noConversion"/>
  </si>
  <si>
    <t>17.6 kWh</t>
    <phoneticPr fontId="7" type="noConversion"/>
  </si>
  <si>
    <t>https://www.adac.de/rund-ums-fahrzeug/autokatalog/marken-modelle/smart/forfour/453-facelift/308866/#kosten</t>
  </si>
  <si>
    <t>165/65R15 185/60R15</t>
    <phoneticPr fontId="7" type="noConversion"/>
  </si>
  <si>
    <t>forfour EQ passion 2020</t>
    <phoneticPr fontId="7" type="noConversion"/>
  </si>
  <si>
    <t>fortwo coupé EQ passion 2020</t>
    <phoneticPr fontId="7" type="noConversion"/>
  </si>
  <si>
    <t>https://www.adac.de/rund-ums-fahrzeug/autokatalog/marken-modelle/smart/fortwo/453-facelift/308858/#kosten</t>
  </si>
  <si>
    <t>Model 3 Performance AWD 2022</t>
    <phoneticPr fontId="7" type="noConversion"/>
  </si>
  <si>
    <t>Tesla</t>
    <phoneticPr fontId="7" type="noConversion"/>
  </si>
  <si>
    <t>Elektro</t>
    <phoneticPr fontId="7" type="noConversion"/>
  </si>
  <si>
    <t>-</t>
    <phoneticPr fontId="7" type="noConversion"/>
  </si>
  <si>
    <t>80.5 kWh</t>
    <phoneticPr fontId="7" type="noConversion"/>
  </si>
  <si>
    <t>https://www.adac.de/rund-ums-fahrzeug/autokatalog/marken-modelle/tesla/model-3/1generation/322477/#kosten</t>
  </si>
  <si>
    <t>235/35R20</t>
    <phoneticPr fontId="7" type="noConversion"/>
  </si>
  <si>
    <t>Model S Plaid 2022</t>
    <phoneticPr fontId="7" type="noConversion"/>
  </si>
  <si>
    <t>245/45R19</t>
    <phoneticPr fontId="7" type="noConversion"/>
  </si>
  <si>
    <t>https://www.adac.de/rund-ums-fahrzeug/autokatalog/marken-modelle/tesla/model-s/1generation-facelift/261294/#kosten</t>
  </si>
  <si>
    <t>100 kWh</t>
    <phoneticPr fontId="7" type="noConversion"/>
  </si>
  <si>
    <t>Model Y Maximum Range AWD 2021</t>
    <phoneticPr fontId="7" type="noConversion"/>
  </si>
  <si>
    <t>Tesla</t>
    <phoneticPr fontId="7" type="noConversion"/>
  </si>
  <si>
    <t>Elektro</t>
    <phoneticPr fontId="7" type="noConversion"/>
  </si>
  <si>
    <t>-</t>
    <phoneticPr fontId="7" type="noConversion"/>
  </si>
  <si>
    <t>255/45R19</t>
    <phoneticPr fontId="7" type="noConversion"/>
  </si>
  <si>
    <t>80.5 kWh</t>
    <phoneticPr fontId="7" type="noConversion"/>
  </si>
  <si>
    <t>https://www.adac.de/rund-ums-fahrzeug/autokatalog/marken-modelle/tesla/model-y/1generation/297992/#kosten</t>
  </si>
  <si>
    <t>Model X Plaid 2022</t>
    <phoneticPr fontId="7" type="noConversion"/>
  </si>
  <si>
    <t>255/45R20 275/45R20</t>
    <phoneticPr fontId="7" type="noConversion"/>
  </si>
  <si>
    <t>130 kWh</t>
    <phoneticPr fontId="7" type="noConversion"/>
  </si>
  <si>
    <t>https://www.autokostencheck.de/Tesla/Tesla-Model-X/Model-X/tesla-model-x-p90d_414850.html</t>
  </si>
  <si>
    <t>XC 40 Recharge Pure Electric Twin Ultimate 2022</t>
    <phoneticPr fontId="7" type="noConversion"/>
  </si>
  <si>
    <t>Volvo</t>
    <phoneticPr fontId="7" type="noConversion"/>
  </si>
  <si>
    <t>235/50R19 255/45R19</t>
    <phoneticPr fontId="7" type="noConversion"/>
  </si>
  <si>
    <t>78 kWh</t>
    <phoneticPr fontId="7" type="noConversion"/>
  </si>
  <si>
    <t>https://www.adac.de/rund-ums-fahrzeug/autokatalog/marken-modelle/volvo/xc40/1generation-facelift/324773/#kosten</t>
  </si>
  <si>
    <t>ID.3 Pro S (77 kWh) (5-Sitzer) 2021</t>
    <phoneticPr fontId="7" type="noConversion"/>
  </si>
  <si>
    <t>VW</t>
    <phoneticPr fontId="7" type="noConversion"/>
  </si>
  <si>
    <t>215/50R19</t>
    <phoneticPr fontId="7" type="noConversion"/>
  </si>
  <si>
    <t>82 kWh</t>
    <phoneticPr fontId="7" type="noConversion"/>
  </si>
  <si>
    <t>https://www.adac.de/rund-ums-fahrzeug/autokatalog/marken-modelle/vw/id3/1generation/320814/#kosten</t>
  </si>
  <si>
    <t>ID.4 Pro Performance (77 kWh) 4MOTION 2022</t>
    <phoneticPr fontId="7" type="noConversion"/>
  </si>
  <si>
    <t>235/55R19 255/50R19</t>
    <phoneticPr fontId="7" type="noConversion"/>
  </si>
  <si>
    <t>https://www.adac.de/rund-ums-fahrzeug/autokatalog/marken-modelle/vw/id4/1generation/320818/#kosten</t>
  </si>
  <si>
    <t>e-up! Style Plus 2022</t>
    <phoneticPr fontId="7" type="noConversion"/>
  </si>
  <si>
    <t>165/65R15</t>
    <phoneticPr fontId="7" type="noConversion"/>
  </si>
  <si>
    <t>36.8 kWh</t>
    <phoneticPr fontId="7" type="noConversion"/>
  </si>
  <si>
    <t>https://www.adac.de/rund-ums-fahrzeug/autokatalog/marken-modelle/vw/up/1generation-facelift/323893/#kosten</t>
  </si>
  <si>
    <t>e-Golf 2017</t>
    <phoneticPr fontId="7" type="noConversion"/>
  </si>
  <si>
    <t>205/55R16H</t>
    <phoneticPr fontId="7" type="noConversion"/>
  </si>
  <si>
    <t>35.8 kWh</t>
    <phoneticPr fontId="7" type="noConversion"/>
  </si>
  <si>
    <t>https://www.adac.de/rund-ums-fahrzeug/autokatalog/marken-modelle/vw/golf/vii-facelift/266575/#kosten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</si>
</sst>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_€_-;\-* #,##0.00\ _€_-;_-* &quot;-&quot;??\ _€_-;_-@_-"/>
    <numFmt numFmtId="165" formatCode="0.0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name val="Calibri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17">
    <xf numFmtId="0" fontId="0" fillId="0" borderId="0" xfId="0"/>
    <xf numFmtId="0" fontId="2" fillId="0" borderId="0" xfId="0" applyFont="1"/>
    <xf numFmtId="165" fontId="0" fillId="0" borderId="0" xfId="1" applyNumberFormat="1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vertical="center"/>
    </xf>
    <xf numFmtId="0" fontId="4" fillId="0" borderId="0" xfId="0" applyFont="1"/>
    <xf numFmtId="0" fontId="4" fillId="0" borderId="0" xfId="0" applyFont="1" applyAlignment="1">
      <alignment vertical="center"/>
    </xf>
    <xf numFmtId="1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vertical="center"/>
    </xf>
    <xf numFmtId="0" fontId="5" fillId="0" borderId="0" xfId="0" applyFont="1"/>
    <xf numFmtId="0" fontId="0" fillId="2" borderId="0" xfId="0" applyFill="1"/>
    <xf numFmtId="0" fontId="0" fillId="3" borderId="0" xfId="0" applyFill="1"/>
    <xf numFmtId="0" fontId="0" fillId="2" borderId="1" xfId="0" applyFill="1" applyBorder="1"/>
    <xf numFmtId="0" fontId="0" fillId="0" borderId="1" xfId="0" applyBorder="1"/>
    <xf numFmtId="0" fontId="6" fillId="0" borderId="1" xfId="2" applyBorder="1"/>
    <xf numFmtId="0" fontId="0" fillId="4" borderId="0" xfId="0" applyFill="1"/>
  </cellXfs>
  <cellStyles count="3">
    <cellStyle name="Komma" xfId="1" builtinId="3"/>
    <cellStyle name="Link" xfId="2" builtinId="8"/>
    <cellStyle name="Standard" xfId="0" builtinId="0"/>
  </cellStyles>
  <dxfs count="0"/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adac.de/rund-ums-fahrzeug/autokatalog/marken-modelle/ford/gt/ii/266340/" TargetMode="External"/><Relationship Id="rId18" Type="http://schemas.openxmlformats.org/officeDocument/2006/relationships/hyperlink" Target="https://www.adac.de/rund-ums-fahrzeug/autokatalog/marken-modelle/mercedes/e-klasse/213-238/258722/" TargetMode="External"/><Relationship Id="rId26" Type="http://schemas.openxmlformats.org/officeDocument/2006/relationships/hyperlink" Target="https://www.adac.de/rund-ums-fahrzeug/autokatalog/marken-modelle/jaguar/xj/x351/234279/" TargetMode="External"/><Relationship Id="rId3" Type="http://schemas.openxmlformats.org/officeDocument/2006/relationships/hyperlink" Target="https://www.adac.de/rund-ums-fahrzeug/autokatalog/marken-modelle/porsche/911/991-facelift/283481/" TargetMode="External"/><Relationship Id="rId21" Type="http://schemas.openxmlformats.org/officeDocument/2006/relationships/hyperlink" Target="https://www.adac.de/rund-ums-fahrzeug/autokatalog/marken-modelle/audi/r8/4s/247586/" TargetMode="External"/><Relationship Id="rId34" Type="http://schemas.openxmlformats.org/officeDocument/2006/relationships/hyperlink" Target="https://www.adac.de/rund-ums-fahrzeug/autokatalog/marken-modelle/audi/e-tron-gt/fw/319402/" TargetMode="External"/><Relationship Id="rId7" Type="http://schemas.openxmlformats.org/officeDocument/2006/relationships/hyperlink" Target="https://www.adac.de/rund-ums-fahrzeug/autokatalog/marken-modelle/tesla/model-s/1generation-facelift/257044/" TargetMode="External"/><Relationship Id="rId12" Type="http://schemas.openxmlformats.org/officeDocument/2006/relationships/hyperlink" Target="https://www.adac.de/rund-ums-fahrzeug/autokatalog/marken-modelle/bmw/1er-reihe/f20-f21-facelift/247743/" TargetMode="External"/><Relationship Id="rId17" Type="http://schemas.openxmlformats.org/officeDocument/2006/relationships/hyperlink" Target="https://www.adac.de/rund-ums-fahrzeug/autokatalog/marken-modelle/audi/a4/b8-facelift/230679/" TargetMode="External"/><Relationship Id="rId25" Type="http://schemas.openxmlformats.org/officeDocument/2006/relationships/hyperlink" Target="https://www.adac.de/rund-ums-fahrzeug/autokatalog/marken-modelle/porsche/cayenne/955-facelift/208864/" TargetMode="External"/><Relationship Id="rId33" Type="http://schemas.openxmlformats.org/officeDocument/2006/relationships/hyperlink" Target="https://www.adac.de/rund-ums-fahrzeug/autokatalog/marken-modelle/audi/e-tron/ge/315204/" TargetMode="External"/><Relationship Id="rId2" Type="http://schemas.openxmlformats.org/officeDocument/2006/relationships/hyperlink" Target="https://www.adac.de/rund-ums-fahrzeug/autokatalog/marken-modelle/vw-nutzfahrzeuge/transporter/6generation/261664/" TargetMode="External"/><Relationship Id="rId16" Type="http://schemas.openxmlformats.org/officeDocument/2006/relationships/hyperlink" Target="https://www.adac.de/rund-ums-fahrzeug/autokatalog/marken-modelle/skoda/octavia/3generation-facelift/266374/" TargetMode="External"/><Relationship Id="rId20" Type="http://schemas.openxmlformats.org/officeDocument/2006/relationships/hyperlink" Target="https://www.adac.de/rund-ums-fahrzeug/autokatalog/marken-modelle/bmw/i8/1generation-facelift/285096/" TargetMode="External"/><Relationship Id="rId29" Type="http://schemas.openxmlformats.org/officeDocument/2006/relationships/hyperlink" Target="https://www.adac.de/rund-ums-fahrzeug/autokatalog/marken-modelle/mercedes/s-klasse/217-222-facelift/290000/" TargetMode="External"/><Relationship Id="rId1" Type="http://schemas.openxmlformats.org/officeDocument/2006/relationships/hyperlink" Target="https://www.adac.de/rund-ums-fahrzeug/autokatalog/marken-modelle/vw-nutzfahrzeuge/transporter/6generation/248208/" TargetMode="External"/><Relationship Id="rId6" Type="http://schemas.openxmlformats.org/officeDocument/2006/relationships/hyperlink" Target="https://www.adac.de/rund-ums-fahrzeug/autokatalog/marken-modelle/mercedes/s-klasse/217-222-facelift/278837/" TargetMode="External"/><Relationship Id="rId11" Type="http://schemas.openxmlformats.org/officeDocument/2006/relationships/hyperlink" Target="https://www.adac.de/rund-ums-fahrzeug/autokatalog/marken-modelle/vw/golf/vii-facelift/266210/" TargetMode="External"/><Relationship Id="rId24" Type="http://schemas.openxmlformats.org/officeDocument/2006/relationships/hyperlink" Target="https://www.adac.de/rund-ums-fahrzeug/autokatalog/marken-modelle/seat/ateca/5fp/253963/" TargetMode="External"/><Relationship Id="rId32" Type="http://schemas.openxmlformats.org/officeDocument/2006/relationships/hyperlink" Target="https://www.adac.de/rund-ums-fahrzeug/autokatalog/marken-modelle/bmw/ix3/g08-facelift/321497/" TargetMode="External"/><Relationship Id="rId5" Type="http://schemas.openxmlformats.org/officeDocument/2006/relationships/hyperlink" Target="https://www.adac.de/rund-ums-fahrzeug/autokatalog/marken-modelle/smart/fortwo/453/242477/" TargetMode="External"/><Relationship Id="rId15" Type="http://schemas.openxmlformats.org/officeDocument/2006/relationships/hyperlink" Target="https://www.adac.de/rund-ums-fahrzeug/autokatalog/marken-modelle/ford/focus/iv/304957/" TargetMode="External"/><Relationship Id="rId23" Type="http://schemas.openxmlformats.org/officeDocument/2006/relationships/hyperlink" Target="https://www.adac.de/rund-ums-fahrzeug/autokatalog/marken-modelle/mini/mini/f55-f56-f57/286064/" TargetMode="External"/><Relationship Id="rId28" Type="http://schemas.openxmlformats.org/officeDocument/2006/relationships/hyperlink" Target="https://www.adac.de/rund-ums-fahrzeug/autokatalog/marken-modelle/rolls-royce/ghost/rr4-facelift/241307/" TargetMode="External"/><Relationship Id="rId10" Type="http://schemas.openxmlformats.org/officeDocument/2006/relationships/hyperlink" Target="https://www.adac.de/rund-ums-fahrzeug/autokatalog/marken-modelle/vw/polo/vi/283814/" TargetMode="External"/><Relationship Id="rId19" Type="http://schemas.openxmlformats.org/officeDocument/2006/relationships/hyperlink" Target="https://www.adac.de/rund-ums-fahrzeug/autokatalog/marken-modelle/volvo/s90-v90/2generation/283898/" TargetMode="External"/><Relationship Id="rId31" Type="http://schemas.openxmlformats.org/officeDocument/2006/relationships/hyperlink" Target="https://www.adac.de/rund-ums-fahrzeug/autokatalog/marken-modelle/toyota/prius/zvw50-zvw52/268971/" TargetMode="External"/><Relationship Id="rId4" Type="http://schemas.openxmlformats.org/officeDocument/2006/relationships/hyperlink" Target="https://autokosten.net/renault/twizy/twizy/twizy_1" TargetMode="External"/><Relationship Id="rId9" Type="http://schemas.openxmlformats.org/officeDocument/2006/relationships/hyperlink" Target="https://www.adac.de/rund-ums-fahrzeug/autokatalog/marken-modelle/audi/a6/c7-facelift/250965/" TargetMode="External"/><Relationship Id="rId14" Type="http://schemas.openxmlformats.org/officeDocument/2006/relationships/hyperlink" Target="https://www.adac.de/rund-ums-fahrzeug/autokatalog/marken-modelle/fiat/500/312-facelift/268062/" TargetMode="External"/><Relationship Id="rId22" Type="http://schemas.openxmlformats.org/officeDocument/2006/relationships/hyperlink" Target="https://www.adac.de/rund-ums-fahrzeug/autokatalog/marken-modelle/seat/alhambra/7n-facelift/268044/" TargetMode="External"/><Relationship Id="rId27" Type="http://schemas.openxmlformats.org/officeDocument/2006/relationships/hyperlink" Target="https://www.adac.de/rund-ums-fahrzeug/autokatalog/marken-modelle/bentley/mulsanne/1generation/261919/" TargetMode="External"/><Relationship Id="rId30" Type="http://schemas.openxmlformats.org/officeDocument/2006/relationships/hyperlink" Target="https://www.adac.de/rund-ums-fahrzeug/autokatalog/marken-modelle/bmw/i3/1generation-facelift/283076/" TargetMode="External"/><Relationship Id="rId35" Type="http://schemas.openxmlformats.org/officeDocument/2006/relationships/printerSettings" Target="../printerSettings/printerSettings1.bin"/><Relationship Id="rId8" Type="http://schemas.openxmlformats.org/officeDocument/2006/relationships/hyperlink" Target="https://www.adac.de/rund-ums-fahrzeug/autokatalog/marken-modelle/bmw/x6/f16-f86/241477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5C9A0-420C-491A-ABC7-ADFF42C42C62}">
  <dimension ref="A1:BO66"/>
  <sheetViews>
    <sheetView zoomScaleNormal="100" workbookViewId="0">
      <pane xSplit="2" ySplit="2" topLeftCell="AP3" activePane="bottomRight" state="frozen"/>
      <selection pane="topRight" activeCell="C1" sqref="C1"/>
      <selection pane="bottomLeft" activeCell="A3" sqref="A3"/>
      <selection pane="bottomRight" activeCell="BP12" sqref="BP12"/>
    </sheetView>
  </sheetViews>
  <sheetFormatPr baseColWidth="10" defaultColWidth="11.5703125" defaultRowHeight="15"/>
  <cols>
    <col min="1" max="1" width="29.7109375" customWidth="1"/>
    <col min="8" max="8" width="12.5703125" bestFit="1" customWidth="1"/>
    <col min="59" max="60" width="12.5703125" bestFit="1" customWidth="1"/>
    <col min="61" max="61" width="11.5703125" customWidth="1"/>
    <col min="67" max="67" width="11.5703125" customWidth="1"/>
  </cols>
  <sheetData>
    <row r="1" spans="1:67">
      <c r="A1" t="s">
        <v>151</v>
      </c>
      <c r="D1" t="s">
        <v>39</v>
      </c>
      <c r="E1" t="s">
        <v>311</v>
      </c>
      <c r="F1" t="s">
        <v>285</v>
      </c>
      <c r="G1" t="s">
        <v>48</v>
      </c>
      <c r="H1" t="s">
        <v>5</v>
      </c>
      <c r="I1" t="s">
        <v>55</v>
      </c>
      <c r="J1" t="s">
        <v>69</v>
      </c>
      <c r="K1" t="s">
        <v>75</v>
      </c>
      <c r="L1" t="s">
        <v>77</v>
      </c>
      <c r="M1" t="s">
        <v>302</v>
      </c>
      <c r="N1" t="s">
        <v>240</v>
      </c>
      <c r="O1" t="s">
        <v>58</v>
      </c>
      <c r="P1" t="s">
        <v>273</v>
      </c>
      <c r="Q1" t="s">
        <v>278</v>
      </c>
      <c r="R1" t="s">
        <v>307</v>
      </c>
      <c r="S1" t="s">
        <v>226</v>
      </c>
      <c r="T1" t="s">
        <v>371</v>
      </c>
      <c r="U1" t="s">
        <v>266</v>
      </c>
      <c r="V1" t="s">
        <v>223</v>
      </c>
      <c r="W1" t="s">
        <v>224</v>
      </c>
      <c r="X1" t="s">
        <v>367</v>
      </c>
      <c r="Y1" t="s">
        <v>50</v>
      </c>
      <c r="Z1" t="s">
        <v>329</v>
      </c>
      <c r="AA1" t="s">
        <v>11</v>
      </c>
      <c r="AB1" t="s">
        <v>330</v>
      </c>
      <c r="AC1" t="s">
        <v>85</v>
      </c>
      <c r="AD1" t="s">
        <v>22</v>
      </c>
      <c r="AE1" t="s">
        <v>46</v>
      </c>
      <c r="AF1" t="s">
        <v>35</v>
      </c>
      <c r="AG1" t="s">
        <v>63</v>
      </c>
      <c r="AH1" t="s">
        <v>359</v>
      </c>
      <c r="AI1" t="s">
        <v>364</v>
      </c>
      <c r="AJ1" t="s">
        <v>246</v>
      </c>
      <c r="AK1" t="s">
        <v>225</v>
      </c>
      <c r="AL1" t="s">
        <v>256</v>
      </c>
      <c r="AM1" t="s">
        <v>250</v>
      </c>
      <c r="AN1" t="s">
        <v>290</v>
      </c>
      <c r="AO1" t="s">
        <v>332</v>
      </c>
      <c r="AP1" t="s">
        <v>14</v>
      </c>
      <c r="AQ1" t="s">
        <v>339</v>
      </c>
      <c r="AR1" t="s">
        <v>350</v>
      </c>
      <c r="AS1" t="s">
        <v>343</v>
      </c>
      <c r="AT1" t="s">
        <v>295</v>
      </c>
      <c r="AU1" t="s">
        <v>83</v>
      </c>
      <c r="AV1" t="s">
        <v>245</v>
      </c>
      <c r="AW1" t="s">
        <v>268</v>
      </c>
      <c r="AX1" t="s">
        <v>261</v>
      </c>
      <c r="AY1" t="s">
        <v>52</v>
      </c>
      <c r="AZ1" t="s">
        <v>72</v>
      </c>
      <c r="BA1" t="s">
        <v>21</v>
      </c>
      <c r="BB1" s="9" t="s">
        <v>92</v>
      </c>
      <c r="BC1" t="s">
        <v>67</v>
      </c>
      <c r="BD1" t="s">
        <v>19</v>
      </c>
      <c r="BE1" t="s">
        <v>42</v>
      </c>
      <c r="BF1" s="9" t="s">
        <v>88</v>
      </c>
      <c r="BG1" t="s">
        <v>32</v>
      </c>
      <c r="BH1" t="s">
        <v>154</v>
      </c>
      <c r="BI1" t="s">
        <v>316</v>
      </c>
      <c r="BJ1" t="s">
        <v>6</v>
      </c>
      <c r="BK1" t="s">
        <v>60</v>
      </c>
      <c r="BL1" t="s">
        <v>18</v>
      </c>
      <c r="BM1" t="s">
        <v>354</v>
      </c>
      <c r="BN1" t="s">
        <v>79</v>
      </c>
      <c r="BO1" t="s">
        <v>321</v>
      </c>
    </row>
    <row r="2" spans="1:67">
      <c r="A2" t="s">
        <v>152</v>
      </c>
      <c r="D2" t="s">
        <v>17</v>
      </c>
      <c r="E2" t="s">
        <v>312</v>
      </c>
      <c r="F2" t="s">
        <v>286</v>
      </c>
      <c r="G2" t="s">
        <v>47</v>
      </c>
      <c r="H2" t="s">
        <v>4</v>
      </c>
      <c r="I2" t="s">
        <v>20</v>
      </c>
      <c r="J2" t="s">
        <v>68</v>
      </c>
      <c r="K2" t="s">
        <v>68</v>
      </c>
      <c r="L2" t="s">
        <v>4</v>
      </c>
      <c r="M2" t="s">
        <v>300</v>
      </c>
      <c r="N2" t="s">
        <v>239</v>
      </c>
      <c r="O2" t="s">
        <v>13</v>
      </c>
      <c r="P2" t="s">
        <v>274</v>
      </c>
      <c r="Q2" t="s">
        <v>279</v>
      </c>
      <c r="R2" t="s">
        <v>308</v>
      </c>
      <c r="S2" t="s">
        <v>227</v>
      </c>
      <c r="T2" t="s">
        <v>360</v>
      </c>
      <c r="U2" t="s">
        <v>262</v>
      </c>
      <c r="V2" t="s">
        <v>208</v>
      </c>
      <c r="W2" t="s">
        <v>214</v>
      </c>
      <c r="X2" t="s">
        <v>360</v>
      </c>
      <c r="Y2" t="s">
        <v>40</v>
      </c>
      <c r="Z2" t="s">
        <v>325</v>
      </c>
      <c r="AA2" t="s">
        <v>12</v>
      </c>
      <c r="AB2" t="s">
        <v>325</v>
      </c>
      <c r="AC2" t="s">
        <v>86</v>
      </c>
      <c r="AD2" t="s">
        <v>2</v>
      </c>
      <c r="AE2" t="s">
        <v>40</v>
      </c>
      <c r="AF2" t="s">
        <v>17</v>
      </c>
      <c r="AG2" t="s">
        <v>17</v>
      </c>
      <c r="AH2" t="s">
        <v>360</v>
      </c>
      <c r="AI2" t="s">
        <v>360</v>
      </c>
      <c r="AJ2" t="s">
        <v>244</v>
      </c>
      <c r="AK2" t="s">
        <v>217</v>
      </c>
      <c r="AL2" t="s">
        <v>257</v>
      </c>
      <c r="AM2" t="s">
        <v>251</v>
      </c>
      <c r="AN2" t="s">
        <v>291</v>
      </c>
      <c r="AO2" t="s">
        <v>333</v>
      </c>
      <c r="AP2" t="s">
        <v>15</v>
      </c>
      <c r="AQ2" t="s">
        <v>333</v>
      </c>
      <c r="AR2" t="s">
        <v>344</v>
      </c>
      <c r="AS2" t="s">
        <v>344</v>
      </c>
      <c r="AT2" t="s">
        <v>296</v>
      </c>
      <c r="AU2" t="s">
        <v>82</v>
      </c>
      <c r="AV2" t="s">
        <v>229</v>
      </c>
      <c r="AW2" t="s">
        <v>269</v>
      </c>
      <c r="AX2" t="s">
        <v>262</v>
      </c>
      <c r="AY2" t="s">
        <v>53</v>
      </c>
      <c r="AZ2" t="s">
        <v>73</v>
      </c>
      <c r="BA2" t="s">
        <v>2</v>
      </c>
      <c r="BB2" t="s">
        <v>93</v>
      </c>
      <c r="BC2" t="s">
        <v>20</v>
      </c>
      <c r="BD2" t="s">
        <v>20</v>
      </c>
      <c r="BE2" t="s">
        <v>13</v>
      </c>
      <c r="BF2" t="s">
        <v>89</v>
      </c>
      <c r="BG2" t="s">
        <v>2</v>
      </c>
      <c r="BH2" t="s">
        <v>2</v>
      </c>
      <c r="BI2" t="s">
        <v>317</v>
      </c>
      <c r="BJ2" t="s">
        <v>7</v>
      </c>
      <c r="BK2" t="s">
        <v>61</v>
      </c>
      <c r="BL2" t="s">
        <v>17</v>
      </c>
      <c r="BM2" t="s">
        <v>355</v>
      </c>
      <c r="BN2" t="s">
        <v>80</v>
      </c>
      <c r="BO2" t="s">
        <v>322</v>
      </c>
    </row>
    <row r="3" spans="1:67">
      <c r="B3" t="s">
        <v>0</v>
      </c>
    </row>
    <row r="5" spans="1:67">
      <c r="A5" s="1" t="s">
        <v>123</v>
      </c>
      <c r="D5" t="s">
        <v>3</v>
      </c>
      <c r="E5" t="s">
        <v>301</v>
      </c>
      <c r="F5" t="s">
        <v>280</v>
      </c>
      <c r="G5" t="s">
        <v>3</v>
      </c>
      <c r="H5" t="s">
        <v>3</v>
      </c>
      <c r="I5" t="s">
        <v>3</v>
      </c>
      <c r="J5" t="s">
        <v>57</v>
      </c>
      <c r="K5" t="s">
        <v>3</v>
      </c>
      <c r="L5" t="s">
        <v>3</v>
      </c>
      <c r="M5" t="s">
        <v>301</v>
      </c>
      <c r="N5" t="s">
        <v>230</v>
      </c>
      <c r="O5" t="s">
        <v>57</v>
      </c>
      <c r="P5" t="s">
        <v>252</v>
      </c>
      <c r="Q5" t="s">
        <v>280</v>
      </c>
      <c r="R5" t="s">
        <v>301</v>
      </c>
      <c r="S5" t="s">
        <v>218</v>
      </c>
      <c r="T5" t="s">
        <v>345</v>
      </c>
      <c r="U5" t="s">
        <v>252</v>
      </c>
      <c r="V5" t="s">
        <v>209</v>
      </c>
      <c r="W5" t="s">
        <v>218</v>
      </c>
      <c r="X5" t="s">
        <v>345</v>
      </c>
      <c r="Y5" t="s">
        <v>3</v>
      </c>
      <c r="Z5" t="s">
        <v>301</v>
      </c>
      <c r="AA5" t="s">
        <v>3</v>
      </c>
      <c r="AB5" t="s">
        <v>301</v>
      </c>
      <c r="AC5" t="s">
        <v>3</v>
      </c>
      <c r="AD5" t="s">
        <v>3</v>
      </c>
      <c r="AE5" t="s">
        <v>3</v>
      </c>
      <c r="AF5" t="s">
        <v>36</v>
      </c>
      <c r="AG5" t="s">
        <v>64</v>
      </c>
      <c r="AH5" t="s">
        <v>345</v>
      </c>
      <c r="AI5" t="s">
        <v>345</v>
      </c>
      <c r="AJ5" t="s">
        <v>230</v>
      </c>
      <c r="AK5" t="s">
        <v>218</v>
      </c>
      <c r="AL5" t="s">
        <v>252</v>
      </c>
      <c r="AM5" t="s">
        <v>252</v>
      </c>
      <c r="AN5" t="s">
        <v>280</v>
      </c>
      <c r="AO5" t="s">
        <v>334</v>
      </c>
      <c r="AP5" t="s">
        <v>8</v>
      </c>
      <c r="AQ5" t="s">
        <v>334</v>
      </c>
      <c r="AR5" t="s">
        <v>345</v>
      </c>
      <c r="AS5" t="s">
        <v>345</v>
      </c>
      <c r="AT5" t="s">
        <v>280</v>
      </c>
      <c r="AU5" t="s">
        <v>3</v>
      </c>
      <c r="AV5" t="s">
        <v>230</v>
      </c>
      <c r="AW5" t="s">
        <v>252</v>
      </c>
      <c r="AX5" t="s">
        <v>252</v>
      </c>
      <c r="AY5" t="s">
        <v>3</v>
      </c>
      <c r="AZ5" t="s">
        <v>3</v>
      </c>
      <c r="BA5" t="s">
        <v>3</v>
      </c>
      <c r="BB5" t="s">
        <v>64</v>
      </c>
      <c r="BC5" t="s">
        <v>3</v>
      </c>
      <c r="BD5" t="s">
        <v>3</v>
      </c>
      <c r="BE5" t="s">
        <v>3</v>
      </c>
      <c r="BF5" t="s">
        <v>3</v>
      </c>
      <c r="BG5" t="s">
        <v>3</v>
      </c>
      <c r="BH5" t="s">
        <v>3</v>
      </c>
      <c r="BI5" t="s">
        <v>301</v>
      </c>
      <c r="BJ5" t="s">
        <v>8</v>
      </c>
      <c r="BK5" t="s">
        <v>3</v>
      </c>
      <c r="BL5" t="s">
        <v>3</v>
      </c>
      <c r="BM5" t="s">
        <v>345</v>
      </c>
      <c r="BN5" t="s">
        <v>3</v>
      </c>
      <c r="BO5" t="s">
        <v>301</v>
      </c>
    </row>
    <row r="6" spans="1:67">
      <c r="A6" t="s">
        <v>126</v>
      </c>
      <c r="B6" t="s">
        <v>124</v>
      </c>
      <c r="D6">
        <v>100</v>
      </c>
      <c r="E6">
        <v>300</v>
      </c>
      <c r="F6">
        <v>135</v>
      </c>
      <c r="G6">
        <v>51</v>
      </c>
      <c r="H6">
        <v>368</v>
      </c>
      <c r="I6">
        <v>185</v>
      </c>
      <c r="J6">
        <v>110</v>
      </c>
      <c r="K6">
        <v>85</v>
      </c>
      <c r="L6">
        <v>250</v>
      </c>
      <c r="M6">
        <v>100</v>
      </c>
      <c r="N6">
        <v>113</v>
      </c>
      <c r="O6">
        <v>143</v>
      </c>
      <c r="P6">
        <v>140</v>
      </c>
      <c r="Q6">
        <v>300</v>
      </c>
      <c r="R6">
        <v>100</v>
      </c>
      <c r="S6">
        <v>100</v>
      </c>
      <c r="T6">
        <v>100</v>
      </c>
      <c r="U6">
        <v>150</v>
      </c>
      <c r="V6">
        <v>350</v>
      </c>
      <c r="W6">
        <v>370</v>
      </c>
      <c r="X6">
        <v>61</v>
      </c>
      <c r="Y6">
        <v>74</v>
      </c>
      <c r="Z6">
        <v>60</v>
      </c>
      <c r="AA6">
        <v>52</v>
      </c>
      <c r="AB6">
        <v>60</v>
      </c>
      <c r="AC6">
        <v>450</v>
      </c>
      <c r="AD6">
        <v>63</v>
      </c>
      <c r="AE6">
        <v>475</v>
      </c>
      <c r="AF6">
        <v>125</v>
      </c>
      <c r="AG6">
        <v>275</v>
      </c>
      <c r="AH6">
        <v>150</v>
      </c>
      <c r="AI6">
        <v>195</v>
      </c>
      <c r="AJ6">
        <v>100</v>
      </c>
      <c r="AK6">
        <v>210</v>
      </c>
      <c r="AL6">
        <v>294</v>
      </c>
      <c r="AM6">
        <v>150</v>
      </c>
      <c r="AN6">
        <v>110</v>
      </c>
      <c r="AO6">
        <v>377</v>
      </c>
      <c r="AP6">
        <v>315</v>
      </c>
      <c r="AQ6">
        <v>750</v>
      </c>
      <c r="AR6">
        <v>750</v>
      </c>
      <c r="AS6">
        <v>378</v>
      </c>
      <c r="AT6">
        <v>100</v>
      </c>
      <c r="AU6">
        <v>395</v>
      </c>
      <c r="AV6">
        <v>258</v>
      </c>
      <c r="AW6">
        <v>107</v>
      </c>
      <c r="AX6">
        <v>150</v>
      </c>
      <c r="AY6">
        <v>132</v>
      </c>
      <c r="AZ6">
        <v>55</v>
      </c>
      <c r="BA6">
        <v>70</v>
      </c>
      <c r="BB6">
        <v>90</v>
      </c>
      <c r="BC6">
        <v>397</v>
      </c>
      <c r="BD6">
        <v>445</v>
      </c>
      <c r="BE6">
        <v>336</v>
      </c>
      <c r="BF6">
        <v>463</v>
      </c>
      <c r="BG6">
        <v>110</v>
      </c>
      <c r="BH6">
        <v>110</v>
      </c>
      <c r="BI6">
        <v>560</v>
      </c>
      <c r="BJ6">
        <v>4</v>
      </c>
      <c r="BK6">
        <v>184</v>
      </c>
      <c r="BL6">
        <v>330</v>
      </c>
      <c r="BM6">
        <v>300</v>
      </c>
      <c r="BN6">
        <v>250</v>
      </c>
      <c r="BO6">
        <v>100</v>
      </c>
    </row>
    <row r="7" spans="1:67">
      <c r="A7" t="s">
        <v>126</v>
      </c>
      <c r="B7" t="s">
        <v>125</v>
      </c>
      <c r="D7">
        <v>136</v>
      </c>
      <c r="E7">
        <v>408</v>
      </c>
      <c r="F7">
        <v>184</v>
      </c>
      <c r="G7">
        <v>69</v>
      </c>
      <c r="H7">
        <v>500</v>
      </c>
      <c r="I7">
        <v>252</v>
      </c>
      <c r="J7">
        <v>150</v>
      </c>
      <c r="K7">
        <v>115</v>
      </c>
      <c r="L7">
        <v>340</v>
      </c>
      <c r="M7">
        <v>136</v>
      </c>
      <c r="N7">
        <v>154</v>
      </c>
      <c r="O7">
        <v>194</v>
      </c>
      <c r="P7">
        <v>190</v>
      </c>
      <c r="Q7">
        <v>408</v>
      </c>
      <c r="R7">
        <v>136</v>
      </c>
      <c r="S7">
        <v>136</v>
      </c>
      <c r="T7">
        <v>136</v>
      </c>
      <c r="U7">
        <v>204</v>
      </c>
      <c r="V7">
        <v>476</v>
      </c>
      <c r="W7">
        <v>503</v>
      </c>
      <c r="X7">
        <v>83</v>
      </c>
      <c r="Y7">
        <v>100</v>
      </c>
      <c r="Z7">
        <v>82</v>
      </c>
      <c r="AA7">
        <v>71</v>
      </c>
      <c r="AB7">
        <v>82</v>
      </c>
      <c r="AC7">
        <v>612</v>
      </c>
      <c r="AD7">
        <v>85</v>
      </c>
      <c r="AE7">
        <v>647</v>
      </c>
      <c r="AF7">
        <v>170</v>
      </c>
      <c r="AG7">
        <v>374</v>
      </c>
      <c r="AH7">
        <v>204</v>
      </c>
      <c r="AI7">
        <v>265</v>
      </c>
      <c r="AJ7">
        <v>136</v>
      </c>
      <c r="AK7">
        <v>286</v>
      </c>
      <c r="AL7">
        <v>400</v>
      </c>
      <c r="AM7">
        <v>204</v>
      </c>
      <c r="AN7">
        <v>150</v>
      </c>
      <c r="AO7">
        <v>513</v>
      </c>
      <c r="AP7">
        <v>428</v>
      </c>
      <c r="AQ7">
        <v>1020</v>
      </c>
      <c r="AR7">
        <v>1020</v>
      </c>
      <c r="AS7">
        <v>514</v>
      </c>
      <c r="AT7">
        <v>136</v>
      </c>
      <c r="AU7">
        <v>537</v>
      </c>
      <c r="AV7">
        <v>351</v>
      </c>
      <c r="AW7">
        <v>145</v>
      </c>
      <c r="AX7">
        <v>204</v>
      </c>
      <c r="AY7">
        <v>180</v>
      </c>
      <c r="AZ7">
        <v>75</v>
      </c>
      <c r="BA7">
        <v>95</v>
      </c>
      <c r="BB7">
        <v>122</v>
      </c>
      <c r="BC7">
        <v>540</v>
      </c>
      <c r="BD7">
        <v>605</v>
      </c>
      <c r="BE7">
        <v>457</v>
      </c>
      <c r="BF7">
        <v>630</v>
      </c>
      <c r="BG7">
        <v>150</v>
      </c>
      <c r="BH7">
        <v>150</v>
      </c>
      <c r="BI7">
        <v>762</v>
      </c>
      <c r="BJ7">
        <v>5</v>
      </c>
      <c r="BK7">
        <v>250</v>
      </c>
      <c r="BL7">
        <v>450</v>
      </c>
      <c r="BM7">
        <v>408</v>
      </c>
      <c r="BN7">
        <v>340</v>
      </c>
      <c r="BO7">
        <v>136</v>
      </c>
    </row>
    <row r="8" spans="1:67">
      <c r="A8" t="s">
        <v>127</v>
      </c>
      <c r="B8" t="s">
        <v>128</v>
      </c>
      <c r="D8">
        <v>4400</v>
      </c>
      <c r="E8" t="s">
        <v>303</v>
      </c>
      <c r="F8" t="s">
        <v>281</v>
      </c>
      <c r="G8">
        <v>5500</v>
      </c>
      <c r="H8">
        <v>8250</v>
      </c>
      <c r="I8">
        <v>5000</v>
      </c>
      <c r="J8">
        <v>3500</v>
      </c>
      <c r="K8">
        <v>5000</v>
      </c>
      <c r="L8">
        <v>5300</v>
      </c>
      <c r="M8" t="s">
        <v>303</v>
      </c>
      <c r="N8" t="s">
        <v>231</v>
      </c>
      <c r="O8">
        <v>3800</v>
      </c>
      <c r="P8" t="s">
        <v>247</v>
      </c>
      <c r="Q8" t="s">
        <v>281</v>
      </c>
      <c r="R8" t="s">
        <v>303</v>
      </c>
      <c r="S8" t="s">
        <v>215</v>
      </c>
      <c r="T8" t="s">
        <v>346</v>
      </c>
      <c r="U8" t="s">
        <v>247</v>
      </c>
      <c r="V8" t="s">
        <v>210</v>
      </c>
      <c r="W8" t="s">
        <v>215</v>
      </c>
      <c r="X8" t="s">
        <v>346</v>
      </c>
      <c r="Y8">
        <v>4500</v>
      </c>
      <c r="Z8" t="s">
        <v>303</v>
      </c>
      <c r="AA8">
        <v>6000</v>
      </c>
      <c r="AB8" t="s">
        <v>303</v>
      </c>
      <c r="AC8">
        <v>5250</v>
      </c>
      <c r="AD8">
        <v>4300</v>
      </c>
      <c r="AE8">
        <v>6250</v>
      </c>
      <c r="AF8">
        <v>4800</v>
      </c>
      <c r="AG8">
        <v>5800</v>
      </c>
      <c r="AH8" t="s">
        <v>346</v>
      </c>
      <c r="AI8" t="s">
        <v>346</v>
      </c>
      <c r="AJ8" t="s">
        <v>247</v>
      </c>
      <c r="AK8" t="s">
        <v>215</v>
      </c>
      <c r="AL8" t="s">
        <v>247</v>
      </c>
      <c r="AM8" t="s">
        <v>247</v>
      </c>
      <c r="AN8" t="s">
        <v>281</v>
      </c>
      <c r="AO8" t="s">
        <v>335</v>
      </c>
      <c r="AP8" t="s">
        <v>9</v>
      </c>
      <c r="AQ8" t="s">
        <v>335</v>
      </c>
      <c r="AR8" t="s">
        <v>346</v>
      </c>
      <c r="AS8" t="s">
        <v>346</v>
      </c>
      <c r="AT8" t="s">
        <v>281</v>
      </c>
      <c r="AU8">
        <v>4000</v>
      </c>
      <c r="AV8" t="s">
        <v>231</v>
      </c>
      <c r="AW8" t="s">
        <v>247</v>
      </c>
      <c r="AX8" t="s">
        <v>247</v>
      </c>
      <c r="AY8">
        <v>5100</v>
      </c>
      <c r="AZ8">
        <v>3500</v>
      </c>
      <c r="BA8">
        <v>5000</v>
      </c>
      <c r="BB8">
        <v>5200</v>
      </c>
      <c r="BC8">
        <v>7800</v>
      </c>
      <c r="BD8">
        <v>6100</v>
      </c>
      <c r="BE8">
        <v>5900</v>
      </c>
      <c r="BF8">
        <v>4800</v>
      </c>
      <c r="BG8">
        <v>3750</v>
      </c>
      <c r="BH8">
        <v>3750</v>
      </c>
      <c r="BI8" t="s">
        <v>303</v>
      </c>
      <c r="BJ8" s="8" t="s">
        <v>9</v>
      </c>
      <c r="BK8">
        <v>5500</v>
      </c>
      <c r="BL8">
        <v>5500</v>
      </c>
      <c r="BM8" t="s">
        <v>346</v>
      </c>
      <c r="BN8">
        <v>6500</v>
      </c>
      <c r="BO8" t="s">
        <v>303</v>
      </c>
    </row>
    <row r="9" spans="1:67">
      <c r="A9" t="s">
        <v>129</v>
      </c>
      <c r="B9" t="s">
        <v>211</v>
      </c>
      <c r="D9">
        <v>220</v>
      </c>
      <c r="E9">
        <v>660</v>
      </c>
      <c r="F9">
        <v>270</v>
      </c>
      <c r="G9">
        <v>102</v>
      </c>
      <c r="H9">
        <v>460</v>
      </c>
      <c r="I9">
        <v>370</v>
      </c>
      <c r="J9">
        <v>340</v>
      </c>
      <c r="K9">
        <v>200</v>
      </c>
      <c r="L9">
        <v>450</v>
      </c>
      <c r="M9">
        <v>260</v>
      </c>
      <c r="N9">
        <v>315</v>
      </c>
      <c r="O9">
        <v>400</v>
      </c>
      <c r="P9">
        <v>385</v>
      </c>
      <c r="Q9">
        <v>760</v>
      </c>
      <c r="R9">
        <v>260</v>
      </c>
      <c r="S9">
        <v>260</v>
      </c>
      <c r="T9">
        <v>290</v>
      </c>
      <c r="U9">
        <v>395</v>
      </c>
      <c r="V9">
        <v>630</v>
      </c>
      <c r="W9">
        <v>973</v>
      </c>
      <c r="X9">
        <v>212</v>
      </c>
      <c r="Y9">
        <v>170</v>
      </c>
      <c r="Z9">
        <v>160</v>
      </c>
      <c r="AA9">
        <v>91</v>
      </c>
      <c r="AB9">
        <v>160</v>
      </c>
      <c r="AC9">
        <v>840</v>
      </c>
      <c r="AD9">
        <v>175</v>
      </c>
      <c r="AE9">
        <v>746</v>
      </c>
      <c r="AF9">
        <v>250</v>
      </c>
      <c r="AG9">
        <v>570</v>
      </c>
      <c r="AH9">
        <v>310</v>
      </c>
      <c r="AI9">
        <v>425</v>
      </c>
      <c r="AJ9">
        <v>295</v>
      </c>
      <c r="AK9">
        <v>400</v>
      </c>
      <c r="AL9">
        <v>696</v>
      </c>
      <c r="AM9">
        <v>395</v>
      </c>
      <c r="AN9">
        <v>320</v>
      </c>
      <c r="AO9">
        <v>660</v>
      </c>
      <c r="AP9">
        <v>660</v>
      </c>
      <c r="AQ9">
        <v>1420</v>
      </c>
      <c r="AR9">
        <v>1420</v>
      </c>
      <c r="AS9">
        <v>639</v>
      </c>
      <c r="AT9">
        <v>260</v>
      </c>
      <c r="AU9">
        <v>1100</v>
      </c>
      <c r="AV9">
        <v>580</v>
      </c>
      <c r="AW9">
        <v>271</v>
      </c>
      <c r="AX9">
        <v>255</v>
      </c>
      <c r="AY9">
        <v>250</v>
      </c>
      <c r="AZ9">
        <v>160</v>
      </c>
      <c r="BA9">
        <v>175</v>
      </c>
      <c r="BB9">
        <v>142</v>
      </c>
      <c r="BC9">
        <v>540</v>
      </c>
      <c r="BD9">
        <v>700</v>
      </c>
      <c r="BE9">
        <v>520</v>
      </c>
      <c r="BF9">
        <v>1000</v>
      </c>
      <c r="BG9">
        <v>280</v>
      </c>
      <c r="BH9">
        <v>280</v>
      </c>
      <c r="BI9">
        <v>1050</v>
      </c>
      <c r="BJ9" s="8">
        <v>33</v>
      </c>
      <c r="BK9">
        <v>350</v>
      </c>
      <c r="BL9">
        <v>650</v>
      </c>
      <c r="BM9">
        <v>660</v>
      </c>
      <c r="BN9">
        <v>450</v>
      </c>
      <c r="BO9">
        <v>245</v>
      </c>
    </row>
    <row r="10" spans="1:67">
      <c r="A10" t="s">
        <v>130</v>
      </c>
      <c r="B10" t="s">
        <v>128</v>
      </c>
      <c r="D10">
        <v>1250</v>
      </c>
      <c r="E10" t="s">
        <v>303</v>
      </c>
      <c r="F10" t="s">
        <v>281</v>
      </c>
      <c r="G10">
        <v>3000</v>
      </c>
      <c r="H10">
        <v>6250</v>
      </c>
      <c r="I10">
        <v>1600</v>
      </c>
      <c r="J10">
        <v>1750</v>
      </c>
      <c r="K10">
        <v>2000</v>
      </c>
      <c r="L10">
        <v>1340</v>
      </c>
      <c r="M10" t="s">
        <v>303</v>
      </c>
      <c r="N10" t="s">
        <v>231</v>
      </c>
      <c r="O10">
        <v>1600</v>
      </c>
      <c r="P10" t="s">
        <v>247</v>
      </c>
      <c r="Q10" t="s">
        <v>281</v>
      </c>
      <c r="R10" t="s">
        <v>303</v>
      </c>
      <c r="S10" t="s">
        <v>215</v>
      </c>
      <c r="T10" t="s">
        <v>346</v>
      </c>
      <c r="U10" t="s">
        <v>247</v>
      </c>
      <c r="V10" t="s">
        <v>210</v>
      </c>
      <c r="W10" t="s">
        <v>215</v>
      </c>
      <c r="X10" t="s">
        <v>346</v>
      </c>
      <c r="Y10">
        <v>1400</v>
      </c>
      <c r="Z10" t="s">
        <v>303</v>
      </c>
      <c r="AA10">
        <v>2850</v>
      </c>
      <c r="AB10" t="s">
        <v>303</v>
      </c>
      <c r="AC10">
        <v>1650</v>
      </c>
      <c r="AD10">
        <v>2000</v>
      </c>
      <c r="AE10">
        <v>5900</v>
      </c>
      <c r="AF10" t="s">
        <v>9</v>
      </c>
      <c r="AG10">
        <v>3700</v>
      </c>
      <c r="AH10" t="s">
        <v>346</v>
      </c>
      <c r="AI10" t="s">
        <v>346</v>
      </c>
      <c r="AJ10" t="s">
        <v>247</v>
      </c>
      <c r="AK10" t="s">
        <v>215</v>
      </c>
      <c r="AL10" t="s">
        <v>247</v>
      </c>
      <c r="AM10" t="s">
        <v>247</v>
      </c>
      <c r="AN10" t="s">
        <v>281</v>
      </c>
      <c r="AO10" t="s">
        <v>335</v>
      </c>
      <c r="AP10" t="s">
        <v>9</v>
      </c>
      <c r="AQ10" t="s">
        <v>335</v>
      </c>
      <c r="AR10" t="s">
        <v>346</v>
      </c>
      <c r="AS10" t="s">
        <v>346</v>
      </c>
      <c r="AT10" t="s">
        <v>281</v>
      </c>
      <c r="AU10">
        <v>1750</v>
      </c>
      <c r="AV10" t="s">
        <v>231</v>
      </c>
      <c r="AW10" t="s">
        <v>247</v>
      </c>
      <c r="AX10" t="s">
        <v>247</v>
      </c>
      <c r="AY10">
        <v>1250</v>
      </c>
      <c r="AZ10">
        <v>1250</v>
      </c>
      <c r="BA10">
        <v>2000</v>
      </c>
      <c r="BB10">
        <v>3600</v>
      </c>
      <c r="BC10">
        <v>6500</v>
      </c>
      <c r="BD10">
        <v>1750</v>
      </c>
      <c r="BE10">
        <v>1800</v>
      </c>
      <c r="BF10">
        <v>2300</v>
      </c>
      <c r="BG10">
        <v>1500</v>
      </c>
      <c r="BH10">
        <v>1500</v>
      </c>
      <c r="BI10" t="s">
        <v>303</v>
      </c>
      <c r="BJ10" s="8" t="s">
        <v>9</v>
      </c>
      <c r="BK10">
        <v>1800</v>
      </c>
      <c r="BL10">
        <v>2000</v>
      </c>
      <c r="BM10" t="s">
        <v>346</v>
      </c>
      <c r="BN10">
        <v>3500</v>
      </c>
      <c r="BO10" t="s">
        <v>303</v>
      </c>
    </row>
    <row r="11" spans="1:67">
      <c r="A11" t="s">
        <v>103</v>
      </c>
      <c r="B11" t="s">
        <v>131</v>
      </c>
      <c r="D11">
        <v>8.5</v>
      </c>
      <c r="E11">
        <v>4.7</v>
      </c>
      <c r="F11">
        <v>7.3</v>
      </c>
      <c r="G11">
        <v>12.9</v>
      </c>
      <c r="H11">
        <v>3.9</v>
      </c>
      <c r="I11">
        <v>6.5</v>
      </c>
      <c r="J11">
        <v>10.3</v>
      </c>
      <c r="K11">
        <v>11</v>
      </c>
      <c r="L11">
        <v>6.2</v>
      </c>
      <c r="M11">
        <v>8.6999999999999993</v>
      </c>
      <c r="N11">
        <v>8.3000000000000007</v>
      </c>
      <c r="O11">
        <v>7.7</v>
      </c>
      <c r="P11">
        <v>8.6</v>
      </c>
      <c r="Q11">
        <v>5.0999999999999996</v>
      </c>
      <c r="R11">
        <v>9</v>
      </c>
      <c r="S11">
        <v>9.6999999999999993</v>
      </c>
      <c r="T11">
        <v>9.6</v>
      </c>
      <c r="U11">
        <v>7.9</v>
      </c>
      <c r="V11">
        <v>4.0999999999999996</v>
      </c>
      <c r="W11">
        <v>4.5</v>
      </c>
      <c r="X11">
        <v>11.9</v>
      </c>
      <c r="Y11">
        <v>12.1</v>
      </c>
      <c r="Z11">
        <v>12.7</v>
      </c>
      <c r="AA11">
        <v>14.4</v>
      </c>
      <c r="AB11">
        <v>11.6</v>
      </c>
      <c r="AC11">
        <v>4.8</v>
      </c>
      <c r="AD11">
        <v>11.9</v>
      </c>
      <c r="AE11">
        <v>2.8</v>
      </c>
      <c r="AF11">
        <v>8.1</v>
      </c>
      <c r="AG11">
        <v>4.7</v>
      </c>
      <c r="AH11">
        <v>7.9</v>
      </c>
      <c r="AI11">
        <v>6.9</v>
      </c>
      <c r="AJ11">
        <v>9.9</v>
      </c>
      <c r="AK11">
        <v>6.8</v>
      </c>
      <c r="AL11">
        <v>4.8</v>
      </c>
      <c r="AM11">
        <v>7.9</v>
      </c>
      <c r="AN11">
        <v>7.9</v>
      </c>
      <c r="AO11">
        <v>3.3</v>
      </c>
      <c r="AP11">
        <v>4.4000000000000004</v>
      </c>
      <c r="AQ11">
        <v>2.1</v>
      </c>
      <c r="AR11">
        <v>2.6</v>
      </c>
      <c r="AS11">
        <v>5</v>
      </c>
      <c r="AT11">
        <v>9</v>
      </c>
      <c r="AU11">
        <v>4.9000000000000004</v>
      </c>
      <c r="AV11">
        <v>5.8</v>
      </c>
      <c r="AW11">
        <v>9.6999999999999993</v>
      </c>
      <c r="AX11">
        <v>7.8</v>
      </c>
      <c r="AY11">
        <v>7.2</v>
      </c>
      <c r="AZ11">
        <v>12.8</v>
      </c>
      <c r="BA11">
        <v>10.8</v>
      </c>
      <c r="BB11">
        <v>11.1</v>
      </c>
      <c r="BC11">
        <v>3.5</v>
      </c>
      <c r="BD11">
        <v>3.7</v>
      </c>
      <c r="BE11">
        <v>4.8</v>
      </c>
      <c r="BF11">
        <v>4.7</v>
      </c>
      <c r="BG11" s="2">
        <v>12.5</v>
      </c>
      <c r="BH11" s="2">
        <v>11.5</v>
      </c>
      <c r="BI11">
        <v>2.8</v>
      </c>
      <c r="BJ11" s="8" t="s">
        <v>9</v>
      </c>
      <c r="BK11">
        <v>7</v>
      </c>
      <c r="BL11">
        <v>4.8</v>
      </c>
      <c r="BM11">
        <v>4.9000000000000004</v>
      </c>
      <c r="BN11">
        <v>6.4</v>
      </c>
      <c r="BO11">
        <v>9.5</v>
      </c>
    </row>
    <row r="12" spans="1:67">
      <c r="A12" t="s">
        <v>104</v>
      </c>
      <c r="B12" t="s">
        <v>132</v>
      </c>
      <c r="D12">
        <v>210</v>
      </c>
      <c r="E12">
        <v>205</v>
      </c>
      <c r="F12">
        <v>150</v>
      </c>
      <c r="G12">
        <v>160</v>
      </c>
      <c r="H12">
        <v>320</v>
      </c>
      <c r="I12">
        <v>250</v>
      </c>
      <c r="J12">
        <v>198</v>
      </c>
      <c r="K12">
        <v>183</v>
      </c>
      <c r="L12">
        <v>245</v>
      </c>
      <c r="M12">
        <v>150</v>
      </c>
      <c r="N12">
        <v>145</v>
      </c>
      <c r="O12">
        <v>235</v>
      </c>
      <c r="P12">
        <v>160</v>
      </c>
      <c r="Q12">
        <v>180</v>
      </c>
      <c r="R12">
        <v>150</v>
      </c>
      <c r="S12">
        <v>150</v>
      </c>
      <c r="T12">
        <v>150</v>
      </c>
      <c r="U12">
        <v>167</v>
      </c>
      <c r="V12">
        <v>245</v>
      </c>
      <c r="W12">
        <v>210</v>
      </c>
      <c r="X12">
        <v>130</v>
      </c>
      <c r="Y12">
        <v>186</v>
      </c>
      <c r="Z12">
        <v>130</v>
      </c>
      <c r="AA12">
        <v>151</v>
      </c>
      <c r="AB12">
        <v>130</v>
      </c>
      <c r="AC12">
        <v>250</v>
      </c>
      <c r="AD12">
        <v>180</v>
      </c>
      <c r="AE12">
        <v>347</v>
      </c>
      <c r="AF12">
        <v>150</v>
      </c>
      <c r="AG12">
        <v>250</v>
      </c>
      <c r="AH12">
        <v>160</v>
      </c>
      <c r="AI12">
        <v>180</v>
      </c>
      <c r="AJ12">
        <v>165</v>
      </c>
      <c r="AK12">
        <v>180</v>
      </c>
      <c r="AL12">
        <v>200</v>
      </c>
      <c r="AM12">
        <v>167</v>
      </c>
      <c r="AN12">
        <v>144</v>
      </c>
      <c r="AO12">
        <v>261</v>
      </c>
      <c r="AP12">
        <v>225</v>
      </c>
      <c r="AQ12">
        <v>322</v>
      </c>
      <c r="AR12">
        <v>262</v>
      </c>
      <c r="AS12">
        <v>217</v>
      </c>
      <c r="AT12">
        <v>150</v>
      </c>
      <c r="AU12">
        <v>305</v>
      </c>
      <c r="AV12">
        <v>180</v>
      </c>
      <c r="AW12">
        <v>140</v>
      </c>
      <c r="AX12">
        <v>167</v>
      </c>
      <c r="AY12">
        <v>229</v>
      </c>
      <c r="AZ12">
        <v>175</v>
      </c>
      <c r="BA12">
        <v>187</v>
      </c>
      <c r="BB12">
        <v>162</v>
      </c>
      <c r="BC12">
        <v>320</v>
      </c>
      <c r="BD12">
        <v>250</v>
      </c>
      <c r="BE12">
        <v>250</v>
      </c>
      <c r="BF12">
        <v>250</v>
      </c>
      <c r="BG12">
        <v>182</v>
      </c>
      <c r="BH12">
        <v>182</v>
      </c>
      <c r="BI12">
        <v>260</v>
      </c>
      <c r="BJ12">
        <v>45</v>
      </c>
      <c r="BK12">
        <v>230</v>
      </c>
      <c r="BL12">
        <v>250</v>
      </c>
      <c r="BM12">
        <v>180</v>
      </c>
      <c r="BN12">
        <v>250</v>
      </c>
      <c r="BO12">
        <v>140</v>
      </c>
    </row>
    <row r="13" spans="1:67">
      <c r="A13" t="s">
        <v>122</v>
      </c>
      <c r="B13" t="s">
        <v>140</v>
      </c>
      <c r="D13">
        <f>(0.5*0.9-0.012)/(1+(0.26-0.04*D43/1000)*0.9)*100</f>
        <v>36.977627691008863</v>
      </c>
      <c r="E13">
        <f>(0.5*0.9-0.012)/(1+(0.26-0.04*E43/1000)*0.9)*100</f>
        <v>37.914462203263064</v>
      </c>
      <c r="F13">
        <f>(0.5*0.9-0.012)/(1+(0.26-0.04*F43/1000)*0.9)*100</f>
        <v>37.050822223726058</v>
      </c>
      <c r="G13">
        <f>TAN(ASIN((2*G9*12*0.95)/(9.81*(G39+G43)*G27*0.001)-0.012))*100</f>
        <v>31.395454815284847</v>
      </c>
      <c r="H13">
        <f t="shared" ref="H13:X13" si="0">(0.5*0.9-0.012)/(1+(0.26-0.04*H43/1000)*0.9)*100</f>
        <v>37.105059842498342</v>
      </c>
      <c r="I13">
        <f t="shared" si="0"/>
        <v>37.203771341204451</v>
      </c>
      <c r="J13">
        <f t="shared" si="0"/>
        <v>37.453439730745686</v>
      </c>
      <c r="K13">
        <f t="shared" si="0"/>
        <v>36.871169775742473</v>
      </c>
      <c r="L13">
        <f t="shared" si="0"/>
        <v>37.676122972112793</v>
      </c>
      <c r="M13">
        <f t="shared" si="0"/>
        <v>37.152648186475759</v>
      </c>
      <c r="N13">
        <f t="shared" si="0"/>
        <v>37.226537931972324</v>
      </c>
      <c r="O13">
        <f t="shared" si="0"/>
        <v>37.438457330415751</v>
      </c>
      <c r="P13">
        <f t="shared" si="0"/>
        <v>37.740401185634518</v>
      </c>
      <c r="Q13">
        <f t="shared" si="0"/>
        <v>38.280690101207853</v>
      </c>
      <c r="R13">
        <f t="shared" si="0"/>
        <v>37.25845801022821</v>
      </c>
      <c r="S13">
        <f t="shared" si="0"/>
        <v>37.273296661401886</v>
      </c>
      <c r="T13">
        <f t="shared" si="0"/>
        <v>37.249332403517421</v>
      </c>
      <c r="U13">
        <f t="shared" si="0"/>
        <v>37.411979349954045</v>
      </c>
      <c r="V13">
        <f t="shared" si="0"/>
        <v>38.106838350443709</v>
      </c>
      <c r="W13">
        <f t="shared" si="0"/>
        <v>38.523105067811215</v>
      </c>
      <c r="X13">
        <f t="shared" si="0"/>
        <v>36.835448147799291</v>
      </c>
      <c r="Y13">
        <f>TAN(ASIN((2*Y9*12*0.95)/(9.81*(Y39+Y43)*Y27*0.001)-0.012))*100</f>
        <v>33.128848061364522</v>
      </c>
      <c r="Z13">
        <f>(0.5*0.9-0.012)/(1+(0.26-0.04*Z43/1000)*0.9)*100</f>
        <v>36.781995297279138</v>
      </c>
      <c r="AA13">
        <f>TAN(ASIN((2*AA9*12*0.95)/(9.81*(AA39+AA43)*AA27*0.001)-0.012))*100</f>
        <v>31.084607874845897</v>
      </c>
      <c r="AB13">
        <f t="shared" ref="AB13:BA13" si="1">(0.5*0.9-0.012)/(1+(0.26-0.04*AB43/1000)*0.9)*100</f>
        <v>36.665606321887189</v>
      </c>
      <c r="AC13">
        <f t="shared" si="1"/>
        <v>38.118777414189239</v>
      </c>
      <c r="AD13">
        <f t="shared" si="1"/>
        <v>36.788668418188045</v>
      </c>
      <c r="AE13">
        <f t="shared" si="1"/>
        <v>36.988869559342646</v>
      </c>
      <c r="AF13">
        <f t="shared" si="1"/>
        <v>37.050822223726058</v>
      </c>
      <c r="AG13">
        <f t="shared" si="1"/>
        <v>37.243631169007855</v>
      </c>
      <c r="AH13">
        <f t="shared" si="1"/>
        <v>37.60973800266531</v>
      </c>
      <c r="AI13">
        <f t="shared" si="1"/>
        <v>37.95349224119704</v>
      </c>
      <c r="AJ13">
        <f t="shared" si="1"/>
        <v>37.234512822954144</v>
      </c>
      <c r="AK13">
        <f t="shared" si="1"/>
        <v>37.993789143144639</v>
      </c>
      <c r="AL13">
        <f t="shared" si="1"/>
        <v>37.938107182948293</v>
      </c>
      <c r="AM13">
        <f t="shared" si="1"/>
        <v>37.415430875418579</v>
      </c>
      <c r="AN13">
        <f t="shared" si="1"/>
        <v>37.209460377871416</v>
      </c>
      <c r="AO13">
        <f t="shared" si="1"/>
        <v>37.613226115601414</v>
      </c>
      <c r="AP13">
        <f t="shared" si="1"/>
        <v>37.908555562864152</v>
      </c>
      <c r="AQ13">
        <f t="shared" si="1"/>
        <v>37.883767756934979</v>
      </c>
      <c r="AR13">
        <f t="shared" si="1"/>
        <v>38.232572755363904</v>
      </c>
      <c r="AS13">
        <f t="shared" si="1"/>
        <v>37.759141505400066</v>
      </c>
      <c r="AT13">
        <f t="shared" si="1"/>
        <v>37.229955324053613</v>
      </c>
      <c r="AU13">
        <f t="shared" si="1"/>
        <v>38.510911424903718</v>
      </c>
      <c r="AV13">
        <f t="shared" si="1"/>
        <v>37.996162214117909</v>
      </c>
      <c r="AW13">
        <f t="shared" si="1"/>
        <v>37.369462835301341</v>
      </c>
      <c r="AX13">
        <f t="shared" si="1"/>
        <v>37.411979349954045</v>
      </c>
      <c r="AY13">
        <f t="shared" si="1"/>
        <v>36.938334907569832</v>
      </c>
      <c r="AZ13">
        <f t="shared" si="1"/>
        <v>36.765323081572006</v>
      </c>
      <c r="BA13">
        <f t="shared" si="1"/>
        <v>36.720937641476212</v>
      </c>
      <c r="BB13">
        <f>TAN(ASIN((2*BB9*12*0.95)/(9.81*(BB39+BB43)*BB27*0.001)-0.012))*100</f>
        <v>27.862383176528226</v>
      </c>
      <c r="BC13">
        <f>(0.5*0.9-0.012)/(1+(0.26-0.04*BC43/1000)*0.9)*100</f>
        <v>37.363724770955251</v>
      </c>
      <c r="BD13">
        <f>(0.5*0.9-0.012)/(1+(0.26-0.04*BD43/1000)*0.9)*100</f>
        <v>37.722849022478684</v>
      </c>
      <c r="BE13">
        <f>(0.5*0.9-0.012)/(1+(0.26-0.04*BE43/1000)*0.9)*100</f>
        <v>37.705313177920871</v>
      </c>
      <c r="BF13">
        <f>(0.5*0.9-0.012)/(1+(0.26-0.04*BF43/1000)*0.9)*100</f>
        <v>38.118777414189239</v>
      </c>
      <c r="BG13">
        <f>TAN(ASIN((2*BG9*12*0.95)/(9.81*(BG39+BG43)*BG27*0.001)-0.012))*100</f>
        <v>31.940115095901511</v>
      </c>
      <c r="BH13">
        <f>TAN(ASIN((2*BH9*12*0.95)/(9.81*(BH39+BH43)*BH27*0.001)-0.012))*100</f>
        <v>31.678579993627782</v>
      </c>
      <c r="BI13">
        <f>(0.5*0.9-0.012)/(1+(0.26-0.04*BI43/1000)*0.9)*100</f>
        <v>38.130723961416585</v>
      </c>
      <c r="BJ13">
        <f>TAN(ASIN((2*BJ9*12*0.95)/(9.81*(BJ39+BJ43)*BJ27*0.001)-0.012))*100</f>
        <v>20.325088246375802</v>
      </c>
      <c r="BK13">
        <f>(0.5*0.9-0.012)/(1+(0.26-0.04*BK43/1000)*0.9)*100</f>
        <v>37.53200503168798</v>
      </c>
      <c r="BL13">
        <f>(0.5*0.9-0.012)/(1+(0.26-0.04*BL43/1000)*0.9)*100</f>
        <v>37.981928233233319</v>
      </c>
      <c r="BM13">
        <f>(0.5*0.9-0.012)/(1+(0.26-0.04*BM43/1000)*0.9)*100</f>
        <v>37.914462203263064</v>
      </c>
      <c r="BN13">
        <f>(0.5*0.9-0.012)/(1+(0.26-0.04*BN43/1000)*0.9)*100</f>
        <v>37.536636785904051</v>
      </c>
      <c r="BO13">
        <f>(0.5*0.9-0.012)/(1+(0.26-0.04*BO43/1000)*0.9)*100</f>
        <v>37.206046747104217</v>
      </c>
    </row>
    <row r="14" spans="1:67">
      <c r="A14" s="16" t="s">
        <v>155</v>
      </c>
      <c r="B14" t="s">
        <v>153</v>
      </c>
      <c r="D14">
        <v>1.41</v>
      </c>
      <c r="E14">
        <v>1</v>
      </c>
      <c r="F14">
        <v>1</v>
      </c>
      <c r="G14">
        <v>1.28</v>
      </c>
      <c r="H14">
        <v>1.75</v>
      </c>
      <c r="I14">
        <v>1.46</v>
      </c>
      <c r="J14">
        <v>1.29</v>
      </c>
      <c r="K14">
        <v>1.26</v>
      </c>
      <c r="L14">
        <v>1.2</v>
      </c>
      <c r="M14">
        <v>1</v>
      </c>
      <c r="N14">
        <v>1</v>
      </c>
      <c r="O14">
        <v>1.45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1.44</v>
      </c>
      <c r="Z14">
        <v>1</v>
      </c>
      <c r="AA14">
        <v>1.26</v>
      </c>
      <c r="AB14">
        <v>1</v>
      </c>
      <c r="AC14">
        <v>1.35</v>
      </c>
      <c r="AD14">
        <v>1.39</v>
      </c>
      <c r="AE14">
        <v>1.75</v>
      </c>
      <c r="AF14">
        <v>1.36</v>
      </c>
      <c r="AG14">
        <v>1.65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1.83</v>
      </c>
      <c r="AQ14">
        <v>1</v>
      </c>
      <c r="AR14">
        <v>1</v>
      </c>
      <c r="AS14">
        <v>1</v>
      </c>
      <c r="AT14">
        <v>1</v>
      </c>
      <c r="AU14">
        <v>1.35</v>
      </c>
      <c r="AV14">
        <v>1</v>
      </c>
      <c r="AW14">
        <v>1</v>
      </c>
      <c r="AX14">
        <v>1</v>
      </c>
      <c r="AY14">
        <v>1.39</v>
      </c>
      <c r="AZ14">
        <v>1.35</v>
      </c>
      <c r="BA14">
        <v>1.28</v>
      </c>
      <c r="BB14">
        <v>1.35</v>
      </c>
      <c r="BC14">
        <v>1.71</v>
      </c>
      <c r="BD14">
        <v>1.51</v>
      </c>
      <c r="BE14">
        <v>1.39</v>
      </c>
      <c r="BF14">
        <v>1.36</v>
      </c>
      <c r="BG14">
        <v>1.04</v>
      </c>
      <c r="BH14">
        <v>1.04</v>
      </c>
      <c r="BI14">
        <v>1</v>
      </c>
      <c r="BJ14">
        <v>1.19</v>
      </c>
      <c r="BK14">
        <v>1.47</v>
      </c>
      <c r="BL14">
        <v>1.1399999999999999</v>
      </c>
      <c r="BM14">
        <v>1</v>
      </c>
      <c r="BN14">
        <v>1.45</v>
      </c>
      <c r="BO14">
        <v>1</v>
      </c>
    </row>
    <row r="15" spans="1:67">
      <c r="A15" t="s">
        <v>105</v>
      </c>
      <c r="B15" t="s">
        <v>133</v>
      </c>
      <c r="D15">
        <v>10.9</v>
      </c>
      <c r="E15">
        <v>11.5</v>
      </c>
      <c r="F15">
        <v>10.7</v>
      </c>
      <c r="G15">
        <v>9.3000000000000007</v>
      </c>
      <c r="H15">
        <v>11.1</v>
      </c>
      <c r="I15">
        <v>11.6</v>
      </c>
      <c r="J15">
        <v>11.9</v>
      </c>
      <c r="K15">
        <v>10.9</v>
      </c>
      <c r="L15">
        <v>12.1</v>
      </c>
      <c r="M15">
        <v>10.7</v>
      </c>
      <c r="N15">
        <v>9.1999999999999993</v>
      </c>
      <c r="O15">
        <v>11.6</v>
      </c>
      <c r="P15">
        <v>11.4</v>
      </c>
      <c r="Q15">
        <v>11.8</v>
      </c>
      <c r="R15">
        <v>10.4</v>
      </c>
      <c r="S15">
        <v>10.9</v>
      </c>
      <c r="T15">
        <v>10.9</v>
      </c>
      <c r="U15">
        <v>10.6</v>
      </c>
      <c r="V15">
        <v>11.6</v>
      </c>
      <c r="W15">
        <v>12.2</v>
      </c>
      <c r="X15">
        <v>9.8000000000000007</v>
      </c>
      <c r="Y15">
        <v>10.6</v>
      </c>
      <c r="Z15">
        <v>8.6999999999999993</v>
      </c>
      <c r="AA15">
        <v>6.95</v>
      </c>
      <c r="AB15">
        <v>7</v>
      </c>
      <c r="AC15">
        <v>13.4</v>
      </c>
      <c r="AD15">
        <v>10.9</v>
      </c>
      <c r="AE15" s="8">
        <v>12.2</v>
      </c>
      <c r="AF15">
        <v>9.86</v>
      </c>
      <c r="AG15">
        <v>12.3</v>
      </c>
      <c r="AH15">
        <v>10.199999999999999</v>
      </c>
      <c r="AI15">
        <v>11.5</v>
      </c>
      <c r="AJ15">
        <v>10.6</v>
      </c>
      <c r="AK15">
        <v>12.1</v>
      </c>
      <c r="AL15">
        <v>12.4</v>
      </c>
      <c r="AM15">
        <v>10.6</v>
      </c>
      <c r="AN15">
        <v>11</v>
      </c>
      <c r="AO15">
        <v>11.6</v>
      </c>
      <c r="AP15">
        <v>11.8</v>
      </c>
      <c r="AQ15">
        <v>11.8</v>
      </c>
      <c r="AR15">
        <v>12.4</v>
      </c>
      <c r="AS15">
        <v>12.1</v>
      </c>
      <c r="AT15">
        <v>11.1</v>
      </c>
      <c r="AU15">
        <v>12.6</v>
      </c>
      <c r="AV15">
        <v>11.6</v>
      </c>
      <c r="AW15">
        <v>11.4</v>
      </c>
      <c r="AX15">
        <v>10.6</v>
      </c>
      <c r="AY15">
        <v>10.6</v>
      </c>
      <c r="AZ15">
        <v>10.8</v>
      </c>
      <c r="BA15">
        <v>10.6</v>
      </c>
      <c r="BB15">
        <v>10.199999999999999</v>
      </c>
      <c r="BC15">
        <v>11.2</v>
      </c>
      <c r="BD15">
        <v>11.9</v>
      </c>
      <c r="BE15">
        <v>11.9</v>
      </c>
      <c r="BF15">
        <v>12.9</v>
      </c>
      <c r="BG15">
        <v>11.9</v>
      </c>
      <c r="BH15">
        <v>11.9</v>
      </c>
      <c r="BI15">
        <v>11.7</v>
      </c>
      <c r="BJ15">
        <v>3.4</v>
      </c>
      <c r="BK15">
        <v>11.4</v>
      </c>
      <c r="BL15">
        <v>12.8</v>
      </c>
      <c r="BM15">
        <v>11.8</v>
      </c>
      <c r="BN15">
        <v>12.4</v>
      </c>
      <c r="BO15">
        <v>10.6</v>
      </c>
    </row>
    <row r="16" spans="1:67">
      <c r="AA16" s="10"/>
      <c r="BL16" t="s">
        <v>94</v>
      </c>
    </row>
    <row r="17" spans="1:67">
      <c r="A17" s="1" t="s">
        <v>139</v>
      </c>
    </row>
    <row r="18" spans="1:67">
      <c r="A18" t="s">
        <v>134</v>
      </c>
      <c r="B18" t="s">
        <v>137</v>
      </c>
      <c r="C18" t="s">
        <v>45</v>
      </c>
      <c r="D18">
        <v>4329</v>
      </c>
      <c r="E18">
        <v>4606</v>
      </c>
      <c r="F18">
        <v>3850</v>
      </c>
      <c r="G18">
        <v>3571</v>
      </c>
      <c r="H18">
        <v>4562</v>
      </c>
      <c r="I18">
        <v>4725</v>
      </c>
      <c r="J18">
        <v>4854</v>
      </c>
      <c r="K18">
        <v>4363</v>
      </c>
      <c r="L18">
        <v>4918</v>
      </c>
      <c r="M18">
        <v>4060</v>
      </c>
      <c r="N18">
        <v>3894</v>
      </c>
      <c r="O18">
        <v>4933</v>
      </c>
      <c r="P18">
        <v>4463</v>
      </c>
      <c r="Q18">
        <v>4762</v>
      </c>
      <c r="R18">
        <v>4300</v>
      </c>
      <c r="S18">
        <v>4355</v>
      </c>
      <c r="T18">
        <v>4270</v>
      </c>
      <c r="U18">
        <v>4195</v>
      </c>
      <c r="V18">
        <v>4989</v>
      </c>
      <c r="W18">
        <v>4902</v>
      </c>
      <c r="X18">
        <v>3600</v>
      </c>
      <c r="Y18">
        <v>4378</v>
      </c>
      <c r="Z18">
        <v>3495</v>
      </c>
      <c r="AA18">
        <v>2695</v>
      </c>
      <c r="AB18">
        <v>2695</v>
      </c>
      <c r="AC18">
        <v>5457</v>
      </c>
      <c r="AD18">
        <v>4258</v>
      </c>
      <c r="AE18">
        <v>4779</v>
      </c>
      <c r="AF18">
        <v>4011</v>
      </c>
      <c r="AG18">
        <v>4689</v>
      </c>
      <c r="AH18">
        <v>4261</v>
      </c>
      <c r="AI18">
        <v>4582</v>
      </c>
      <c r="AJ18">
        <v>4470</v>
      </c>
      <c r="AK18">
        <v>4734</v>
      </c>
      <c r="AL18">
        <v>4682</v>
      </c>
      <c r="AM18">
        <v>4205</v>
      </c>
      <c r="AN18">
        <v>4490</v>
      </c>
      <c r="AO18">
        <v>4694</v>
      </c>
      <c r="AP18">
        <v>4979</v>
      </c>
      <c r="AQ18">
        <v>4970</v>
      </c>
      <c r="AR18">
        <v>5036</v>
      </c>
      <c r="AS18">
        <v>4751</v>
      </c>
      <c r="AT18">
        <v>4151</v>
      </c>
      <c r="AU18">
        <v>5575</v>
      </c>
      <c r="AV18">
        <v>4713</v>
      </c>
      <c r="AW18">
        <v>4395</v>
      </c>
      <c r="AX18">
        <v>4420</v>
      </c>
      <c r="AY18">
        <v>4667</v>
      </c>
      <c r="AZ18">
        <v>3821</v>
      </c>
      <c r="BA18">
        <v>4053</v>
      </c>
      <c r="BB18">
        <v>4645</v>
      </c>
      <c r="BC18">
        <v>4426</v>
      </c>
      <c r="BD18">
        <v>4979</v>
      </c>
      <c r="BE18">
        <v>5125</v>
      </c>
      <c r="BF18">
        <v>5462</v>
      </c>
      <c r="BG18">
        <v>4904</v>
      </c>
      <c r="BH18">
        <v>4904</v>
      </c>
      <c r="BI18">
        <v>4963</v>
      </c>
      <c r="BJ18">
        <v>2337</v>
      </c>
      <c r="BK18">
        <v>4936</v>
      </c>
      <c r="BL18">
        <v>4909</v>
      </c>
      <c r="BM18">
        <v>4425</v>
      </c>
      <c r="BN18">
        <v>5130</v>
      </c>
      <c r="BO18">
        <v>4087</v>
      </c>
    </row>
    <row r="19" spans="1:67">
      <c r="A19" t="s">
        <v>135</v>
      </c>
      <c r="B19" t="s">
        <v>137</v>
      </c>
      <c r="D19">
        <v>1765</v>
      </c>
      <c r="E19">
        <v>1859</v>
      </c>
      <c r="F19">
        <v>1727</v>
      </c>
      <c r="G19">
        <v>1627</v>
      </c>
      <c r="H19">
        <v>1852</v>
      </c>
      <c r="I19">
        <v>1842</v>
      </c>
      <c r="J19">
        <v>1904</v>
      </c>
      <c r="K19">
        <v>1841</v>
      </c>
      <c r="L19">
        <v>1983</v>
      </c>
      <c r="M19">
        <v>1765</v>
      </c>
      <c r="N19">
        <v>1752</v>
      </c>
      <c r="O19">
        <v>1852</v>
      </c>
      <c r="P19">
        <v>1834</v>
      </c>
      <c r="Q19">
        <v>1884</v>
      </c>
      <c r="R19">
        <v>1770</v>
      </c>
      <c r="S19">
        <v>1800</v>
      </c>
      <c r="T19">
        <v>1799</v>
      </c>
      <c r="U19">
        <v>1800</v>
      </c>
      <c r="V19">
        <v>1964</v>
      </c>
      <c r="W19">
        <v>1976</v>
      </c>
      <c r="X19">
        <v>1645</v>
      </c>
      <c r="Y19">
        <v>1825</v>
      </c>
      <c r="Z19">
        <v>1665</v>
      </c>
      <c r="AA19">
        <v>1663</v>
      </c>
      <c r="AB19">
        <v>1663</v>
      </c>
      <c r="AC19">
        <v>1948</v>
      </c>
      <c r="AD19">
        <v>1799</v>
      </c>
      <c r="AE19">
        <v>2003</v>
      </c>
      <c r="AF19">
        <v>1775</v>
      </c>
      <c r="AG19">
        <v>1942</v>
      </c>
      <c r="AH19">
        <v>1809</v>
      </c>
      <c r="AI19">
        <v>1852</v>
      </c>
      <c r="AJ19">
        <v>1820</v>
      </c>
      <c r="AK19">
        <v>1891</v>
      </c>
      <c r="AL19">
        <v>2011</v>
      </c>
      <c r="AM19">
        <v>1800</v>
      </c>
      <c r="AN19">
        <v>1788</v>
      </c>
      <c r="AO19">
        <v>1849</v>
      </c>
      <c r="AP19">
        <v>1964</v>
      </c>
      <c r="AQ19">
        <v>1964</v>
      </c>
      <c r="AR19">
        <v>1999</v>
      </c>
      <c r="AS19">
        <v>1921</v>
      </c>
      <c r="AT19">
        <v>1785</v>
      </c>
      <c r="AU19">
        <v>1926</v>
      </c>
      <c r="AV19">
        <v>1881</v>
      </c>
      <c r="AW19">
        <v>1848</v>
      </c>
      <c r="AX19">
        <v>1825</v>
      </c>
      <c r="AY19">
        <v>1814</v>
      </c>
      <c r="AZ19">
        <v>1727</v>
      </c>
      <c r="BA19">
        <v>1751</v>
      </c>
      <c r="BB19">
        <v>1760</v>
      </c>
      <c r="BC19">
        <v>1940</v>
      </c>
      <c r="BD19">
        <v>1936</v>
      </c>
      <c r="BE19">
        <v>1899</v>
      </c>
      <c r="BF19">
        <v>1899</v>
      </c>
      <c r="BG19">
        <v>1904</v>
      </c>
      <c r="BH19">
        <v>1904</v>
      </c>
      <c r="BI19">
        <v>1966</v>
      </c>
      <c r="BJ19">
        <v>1191</v>
      </c>
      <c r="BK19">
        <v>1879</v>
      </c>
      <c r="BL19">
        <v>1989</v>
      </c>
      <c r="BM19">
        <v>1863</v>
      </c>
      <c r="BN19">
        <v>1899</v>
      </c>
      <c r="BO19">
        <v>1787</v>
      </c>
    </row>
    <row r="20" spans="1:67">
      <c r="A20" t="s">
        <v>136</v>
      </c>
      <c r="B20" t="s">
        <v>137</v>
      </c>
      <c r="D20">
        <v>1421</v>
      </c>
      <c r="E20">
        <v>1479</v>
      </c>
      <c r="F20">
        <v>1432</v>
      </c>
      <c r="G20">
        <v>1488</v>
      </c>
      <c r="H20">
        <v>1271</v>
      </c>
      <c r="I20">
        <v>1434</v>
      </c>
      <c r="J20">
        <v>1720</v>
      </c>
      <c r="K20">
        <v>1601</v>
      </c>
      <c r="L20">
        <v>1696</v>
      </c>
      <c r="M20">
        <v>1433</v>
      </c>
      <c r="N20">
        <v>1512</v>
      </c>
      <c r="O20">
        <v>1475</v>
      </c>
      <c r="P20">
        <v>1620</v>
      </c>
      <c r="Q20">
        <v>1624</v>
      </c>
      <c r="R20">
        <v>1530</v>
      </c>
      <c r="S20">
        <v>1520</v>
      </c>
      <c r="T20">
        <v>1482</v>
      </c>
      <c r="U20">
        <v>1600</v>
      </c>
      <c r="V20">
        <v>1413</v>
      </c>
      <c r="W20">
        <v>1615</v>
      </c>
      <c r="X20">
        <v>1492</v>
      </c>
      <c r="Y20">
        <v>1452</v>
      </c>
      <c r="Z20">
        <v>1554</v>
      </c>
      <c r="AA20">
        <v>1555</v>
      </c>
      <c r="AB20">
        <v>1555</v>
      </c>
      <c r="AC20">
        <v>1550</v>
      </c>
      <c r="AD20">
        <v>1492</v>
      </c>
      <c r="AE20">
        <v>1109</v>
      </c>
      <c r="AF20">
        <v>1598</v>
      </c>
      <c r="AG20">
        <v>1293</v>
      </c>
      <c r="AH20">
        <v>1568</v>
      </c>
      <c r="AI20">
        <v>1637</v>
      </c>
      <c r="AJ20">
        <v>1475</v>
      </c>
      <c r="AK20">
        <v>1668</v>
      </c>
      <c r="AL20">
        <v>1566</v>
      </c>
      <c r="AM20">
        <v>1570</v>
      </c>
      <c r="AN20">
        <v>1540</v>
      </c>
      <c r="AO20">
        <v>1443</v>
      </c>
      <c r="AP20">
        <v>1445</v>
      </c>
      <c r="AQ20">
        <v>1445</v>
      </c>
      <c r="AR20">
        <v>1684</v>
      </c>
      <c r="AS20">
        <v>1624</v>
      </c>
      <c r="AT20">
        <v>1534</v>
      </c>
      <c r="AU20">
        <v>1521</v>
      </c>
      <c r="AV20">
        <v>1624</v>
      </c>
      <c r="AW20">
        <v>1555</v>
      </c>
      <c r="AX20">
        <v>1570</v>
      </c>
      <c r="AY20">
        <v>1465</v>
      </c>
      <c r="AZ20">
        <v>1414</v>
      </c>
      <c r="BA20">
        <v>1446</v>
      </c>
      <c r="BB20">
        <v>1470</v>
      </c>
      <c r="BC20">
        <v>1240</v>
      </c>
      <c r="BD20">
        <v>1461</v>
      </c>
      <c r="BE20">
        <v>1496</v>
      </c>
      <c r="BF20">
        <v>1498</v>
      </c>
      <c r="BG20">
        <v>1970</v>
      </c>
      <c r="BH20">
        <v>1990</v>
      </c>
      <c r="BI20">
        <v>1378</v>
      </c>
      <c r="BJ20">
        <v>1461</v>
      </c>
      <c r="BK20">
        <v>1475</v>
      </c>
      <c r="BL20">
        <v>1702</v>
      </c>
      <c r="BM20">
        <v>1647</v>
      </c>
      <c r="BN20">
        <v>1448</v>
      </c>
      <c r="BO20">
        <v>1562</v>
      </c>
    </row>
    <row r="21" spans="1:67">
      <c r="A21" s="4" t="s">
        <v>120</v>
      </c>
      <c r="B21" t="s">
        <v>9</v>
      </c>
      <c r="D21">
        <f t="shared" ref="D21:AI21" si="2">D20/D19</f>
        <v>0.80509915014164302</v>
      </c>
      <c r="E21">
        <f t="shared" si="2"/>
        <v>0.79558902635825712</v>
      </c>
      <c r="F21">
        <f t="shared" si="2"/>
        <v>0.82918355529820498</v>
      </c>
      <c r="G21">
        <f t="shared" si="2"/>
        <v>0.9145666871542717</v>
      </c>
      <c r="H21">
        <f t="shared" si="2"/>
        <v>0.68628509719222464</v>
      </c>
      <c r="I21">
        <f t="shared" si="2"/>
        <v>0.77850162866449513</v>
      </c>
      <c r="J21">
        <f t="shared" si="2"/>
        <v>0.90336134453781514</v>
      </c>
      <c r="K21">
        <f t="shared" si="2"/>
        <v>0.86963606735469856</v>
      </c>
      <c r="L21">
        <f t="shared" si="2"/>
        <v>0.8552697932425618</v>
      </c>
      <c r="M21">
        <f t="shared" si="2"/>
        <v>0.81189801699716713</v>
      </c>
      <c r="N21">
        <f t="shared" si="2"/>
        <v>0.86301369863013699</v>
      </c>
      <c r="O21">
        <f t="shared" si="2"/>
        <v>0.79643628509719222</v>
      </c>
      <c r="P21">
        <f t="shared" si="2"/>
        <v>0.88331515812431838</v>
      </c>
      <c r="Q21">
        <f t="shared" si="2"/>
        <v>0.86199575371549897</v>
      </c>
      <c r="R21">
        <f t="shared" si="2"/>
        <v>0.86440677966101698</v>
      </c>
      <c r="S21">
        <f t="shared" si="2"/>
        <v>0.84444444444444444</v>
      </c>
      <c r="T21">
        <f t="shared" si="2"/>
        <v>0.82379099499722064</v>
      </c>
      <c r="U21">
        <f t="shared" si="2"/>
        <v>0.88888888888888884</v>
      </c>
      <c r="V21">
        <f t="shared" si="2"/>
        <v>0.71945010183299385</v>
      </c>
      <c r="W21">
        <f t="shared" si="2"/>
        <v>0.81730769230769229</v>
      </c>
      <c r="X21">
        <f t="shared" si="2"/>
        <v>0.90699088145896656</v>
      </c>
      <c r="Y21">
        <f t="shared" si="2"/>
        <v>0.79561643835616436</v>
      </c>
      <c r="Z21">
        <f t="shared" si="2"/>
        <v>0.93333333333333335</v>
      </c>
      <c r="AA21">
        <f t="shared" si="2"/>
        <v>0.93505712567648824</v>
      </c>
      <c r="AB21">
        <f t="shared" si="2"/>
        <v>0.93505712567648824</v>
      </c>
      <c r="AC21">
        <f t="shared" si="2"/>
        <v>0.79568788501026699</v>
      </c>
      <c r="AD21">
        <f t="shared" si="2"/>
        <v>0.82934963868816014</v>
      </c>
      <c r="AE21">
        <f t="shared" si="2"/>
        <v>0.55366949575636548</v>
      </c>
      <c r="AF21">
        <f t="shared" si="2"/>
        <v>0.90028169014084503</v>
      </c>
      <c r="AG21">
        <f t="shared" si="2"/>
        <v>0.66580844490216273</v>
      </c>
      <c r="AH21">
        <f t="shared" si="2"/>
        <v>0.86677722498618026</v>
      </c>
      <c r="AI21">
        <f t="shared" si="2"/>
        <v>0.88390928725701945</v>
      </c>
      <c r="AJ21">
        <f t="shared" ref="AJ21:BO21" si="3">AJ20/AJ19</f>
        <v>0.81043956043956045</v>
      </c>
      <c r="AK21">
        <f t="shared" si="3"/>
        <v>0.88207297726070866</v>
      </c>
      <c r="AL21">
        <f t="shared" si="3"/>
        <v>0.77871705619094977</v>
      </c>
      <c r="AM21">
        <f t="shared" si="3"/>
        <v>0.87222222222222223</v>
      </c>
      <c r="AN21">
        <f t="shared" si="3"/>
        <v>0.86129753914988816</v>
      </c>
      <c r="AO21">
        <f t="shared" si="3"/>
        <v>0.78042184964845862</v>
      </c>
      <c r="AP21">
        <f t="shared" si="3"/>
        <v>0.73574338085539714</v>
      </c>
      <c r="AQ21">
        <f t="shared" si="3"/>
        <v>0.73574338085539714</v>
      </c>
      <c r="AR21">
        <f t="shared" si="3"/>
        <v>0.84242121060530262</v>
      </c>
      <c r="AS21">
        <f t="shared" si="3"/>
        <v>0.84539302446642373</v>
      </c>
      <c r="AT21">
        <f t="shared" si="3"/>
        <v>0.85938375350140062</v>
      </c>
      <c r="AU21">
        <f t="shared" si="3"/>
        <v>0.78971962616822433</v>
      </c>
      <c r="AV21">
        <f t="shared" si="3"/>
        <v>0.8633705475810739</v>
      </c>
      <c r="AW21">
        <f t="shared" si="3"/>
        <v>0.84145021645021645</v>
      </c>
      <c r="AX21">
        <f t="shared" si="3"/>
        <v>0.86027397260273974</v>
      </c>
      <c r="AY21">
        <f t="shared" si="3"/>
        <v>0.80760749724366043</v>
      </c>
      <c r="AZ21">
        <f t="shared" si="3"/>
        <v>0.81876085697741752</v>
      </c>
      <c r="BA21">
        <f t="shared" si="3"/>
        <v>0.82581382067390063</v>
      </c>
      <c r="BB21">
        <f t="shared" si="3"/>
        <v>0.83522727272727271</v>
      </c>
      <c r="BC21">
        <f t="shared" si="3"/>
        <v>0.63917525773195871</v>
      </c>
      <c r="BD21">
        <f t="shared" si="3"/>
        <v>0.75464876033057848</v>
      </c>
      <c r="BE21">
        <f t="shared" si="3"/>
        <v>0.7877830437072143</v>
      </c>
      <c r="BF21">
        <f t="shared" si="3"/>
        <v>0.78883622959452349</v>
      </c>
      <c r="BG21">
        <f t="shared" si="3"/>
        <v>1.0346638655462186</v>
      </c>
      <c r="BH21">
        <f t="shared" si="3"/>
        <v>1.0451680672268908</v>
      </c>
      <c r="BI21">
        <f t="shared" si="3"/>
        <v>0.70091556459816884</v>
      </c>
      <c r="BJ21">
        <f t="shared" si="3"/>
        <v>1.2267002518891688</v>
      </c>
      <c r="BK21">
        <f t="shared" si="3"/>
        <v>0.78499201703033528</v>
      </c>
      <c r="BL21">
        <f t="shared" si="3"/>
        <v>0.85570638511814978</v>
      </c>
      <c r="BM21">
        <f t="shared" si="3"/>
        <v>0.88405797101449279</v>
      </c>
      <c r="BN21">
        <f t="shared" si="3"/>
        <v>0.7625065824117957</v>
      </c>
      <c r="BO21">
        <f t="shared" si="3"/>
        <v>0.87409065472859537</v>
      </c>
    </row>
    <row r="22" spans="1:67">
      <c r="A22" s="4" t="s">
        <v>156</v>
      </c>
      <c r="B22" t="s">
        <v>9</v>
      </c>
      <c r="D22">
        <f t="shared" ref="D22:AI22" si="4">D18/D20</f>
        <v>3.0464461646727656</v>
      </c>
      <c r="E22">
        <f t="shared" si="4"/>
        <v>3.1142663962136581</v>
      </c>
      <c r="F22">
        <f t="shared" si="4"/>
        <v>2.6885474860335195</v>
      </c>
      <c r="G22">
        <f t="shared" si="4"/>
        <v>2.3998655913978495</v>
      </c>
      <c r="H22">
        <f t="shared" si="4"/>
        <v>3.5892997639653816</v>
      </c>
      <c r="I22">
        <f t="shared" si="4"/>
        <v>3.2949790794979079</v>
      </c>
      <c r="J22">
        <f t="shared" si="4"/>
        <v>2.8220930232558139</v>
      </c>
      <c r="K22">
        <f t="shared" si="4"/>
        <v>2.7251717676452216</v>
      </c>
      <c r="L22">
        <f t="shared" si="4"/>
        <v>2.8997641509433962</v>
      </c>
      <c r="M22">
        <f t="shared" si="4"/>
        <v>2.8332170272156314</v>
      </c>
      <c r="N22">
        <f t="shared" si="4"/>
        <v>2.5753968253968256</v>
      </c>
      <c r="O22">
        <f t="shared" si="4"/>
        <v>3.3444067796610168</v>
      </c>
      <c r="P22">
        <f t="shared" si="4"/>
        <v>2.7549382716049382</v>
      </c>
      <c r="Q22">
        <f t="shared" si="4"/>
        <v>2.9322660098522166</v>
      </c>
      <c r="R22">
        <f t="shared" si="4"/>
        <v>2.8104575163398691</v>
      </c>
      <c r="S22">
        <f t="shared" si="4"/>
        <v>2.8651315789473686</v>
      </c>
      <c r="T22">
        <f t="shared" si="4"/>
        <v>2.881241565452092</v>
      </c>
      <c r="U22">
        <f t="shared" si="4"/>
        <v>2.6218750000000002</v>
      </c>
      <c r="V22">
        <f t="shared" si="4"/>
        <v>3.5307855626326963</v>
      </c>
      <c r="W22">
        <f t="shared" si="4"/>
        <v>3.0352941176470587</v>
      </c>
      <c r="X22">
        <f t="shared" si="4"/>
        <v>2.4128686327077746</v>
      </c>
      <c r="Y22">
        <f t="shared" si="4"/>
        <v>3.0151515151515151</v>
      </c>
      <c r="Z22">
        <f t="shared" si="4"/>
        <v>2.2490347490347489</v>
      </c>
      <c r="AA22">
        <f t="shared" si="4"/>
        <v>1.7331189710610932</v>
      </c>
      <c r="AB22">
        <f t="shared" si="4"/>
        <v>1.7331189710610932</v>
      </c>
      <c r="AC22">
        <f t="shared" si="4"/>
        <v>3.5206451612903225</v>
      </c>
      <c r="AD22">
        <f t="shared" si="4"/>
        <v>2.8538873994638068</v>
      </c>
      <c r="AE22">
        <f t="shared" si="4"/>
        <v>4.3092876465284036</v>
      </c>
      <c r="AF22">
        <f t="shared" si="4"/>
        <v>2.5100125156445556</v>
      </c>
      <c r="AG22">
        <f t="shared" si="4"/>
        <v>3.6264501160092806</v>
      </c>
      <c r="AH22">
        <f t="shared" si="4"/>
        <v>2.7174744897959182</v>
      </c>
      <c r="AI22">
        <f t="shared" si="4"/>
        <v>2.7990226023213194</v>
      </c>
      <c r="AJ22">
        <f t="shared" ref="AJ22:BO22" si="5">AJ18/AJ20</f>
        <v>3.0305084745762714</v>
      </c>
      <c r="AK22">
        <f t="shared" si="5"/>
        <v>2.8381294964028778</v>
      </c>
      <c r="AL22">
        <f t="shared" si="5"/>
        <v>2.9897828863346105</v>
      </c>
      <c r="AM22">
        <f t="shared" si="5"/>
        <v>2.6783439490445859</v>
      </c>
      <c r="AN22">
        <f t="shared" si="5"/>
        <v>2.9155844155844157</v>
      </c>
      <c r="AO22">
        <f t="shared" si="5"/>
        <v>3.2529452529452532</v>
      </c>
      <c r="AP22">
        <f t="shared" si="5"/>
        <v>3.4456747404844292</v>
      </c>
      <c r="AQ22">
        <f t="shared" si="5"/>
        <v>3.4394463667820068</v>
      </c>
      <c r="AR22">
        <f t="shared" si="5"/>
        <v>2.9904988123515439</v>
      </c>
      <c r="AS22">
        <f t="shared" si="5"/>
        <v>2.9254926108374386</v>
      </c>
      <c r="AT22">
        <f t="shared" si="5"/>
        <v>2.7059973924380705</v>
      </c>
      <c r="AU22">
        <f t="shared" si="5"/>
        <v>3.6653517422748192</v>
      </c>
      <c r="AV22">
        <f t="shared" si="5"/>
        <v>2.9020935960591134</v>
      </c>
      <c r="AW22">
        <f t="shared" si="5"/>
        <v>2.8263665594855305</v>
      </c>
      <c r="AX22">
        <f t="shared" si="5"/>
        <v>2.8152866242038215</v>
      </c>
      <c r="AY22">
        <f t="shared" si="5"/>
        <v>3.1856655290102389</v>
      </c>
      <c r="AZ22">
        <f t="shared" si="5"/>
        <v>2.7022630834512023</v>
      </c>
      <c r="BA22">
        <f t="shared" si="5"/>
        <v>2.8029045643153525</v>
      </c>
      <c r="BB22">
        <f t="shared" si="5"/>
        <v>3.1598639455782314</v>
      </c>
      <c r="BC22">
        <f t="shared" si="5"/>
        <v>3.5693548387096774</v>
      </c>
      <c r="BD22">
        <f t="shared" si="5"/>
        <v>3.407939767282683</v>
      </c>
      <c r="BE22">
        <f t="shared" si="5"/>
        <v>3.4258021390374331</v>
      </c>
      <c r="BF22">
        <f t="shared" si="5"/>
        <v>3.6461949265687585</v>
      </c>
      <c r="BG22">
        <f t="shared" si="5"/>
        <v>2.4893401015228425</v>
      </c>
      <c r="BH22">
        <f t="shared" si="5"/>
        <v>2.4643216080402008</v>
      </c>
      <c r="BI22">
        <f t="shared" si="5"/>
        <v>3.6015965166908561</v>
      </c>
      <c r="BJ22">
        <f t="shared" si="5"/>
        <v>1.5995893223819302</v>
      </c>
      <c r="BK22">
        <f t="shared" si="5"/>
        <v>3.3464406779661018</v>
      </c>
      <c r="BL22">
        <f t="shared" si="5"/>
        <v>2.8842538190364277</v>
      </c>
      <c r="BM22">
        <f t="shared" si="5"/>
        <v>2.6867030965391621</v>
      </c>
      <c r="BN22">
        <f t="shared" si="5"/>
        <v>3.5428176795580111</v>
      </c>
      <c r="BO22">
        <f t="shared" si="5"/>
        <v>2.6165172855313701</v>
      </c>
    </row>
    <row r="23" spans="1:67">
      <c r="A23" s="4" t="s">
        <v>119</v>
      </c>
      <c r="B23" t="s">
        <v>137</v>
      </c>
      <c r="D23">
        <v>2690</v>
      </c>
      <c r="E23">
        <v>2735</v>
      </c>
      <c r="F23">
        <v>2495</v>
      </c>
      <c r="G23">
        <v>2300</v>
      </c>
      <c r="H23">
        <v>2457</v>
      </c>
      <c r="I23">
        <v>2820</v>
      </c>
      <c r="J23">
        <v>2920</v>
      </c>
      <c r="K23">
        <v>2638</v>
      </c>
      <c r="L23">
        <v>2895</v>
      </c>
      <c r="M23">
        <v>2538</v>
      </c>
      <c r="N23">
        <v>2538</v>
      </c>
      <c r="O23">
        <v>2939</v>
      </c>
      <c r="P23">
        <v>2729</v>
      </c>
      <c r="Q23">
        <v>2873</v>
      </c>
      <c r="R23">
        <v>2605</v>
      </c>
      <c r="S23">
        <v>2670</v>
      </c>
      <c r="T23">
        <v>2629</v>
      </c>
      <c r="U23">
        <v>2600</v>
      </c>
      <c r="V23">
        <v>2898</v>
      </c>
      <c r="W23">
        <v>2928</v>
      </c>
      <c r="X23">
        <v>2417</v>
      </c>
      <c r="Y23">
        <v>2700</v>
      </c>
      <c r="Z23">
        <v>2492</v>
      </c>
      <c r="AA23">
        <v>1873</v>
      </c>
      <c r="AB23">
        <v>1873</v>
      </c>
      <c r="AC23">
        <v>3295</v>
      </c>
      <c r="AD23">
        <v>2620</v>
      </c>
      <c r="AE23">
        <v>2710</v>
      </c>
      <c r="AF23">
        <v>2570</v>
      </c>
      <c r="AG23">
        <v>2800</v>
      </c>
      <c r="AH23">
        <v>2770</v>
      </c>
      <c r="AI23">
        <v>2769</v>
      </c>
      <c r="AJ23">
        <v>2700</v>
      </c>
      <c r="AK23">
        <v>2864</v>
      </c>
      <c r="AL23">
        <v>2990</v>
      </c>
      <c r="AM23">
        <v>2600</v>
      </c>
      <c r="AN23">
        <v>2700</v>
      </c>
      <c r="AO23">
        <v>2875</v>
      </c>
      <c r="AP23">
        <v>2960</v>
      </c>
      <c r="AQ23">
        <v>2960</v>
      </c>
      <c r="AR23">
        <v>2965</v>
      </c>
      <c r="AS23">
        <v>2890</v>
      </c>
      <c r="AT23">
        <v>2561</v>
      </c>
      <c r="AU23">
        <v>3266</v>
      </c>
      <c r="AV23">
        <v>2984</v>
      </c>
      <c r="AW23">
        <v>2655</v>
      </c>
      <c r="AX23">
        <v>2720</v>
      </c>
      <c r="AY23">
        <v>2686</v>
      </c>
      <c r="AZ23">
        <v>2495</v>
      </c>
      <c r="BA23">
        <v>2551</v>
      </c>
      <c r="BB23">
        <v>2700</v>
      </c>
      <c r="BC23">
        <v>2650</v>
      </c>
      <c r="BD23">
        <v>2915</v>
      </c>
      <c r="BE23">
        <v>3035</v>
      </c>
      <c r="BF23">
        <v>3365</v>
      </c>
      <c r="BG23">
        <v>3000</v>
      </c>
      <c r="BH23">
        <v>3000</v>
      </c>
      <c r="BI23">
        <v>2900</v>
      </c>
      <c r="BJ23">
        <v>1684</v>
      </c>
      <c r="BK23">
        <v>2941</v>
      </c>
      <c r="BL23">
        <v>2933</v>
      </c>
      <c r="BM23">
        <v>2702</v>
      </c>
      <c r="BN23">
        <v>3032</v>
      </c>
      <c r="BO23">
        <v>2588</v>
      </c>
    </row>
    <row r="24" spans="1:67">
      <c r="A24" s="4" t="s">
        <v>117</v>
      </c>
      <c r="B24" t="s">
        <v>137</v>
      </c>
      <c r="C24" t="s">
        <v>43</v>
      </c>
      <c r="D24">
        <v>765</v>
      </c>
      <c r="E24">
        <v>860</v>
      </c>
      <c r="F24">
        <v>771</v>
      </c>
      <c r="G24">
        <v>703</v>
      </c>
      <c r="H24">
        <v>1043</v>
      </c>
      <c r="I24">
        <v>880</v>
      </c>
      <c r="J24">
        <v>968</v>
      </c>
      <c r="K24">
        <v>868</v>
      </c>
      <c r="L24">
        <v>969</v>
      </c>
      <c r="M24">
        <v>831</v>
      </c>
      <c r="N24" s="16">
        <v>900</v>
      </c>
      <c r="O24">
        <v>814</v>
      </c>
      <c r="P24">
        <v>913</v>
      </c>
      <c r="Q24">
        <v>867</v>
      </c>
      <c r="R24">
        <v>870</v>
      </c>
      <c r="S24">
        <v>880</v>
      </c>
      <c r="T24" s="16">
        <v>900</v>
      </c>
      <c r="U24">
        <v>865</v>
      </c>
      <c r="V24">
        <v>1021</v>
      </c>
      <c r="W24">
        <v>928</v>
      </c>
      <c r="X24" s="16">
        <v>900</v>
      </c>
      <c r="Y24">
        <v>881</v>
      </c>
      <c r="Z24" s="16">
        <v>900</v>
      </c>
      <c r="AA24">
        <v>425</v>
      </c>
      <c r="AB24" s="16">
        <v>900</v>
      </c>
      <c r="AC24">
        <v>875</v>
      </c>
      <c r="AD24">
        <v>869</v>
      </c>
      <c r="AE24">
        <v>1075</v>
      </c>
      <c r="AF24">
        <v>715</v>
      </c>
      <c r="AG24">
        <v>960</v>
      </c>
      <c r="AH24" s="16">
        <v>900</v>
      </c>
      <c r="AI24" s="16">
        <v>900</v>
      </c>
      <c r="AJ24">
        <v>880</v>
      </c>
      <c r="AK24">
        <v>860</v>
      </c>
      <c r="AL24" s="16">
        <v>900</v>
      </c>
      <c r="AM24">
        <v>875</v>
      </c>
      <c r="AN24">
        <v>1005</v>
      </c>
      <c r="AO24">
        <v>841</v>
      </c>
      <c r="AP24">
        <v>929</v>
      </c>
      <c r="AQ24">
        <v>961</v>
      </c>
      <c r="AR24">
        <v>988</v>
      </c>
      <c r="AS24">
        <v>875</v>
      </c>
      <c r="AT24">
        <v>881</v>
      </c>
      <c r="AU24">
        <v>915</v>
      </c>
      <c r="AV24" s="16">
        <v>900</v>
      </c>
      <c r="AW24" s="16">
        <v>900</v>
      </c>
      <c r="AX24">
        <v>895</v>
      </c>
      <c r="AY24">
        <v>890</v>
      </c>
      <c r="AZ24">
        <v>749</v>
      </c>
      <c r="BA24">
        <v>800</v>
      </c>
      <c r="BB24">
        <v>1072</v>
      </c>
      <c r="BC24">
        <v>994</v>
      </c>
      <c r="BD24">
        <v>939</v>
      </c>
      <c r="BE24">
        <v>897</v>
      </c>
      <c r="BF24">
        <v>897</v>
      </c>
      <c r="BG24">
        <v>908</v>
      </c>
      <c r="BH24">
        <v>908</v>
      </c>
      <c r="BI24" s="16">
        <v>900</v>
      </c>
      <c r="BJ24">
        <v>313</v>
      </c>
      <c r="BK24">
        <v>873</v>
      </c>
      <c r="BL24">
        <v>890</v>
      </c>
      <c r="BM24" s="16">
        <v>900</v>
      </c>
      <c r="BN24">
        <v>999</v>
      </c>
      <c r="BO24" s="16">
        <v>900</v>
      </c>
    </row>
    <row r="25" spans="1:67">
      <c r="A25" s="4" t="s">
        <v>118</v>
      </c>
      <c r="B25" t="s">
        <v>137</v>
      </c>
      <c r="C25" t="s">
        <v>44</v>
      </c>
      <c r="D25">
        <v>869</v>
      </c>
      <c r="E25">
        <v>1011</v>
      </c>
      <c r="F25">
        <v>584</v>
      </c>
      <c r="G25">
        <v>543</v>
      </c>
      <c r="H25">
        <v>1045</v>
      </c>
      <c r="I25">
        <v>1025</v>
      </c>
      <c r="J25">
        <v>967</v>
      </c>
      <c r="K25">
        <v>857</v>
      </c>
      <c r="L25">
        <v>1054</v>
      </c>
      <c r="M25">
        <v>691</v>
      </c>
      <c r="N25" s="16">
        <v>900</v>
      </c>
      <c r="O25">
        <v>1153</v>
      </c>
      <c r="P25">
        <v>821</v>
      </c>
      <c r="Q25">
        <v>1022</v>
      </c>
      <c r="R25">
        <v>825</v>
      </c>
      <c r="S25">
        <v>810</v>
      </c>
      <c r="T25" s="16">
        <v>900</v>
      </c>
      <c r="U25">
        <v>730</v>
      </c>
      <c r="V25">
        <v>1070</v>
      </c>
      <c r="W25">
        <v>1046</v>
      </c>
      <c r="X25" s="16">
        <v>900</v>
      </c>
      <c r="Y25">
        <v>797</v>
      </c>
      <c r="Z25" s="16">
        <v>900</v>
      </c>
      <c r="AA25">
        <v>403</v>
      </c>
      <c r="AB25" s="16">
        <v>900</v>
      </c>
      <c r="AC25">
        <v>1268</v>
      </c>
      <c r="AD25">
        <v>768</v>
      </c>
      <c r="AE25">
        <v>994</v>
      </c>
      <c r="AF25">
        <v>726</v>
      </c>
      <c r="AG25">
        <v>929</v>
      </c>
      <c r="AH25" s="16">
        <v>900</v>
      </c>
      <c r="AI25" s="16">
        <v>900</v>
      </c>
      <c r="AJ25">
        <v>890</v>
      </c>
      <c r="AK25">
        <v>1010</v>
      </c>
      <c r="AL25" s="16">
        <v>900</v>
      </c>
      <c r="AM25">
        <v>730</v>
      </c>
      <c r="AN25">
        <v>785</v>
      </c>
      <c r="AO25">
        <v>978</v>
      </c>
      <c r="AP25">
        <v>1080</v>
      </c>
      <c r="AQ25">
        <v>1100</v>
      </c>
      <c r="AR25">
        <v>1104</v>
      </c>
      <c r="AS25">
        <v>986</v>
      </c>
      <c r="AT25">
        <v>708</v>
      </c>
      <c r="AU25">
        <v>1394</v>
      </c>
      <c r="AV25" s="16">
        <v>900</v>
      </c>
      <c r="AW25" s="16">
        <v>900</v>
      </c>
      <c r="AX25">
        <v>805</v>
      </c>
      <c r="AY25">
        <v>1091</v>
      </c>
      <c r="AZ25">
        <v>577</v>
      </c>
      <c r="BA25">
        <v>689</v>
      </c>
      <c r="BB25">
        <v>973</v>
      </c>
      <c r="BC25">
        <v>782</v>
      </c>
      <c r="BD25">
        <v>1125</v>
      </c>
      <c r="BE25">
        <v>1193</v>
      </c>
      <c r="BF25">
        <v>1200</v>
      </c>
      <c r="BG25">
        <v>993</v>
      </c>
      <c r="BH25">
        <v>993</v>
      </c>
      <c r="BI25" s="16">
        <v>900</v>
      </c>
      <c r="BJ25">
        <v>339</v>
      </c>
      <c r="BK25">
        <v>1122</v>
      </c>
      <c r="BL25">
        <v>1086</v>
      </c>
      <c r="BM25" s="16">
        <v>900</v>
      </c>
      <c r="BN25">
        <v>1099</v>
      </c>
      <c r="BO25" s="16">
        <v>900</v>
      </c>
    </row>
    <row r="26" spans="1:67">
      <c r="A26" s="4" t="s">
        <v>138</v>
      </c>
      <c r="B26" t="s">
        <v>9</v>
      </c>
      <c r="D26" t="s">
        <v>24</v>
      </c>
      <c r="E26" t="s">
        <v>313</v>
      </c>
      <c r="F26" t="s">
        <v>287</v>
      </c>
      <c r="G26" t="s">
        <v>49</v>
      </c>
      <c r="H26" t="s">
        <v>31</v>
      </c>
      <c r="I26" t="s">
        <v>56</v>
      </c>
      <c r="J26" t="s">
        <v>71</v>
      </c>
      <c r="K26" t="s">
        <v>76</v>
      </c>
      <c r="L26" t="s">
        <v>78</v>
      </c>
      <c r="M26" t="s">
        <v>304</v>
      </c>
      <c r="N26" t="s">
        <v>241</v>
      </c>
      <c r="O26" t="s">
        <v>59</v>
      </c>
      <c r="P26" t="s">
        <v>275</v>
      </c>
      <c r="Q26" t="s">
        <v>282</v>
      </c>
      <c r="R26" t="s">
        <v>309</v>
      </c>
      <c r="S26" t="s">
        <v>228</v>
      </c>
      <c r="T26" t="s">
        <v>372</v>
      </c>
      <c r="U26" t="s">
        <v>263</v>
      </c>
      <c r="V26" t="s">
        <v>212</v>
      </c>
      <c r="W26" t="s">
        <v>216</v>
      </c>
      <c r="X26" t="s">
        <v>368</v>
      </c>
      <c r="Y26" t="s">
        <v>51</v>
      </c>
      <c r="Z26" t="s">
        <v>328</v>
      </c>
      <c r="AA26" t="s">
        <v>29</v>
      </c>
      <c r="AB26" t="s">
        <v>328</v>
      </c>
      <c r="AC26" t="s">
        <v>87</v>
      </c>
      <c r="AD26" t="s">
        <v>23</v>
      </c>
      <c r="AE26" t="s">
        <v>41</v>
      </c>
      <c r="AF26" t="s">
        <v>38</v>
      </c>
      <c r="AG26" s="9" t="s">
        <v>65</v>
      </c>
      <c r="AH26" t="s">
        <v>361</v>
      </c>
      <c r="AI26" t="s">
        <v>365</v>
      </c>
      <c r="AJ26" t="s">
        <v>23</v>
      </c>
      <c r="AK26" t="s">
        <v>219</v>
      </c>
      <c r="AL26" t="s">
        <v>258</v>
      </c>
      <c r="AM26" t="s">
        <v>253</v>
      </c>
      <c r="AN26" t="s">
        <v>292</v>
      </c>
      <c r="AO26" t="s">
        <v>338</v>
      </c>
      <c r="AP26" t="s">
        <v>27</v>
      </c>
      <c r="AQ26" t="s">
        <v>340</v>
      </c>
      <c r="AR26" t="s">
        <v>351</v>
      </c>
      <c r="AS26" t="s">
        <v>347</v>
      </c>
      <c r="AT26" t="s">
        <v>297</v>
      </c>
      <c r="AU26" t="s">
        <v>84</v>
      </c>
      <c r="AV26" t="s">
        <v>232</v>
      </c>
      <c r="AW26" t="s">
        <v>270</v>
      </c>
      <c r="AX26" t="s">
        <v>263</v>
      </c>
      <c r="AY26" t="s">
        <v>54</v>
      </c>
      <c r="AZ26" t="s">
        <v>74</v>
      </c>
      <c r="BA26" t="s">
        <v>24</v>
      </c>
      <c r="BB26" t="s">
        <v>91</v>
      </c>
      <c r="BC26" t="s">
        <v>70</v>
      </c>
      <c r="BD26" t="s">
        <v>25</v>
      </c>
      <c r="BE26" t="s">
        <v>28</v>
      </c>
      <c r="BF26" t="s">
        <v>81</v>
      </c>
      <c r="BG26" t="s">
        <v>33</v>
      </c>
      <c r="BH26" t="s">
        <v>34</v>
      </c>
      <c r="BI26" t="s">
        <v>318</v>
      </c>
      <c r="BJ26" t="s">
        <v>30</v>
      </c>
      <c r="BK26" t="s">
        <v>62</v>
      </c>
      <c r="BL26" t="s">
        <v>26</v>
      </c>
      <c r="BM26" t="s">
        <v>356</v>
      </c>
      <c r="BN26" t="s">
        <v>81</v>
      </c>
      <c r="BO26" t="s">
        <v>304</v>
      </c>
    </row>
    <row r="27" spans="1:67">
      <c r="A27" s="4" t="s">
        <v>121</v>
      </c>
      <c r="B27" t="s">
        <v>137</v>
      </c>
      <c r="D27">
        <f>195*0.55*2+25.4*16</f>
        <v>620.9</v>
      </c>
      <c r="E27">
        <f>245*0.45*2+25.4*19</f>
        <v>703.09999999999991</v>
      </c>
      <c r="F27">
        <f>205*0.45*2+25.4*17</f>
        <v>616.29999999999995</v>
      </c>
      <c r="G27">
        <f>175*0.65*2+25.4*14</f>
        <v>583.09999999999991</v>
      </c>
      <c r="H27">
        <f>245*0.35*2+25.4*20</f>
        <v>679.5</v>
      </c>
      <c r="I27">
        <f>225*0.5*2+25.4*17</f>
        <v>656.8</v>
      </c>
      <c r="J27">
        <f>205*0.6*2+25.4*16</f>
        <v>652.4</v>
      </c>
      <c r="K27">
        <f>215*0.55*2+25.4*17</f>
        <v>668.3</v>
      </c>
      <c r="L27">
        <f>255*0.55*2+25.4*19</f>
        <v>763.09999999999991</v>
      </c>
      <c r="M27">
        <f>195*0.55*2+25.4*16</f>
        <v>620.9</v>
      </c>
      <c r="N27">
        <f>185*0.6*2+25.4*16</f>
        <v>628.4</v>
      </c>
      <c r="O27">
        <f>225*0.55*2+25.4*17</f>
        <v>679.3</v>
      </c>
      <c r="P27">
        <f>235*0.55*2+25.4*18</f>
        <v>715.7</v>
      </c>
      <c r="Q27">
        <f>235*0.55*2+25.4*19</f>
        <v>741.09999999999991</v>
      </c>
      <c r="R27">
        <f>215*0.6*2+25.4*17</f>
        <v>689.8</v>
      </c>
      <c r="S27">
        <f>195*0.6*2+25.4*18</f>
        <v>691.2</v>
      </c>
      <c r="T27">
        <f>205*0.55*2+25.4*16</f>
        <v>631.9</v>
      </c>
      <c r="U27">
        <f>215*0.55*2+25.4*17</f>
        <v>668.3</v>
      </c>
      <c r="V27">
        <f>225*0.55*2+25.4*19</f>
        <v>730.1</v>
      </c>
      <c r="W27">
        <f>285*0.45*2+25.4*20</f>
        <v>764.5</v>
      </c>
      <c r="X27">
        <f>165*0.65*2+25.4*15</f>
        <v>595.5</v>
      </c>
      <c r="Y27">
        <f>205*0.6*2+25.4*16</f>
        <v>652.4</v>
      </c>
      <c r="Z27">
        <f>165*0.65*2+25.4*15</f>
        <v>595.5</v>
      </c>
      <c r="AA27">
        <f>165*0.65*2+25.4*15</f>
        <v>595.5</v>
      </c>
      <c r="AB27">
        <f>165*0.65*2+25.4*15</f>
        <v>595.5</v>
      </c>
      <c r="AC27">
        <f>255*0.45*2+25.4*20</f>
        <v>737.5</v>
      </c>
      <c r="AD27">
        <f>205*0.55*2+25.4*16</f>
        <v>631.9</v>
      </c>
      <c r="AE27">
        <f>245*0.35*2+25.4*20</f>
        <v>679.5</v>
      </c>
      <c r="AF27">
        <f>155*0.7*2+25.4*19</f>
        <v>699.59999999999991</v>
      </c>
      <c r="AG27">
        <f>195*0.5*2+25.4*20</f>
        <v>703</v>
      </c>
      <c r="AH27">
        <f>215*0.5*2+25.4*19</f>
        <v>697.59999999999991</v>
      </c>
      <c r="AI27">
        <f>235*0.55*2+25.4*19</f>
        <v>741.09999999999991</v>
      </c>
      <c r="AJ27">
        <f>205*0.55*2+25.4*16</f>
        <v>631.9</v>
      </c>
      <c r="AK27">
        <f>245*0.45*2+25.4*20</f>
        <v>728.5</v>
      </c>
      <c r="AL27">
        <f>235*0.65*2+25.4*18</f>
        <v>762.7</v>
      </c>
      <c r="AM27">
        <f>215*0.55*2+25.4*17</f>
        <v>668.3</v>
      </c>
      <c r="AN27">
        <f>215*0.5*2+25.4*17</f>
        <v>646.79999999999995</v>
      </c>
      <c r="AO27">
        <f>235*0.35*2+25.4*20</f>
        <v>672.5</v>
      </c>
      <c r="AP27">
        <f>245*0.45*2+25.4*19</f>
        <v>703.09999999999991</v>
      </c>
      <c r="AQ27">
        <f>245*0.45*2+25.4*19</f>
        <v>703.09999999999991</v>
      </c>
      <c r="AR27">
        <f>255*0.45*2+25.4*20</f>
        <v>737.5</v>
      </c>
      <c r="AS27">
        <f>255*0.45*2+25.4*19</f>
        <v>712.09999999999991</v>
      </c>
      <c r="AT27">
        <f>215*0.55*2+25.4*18</f>
        <v>693.7</v>
      </c>
      <c r="AU27">
        <f>265*0.45*2+25.4*20</f>
        <v>746.5</v>
      </c>
      <c r="AV27">
        <f>225*0.55*2+25.4*19</f>
        <v>730.1</v>
      </c>
      <c r="AW27">
        <f>215*0.55*2+25.4*18</f>
        <v>693.7</v>
      </c>
      <c r="AX27">
        <f>215*0.55*2+25.4*17</f>
        <v>668.3</v>
      </c>
      <c r="AY27">
        <f>205*0.55*2+25.4*16</f>
        <v>631.9</v>
      </c>
      <c r="AZ27">
        <f>175*0.65*2+25.4*15</f>
        <v>608.5</v>
      </c>
      <c r="BA27">
        <f>195*0.55*2+25.4*16</f>
        <v>620.9</v>
      </c>
      <c r="BB27">
        <f>195*0.65*2+25.4*15</f>
        <v>634.5</v>
      </c>
      <c r="BC27">
        <f>245*0.35*2+25.4*19</f>
        <v>654.09999999999991</v>
      </c>
      <c r="BD27">
        <f>285*0.3*2+25.4*21</f>
        <v>704.4</v>
      </c>
      <c r="BE27">
        <f>245*0.5*2+25.4*18</f>
        <v>702.2</v>
      </c>
      <c r="BF27">
        <f>245*0.45*2+25.4*19</f>
        <v>703.09999999999991</v>
      </c>
      <c r="BG27">
        <f>215*0.65*2+25.4*16</f>
        <v>685.9</v>
      </c>
      <c r="BH27">
        <f>205*0.65*2+25.4*16</f>
        <v>672.9</v>
      </c>
      <c r="BI27">
        <f>265*0.35*2+25.4*21</f>
        <v>718.9</v>
      </c>
      <c r="BJ27">
        <f>125*0.8*2+25.4*13</f>
        <v>530.20000000000005</v>
      </c>
      <c r="BK27">
        <f>245*0.45*2+25.4*18</f>
        <v>677.7</v>
      </c>
      <c r="BL27">
        <f>255*0.5*2+25.4*19</f>
        <v>737.59999999999991</v>
      </c>
      <c r="BM27">
        <f>235*0.5*2+25.4*19</f>
        <v>717.59999999999991</v>
      </c>
      <c r="BN27">
        <f>245*0.45*2+25.4*19</f>
        <v>703.09999999999991</v>
      </c>
      <c r="BO27">
        <f>195*0.55*2+25.4*16</f>
        <v>620.9</v>
      </c>
    </row>
    <row r="29" spans="1:67">
      <c r="A29" s="1" t="s">
        <v>98</v>
      </c>
    </row>
    <row r="30" spans="1:67">
      <c r="A30" s="4" t="s">
        <v>108</v>
      </c>
      <c r="B30" t="s">
        <v>137</v>
      </c>
      <c r="D30">
        <v>1018</v>
      </c>
      <c r="E30">
        <v>1005</v>
      </c>
      <c r="F30" s="16">
        <v>800</v>
      </c>
      <c r="G30">
        <v>900</v>
      </c>
      <c r="H30">
        <v>912</v>
      </c>
      <c r="I30">
        <v>1039</v>
      </c>
      <c r="J30">
        <v>1021</v>
      </c>
      <c r="K30">
        <v>1063</v>
      </c>
      <c r="L30">
        <v>1021</v>
      </c>
      <c r="M30" s="16">
        <v>800</v>
      </c>
      <c r="N30" s="16">
        <v>800</v>
      </c>
      <c r="O30">
        <v>1056</v>
      </c>
      <c r="P30" s="16">
        <v>800</v>
      </c>
      <c r="Q30">
        <v>1045</v>
      </c>
      <c r="R30" s="16">
        <v>800</v>
      </c>
      <c r="S30" s="16">
        <v>800</v>
      </c>
      <c r="T30">
        <v>1018</v>
      </c>
      <c r="U30">
        <v>1006</v>
      </c>
      <c r="V30">
        <v>998</v>
      </c>
      <c r="W30">
        <v>968</v>
      </c>
      <c r="X30">
        <v>993</v>
      </c>
      <c r="Y30">
        <v>993</v>
      </c>
      <c r="Z30" s="16">
        <v>800</v>
      </c>
      <c r="AA30" s="8">
        <v>1009</v>
      </c>
      <c r="AB30" s="16">
        <v>800</v>
      </c>
      <c r="AC30">
        <v>1050</v>
      </c>
      <c r="AD30">
        <v>1018</v>
      </c>
      <c r="AE30">
        <v>908</v>
      </c>
      <c r="AF30">
        <v>1006</v>
      </c>
      <c r="AG30">
        <v>983</v>
      </c>
      <c r="AH30">
        <v>1024</v>
      </c>
      <c r="AI30">
        <v>1031</v>
      </c>
      <c r="AJ30">
        <v>994</v>
      </c>
      <c r="AK30">
        <v>1045</v>
      </c>
      <c r="AL30">
        <v>1013</v>
      </c>
      <c r="AM30">
        <v>1006</v>
      </c>
      <c r="AN30">
        <v>1046</v>
      </c>
      <c r="AO30">
        <v>1024</v>
      </c>
      <c r="AP30">
        <v>986</v>
      </c>
      <c r="AQ30">
        <v>990</v>
      </c>
      <c r="AR30">
        <v>1059</v>
      </c>
      <c r="AS30">
        <v>1041</v>
      </c>
      <c r="AT30" s="16">
        <v>800</v>
      </c>
      <c r="AU30">
        <v>1020</v>
      </c>
      <c r="AV30">
        <v>1026</v>
      </c>
      <c r="AW30">
        <v>982</v>
      </c>
      <c r="AX30">
        <v>1019</v>
      </c>
      <c r="AY30">
        <v>983</v>
      </c>
      <c r="AZ30">
        <v>985</v>
      </c>
      <c r="BA30">
        <v>1019</v>
      </c>
      <c r="BB30">
        <v>1027</v>
      </c>
      <c r="BC30">
        <v>977</v>
      </c>
      <c r="BD30">
        <v>1046</v>
      </c>
      <c r="BE30">
        <v>1069</v>
      </c>
      <c r="BF30">
        <v>1075</v>
      </c>
      <c r="BG30">
        <v>1070</v>
      </c>
      <c r="BH30">
        <v>1070</v>
      </c>
      <c r="BI30" s="16">
        <v>800</v>
      </c>
      <c r="BJ30">
        <v>908</v>
      </c>
      <c r="BK30">
        <v>1026</v>
      </c>
      <c r="BL30">
        <v>973</v>
      </c>
      <c r="BM30">
        <v>1030</v>
      </c>
      <c r="BN30">
        <v>970</v>
      </c>
      <c r="BO30" s="16">
        <v>800</v>
      </c>
    </row>
    <row r="31" spans="1:67">
      <c r="A31" s="4" t="s">
        <v>110</v>
      </c>
      <c r="B31" t="s">
        <v>137</v>
      </c>
      <c r="D31">
        <v>972</v>
      </c>
      <c r="E31">
        <v>940</v>
      </c>
      <c r="F31" s="16">
        <v>900</v>
      </c>
      <c r="G31">
        <v>890</v>
      </c>
      <c r="H31" t="s">
        <v>9</v>
      </c>
      <c r="I31">
        <v>971</v>
      </c>
      <c r="J31">
        <v>973</v>
      </c>
      <c r="K31">
        <v>1020</v>
      </c>
      <c r="L31">
        <v>966</v>
      </c>
      <c r="M31" s="16">
        <v>900</v>
      </c>
      <c r="N31" s="16">
        <v>900</v>
      </c>
      <c r="O31">
        <v>1012</v>
      </c>
      <c r="P31" s="16">
        <v>900</v>
      </c>
      <c r="Q31">
        <v>980</v>
      </c>
      <c r="R31" s="16">
        <v>900</v>
      </c>
      <c r="S31" s="16">
        <v>900</v>
      </c>
      <c r="T31">
        <v>967</v>
      </c>
      <c r="U31">
        <v>1003</v>
      </c>
      <c r="V31">
        <v>953</v>
      </c>
      <c r="W31">
        <v>963</v>
      </c>
      <c r="X31">
        <v>947</v>
      </c>
      <c r="Y31">
        <v>999</v>
      </c>
      <c r="Z31" s="16">
        <v>900</v>
      </c>
      <c r="AA31" s="8" t="s">
        <v>9</v>
      </c>
      <c r="AB31" s="16">
        <v>900</v>
      </c>
      <c r="AC31">
        <v>958</v>
      </c>
      <c r="AD31">
        <v>967</v>
      </c>
      <c r="AE31" t="s">
        <v>9</v>
      </c>
      <c r="AF31">
        <v>946</v>
      </c>
      <c r="AG31">
        <v>824</v>
      </c>
      <c r="AH31">
        <v>956</v>
      </c>
      <c r="AI31">
        <v>963</v>
      </c>
      <c r="AJ31">
        <v>950</v>
      </c>
      <c r="AK31">
        <v>994</v>
      </c>
      <c r="AL31">
        <v>968</v>
      </c>
      <c r="AM31">
        <v>958</v>
      </c>
      <c r="AN31">
        <v>947</v>
      </c>
      <c r="AO31">
        <v>958</v>
      </c>
      <c r="AP31">
        <v>897</v>
      </c>
      <c r="AQ31">
        <v>889</v>
      </c>
      <c r="AR31">
        <v>1041</v>
      </c>
      <c r="AS31">
        <v>1001</v>
      </c>
      <c r="AT31" s="16">
        <v>900</v>
      </c>
      <c r="AU31">
        <v>1006</v>
      </c>
      <c r="AV31">
        <v>998</v>
      </c>
      <c r="AW31">
        <v>939</v>
      </c>
      <c r="AX31">
        <v>958</v>
      </c>
      <c r="AY31">
        <v>995</v>
      </c>
      <c r="AZ31">
        <v>955</v>
      </c>
      <c r="BA31">
        <v>964</v>
      </c>
      <c r="BB31">
        <v>960</v>
      </c>
      <c r="BC31" s="8" t="s">
        <v>9</v>
      </c>
      <c r="BD31">
        <v>985</v>
      </c>
      <c r="BE31">
        <v>995</v>
      </c>
      <c r="BF31">
        <v>963</v>
      </c>
      <c r="BG31">
        <v>1070</v>
      </c>
      <c r="BH31">
        <v>1070</v>
      </c>
      <c r="BI31" s="16">
        <v>900</v>
      </c>
      <c r="BJ31">
        <v>843</v>
      </c>
      <c r="BK31">
        <v>966</v>
      </c>
      <c r="BL31">
        <v>947</v>
      </c>
      <c r="BM31">
        <v>994</v>
      </c>
      <c r="BN31">
        <v>890</v>
      </c>
      <c r="BO31" s="16">
        <v>900</v>
      </c>
    </row>
    <row r="32" spans="1:67">
      <c r="A32" s="4" t="s">
        <v>109</v>
      </c>
      <c r="B32" t="s">
        <v>137</v>
      </c>
      <c r="D32">
        <f>0.5*D23-400</f>
        <v>945</v>
      </c>
      <c r="E32">
        <v>862</v>
      </c>
      <c r="F32" s="16">
        <v>1000</v>
      </c>
      <c r="G32">
        <f>0.5*G23-400</f>
        <v>750</v>
      </c>
      <c r="H32" t="s">
        <v>9</v>
      </c>
      <c r="I32">
        <f>0.5*I23-400</f>
        <v>1010</v>
      </c>
      <c r="J32">
        <f>0.5*J23-400</f>
        <v>1060</v>
      </c>
      <c r="K32">
        <f>0.5*K23-400</f>
        <v>919</v>
      </c>
      <c r="L32">
        <f>0.5*L23-400</f>
        <v>1047.5</v>
      </c>
      <c r="M32" s="16">
        <v>1000</v>
      </c>
      <c r="N32" s="16">
        <v>1000</v>
      </c>
      <c r="O32">
        <f>0.5*O23-400</f>
        <v>1069.5</v>
      </c>
      <c r="P32" s="16">
        <v>1000</v>
      </c>
      <c r="Q32">
        <v>374</v>
      </c>
      <c r="R32" s="16">
        <v>1000</v>
      </c>
      <c r="S32" s="16">
        <v>1000</v>
      </c>
      <c r="T32">
        <v>904</v>
      </c>
      <c r="U32">
        <v>914</v>
      </c>
      <c r="V32">
        <v>818</v>
      </c>
      <c r="W32">
        <v>993</v>
      </c>
      <c r="X32">
        <v>793</v>
      </c>
      <c r="Y32">
        <v>849</v>
      </c>
      <c r="Z32" s="16">
        <v>1000</v>
      </c>
      <c r="AA32" s="8" t="s">
        <v>9</v>
      </c>
      <c r="AB32" s="16">
        <v>1000</v>
      </c>
      <c r="AC32">
        <f>0.5*AC23-400</f>
        <v>1247.5</v>
      </c>
      <c r="AD32">
        <f>0.5*AD23-400</f>
        <v>910</v>
      </c>
      <c r="AE32" t="s">
        <v>9</v>
      </c>
      <c r="AF32">
        <f>0.5*AF23-400</f>
        <v>885</v>
      </c>
      <c r="AG32">
        <f>0.5*AG23-400</f>
        <v>1000</v>
      </c>
      <c r="AH32" s="16">
        <v>1000</v>
      </c>
      <c r="AI32">
        <v>955</v>
      </c>
      <c r="AJ32">
        <v>906</v>
      </c>
      <c r="AK32">
        <v>924</v>
      </c>
      <c r="AL32">
        <v>889</v>
      </c>
      <c r="AM32">
        <v>848</v>
      </c>
      <c r="AN32">
        <v>851</v>
      </c>
      <c r="AO32">
        <v>894</v>
      </c>
      <c r="AP32">
        <v>899</v>
      </c>
      <c r="AQ32">
        <v>899</v>
      </c>
      <c r="AR32">
        <v>983</v>
      </c>
      <c r="AS32">
        <v>1029</v>
      </c>
      <c r="AT32" s="16">
        <v>1000</v>
      </c>
      <c r="AU32">
        <f>0.5*AU23-400</f>
        <v>1233</v>
      </c>
      <c r="AV32">
        <v>968</v>
      </c>
      <c r="AW32">
        <v>861</v>
      </c>
      <c r="AX32">
        <v>914</v>
      </c>
      <c r="AY32">
        <f>0.5*AY23-400</f>
        <v>943</v>
      </c>
      <c r="AZ32">
        <f>0.5*AZ23-400</f>
        <v>847.5</v>
      </c>
      <c r="BA32">
        <f>0.5*BA23-400</f>
        <v>875.5</v>
      </c>
      <c r="BB32">
        <f>0.5*BB23-400</f>
        <v>950</v>
      </c>
      <c r="BC32" s="8" t="s">
        <v>9</v>
      </c>
      <c r="BD32">
        <f>0.5*BD23-400</f>
        <v>1057.5</v>
      </c>
      <c r="BE32">
        <f>0.5*BE23-400</f>
        <v>1117.5</v>
      </c>
      <c r="BF32">
        <f>0.5*BF23-400</f>
        <v>1282.5</v>
      </c>
      <c r="BG32">
        <f>0.5*BG23-400</f>
        <v>1100</v>
      </c>
      <c r="BH32">
        <f>0.5*BH23-400</f>
        <v>1100</v>
      </c>
      <c r="BI32" s="16">
        <v>1000</v>
      </c>
      <c r="BJ32">
        <f>0.5*BJ23-400</f>
        <v>442</v>
      </c>
      <c r="BK32">
        <v>911</v>
      </c>
      <c r="BL32">
        <f>0.5*BL23-400</f>
        <v>1066.5</v>
      </c>
      <c r="BM32">
        <v>917</v>
      </c>
      <c r="BN32">
        <f>0.5*BN23-400</f>
        <v>1116</v>
      </c>
      <c r="BO32" s="16">
        <v>1000</v>
      </c>
    </row>
    <row r="33" spans="1:67">
      <c r="A33" s="4" t="s">
        <v>111</v>
      </c>
      <c r="B33" t="s">
        <v>141</v>
      </c>
      <c r="D33">
        <v>69</v>
      </c>
      <c r="E33">
        <v>63</v>
      </c>
      <c r="F33">
        <v>65</v>
      </c>
      <c r="G33">
        <v>73.099999999999994</v>
      </c>
      <c r="H33">
        <v>80</v>
      </c>
      <c r="I33">
        <v>66.900000000000006</v>
      </c>
      <c r="J33">
        <v>66.400000000000006</v>
      </c>
      <c r="K33">
        <v>67.7</v>
      </c>
      <c r="L33">
        <v>65.400000000000006</v>
      </c>
      <c r="M33">
        <v>67</v>
      </c>
      <c r="N33">
        <v>67</v>
      </c>
      <c r="O33">
        <v>66.400000000000006</v>
      </c>
      <c r="P33">
        <v>66</v>
      </c>
      <c r="Q33">
        <v>68</v>
      </c>
      <c r="R33">
        <v>64</v>
      </c>
      <c r="S33">
        <v>67</v>
      </c>
      <c r="T33">
        <v>67</v>
      </c>
      <c r="U33">
        <v>67</v>
      </c>
      <c r="V33">
        <v>69</v>
      </c>
      <c r="W33">
        <v>67</v>
      </c>
      <c r="X33">
        <v>69</v>
      </c>
      <c r="Y33">
        <v>68</v>
      </c>
      <c r="Z33">
        <v>66</v>
      </c>
      <c r="AA33">
        <v>73.400000000000006</v>
      </c>
      <c r="AB33">
        <v>66</v>
      </c>
      <c r="AC33">
        <v>64</v>
      </c>
      <c r="AD33">
        <v>69</v>
      </c>
      <c r="AE33">
        <v>83</v>
      </c>
      <c r="AF33">
        <v>69.3</v>
      </c>
      <c r="AG33">
        <v>66</v>
      </c>
      <c r="AH33">
        <v>68</v>
      </c>
      <c r="AI33">
        <v>68</v>
      </c>
      <c r="AJ33">
        <v>69</v>
      </c>
      <c r="AK33">
        <v>68</v>
      </c>
      <c r="AL33">
        <v>67</v>
      </c>
      <c r="AM33">
        <v>68</v>
      </c>
      <c r="AN33">
        <v>66</v>
      </c>
      <c r="AO33">
        <v>71</v>
      </c>
      <c r="AP33">
        <v>66.900000000000006</v>
      </c>
      <c r="AQ33">
        <v>70</v>
      </c>
      <c r="AR33">
        <v>69</v>
      </c>
      <c r="AS33">
        <v>68</v>
      </c>
      <c r="AT33">
        <v>64</v>
      </c>
      <c r="AU33">
        <v>60</v>
      </c>
      <c r="AV33">
        <v>66</v>
      </c>
      <c r="AW33">
        <v>63</v>
      </c>
      <c r="AX33">
        <v>67</v>
      </c>
      <c r="AY33">
        <v>68</v>
      </c>
      <c r="AZ33">
        <v>69.900000000000006</v>
      </c>
      <c r="BA33">
        <v>68.400000000000006</v>
      </c>
      <c r="BB33">
        <v>68.7</v>
      </c>
      <c r="BC33">
        <v>71</v>
      </c>
      <c r="BD33">
        <v>65.5</v>
      </c>
      <c r="BE33">
        <v>63.1</v>
      </c>
      <c r="BF33">
        <v>63</v>
      </c>
      <c r="BG33">
        <v>69.599999999999994</v>
      </c>
      <c r="BH33">
        <v>69.599999999999994</v>
      </c>
      <c r="BI33">
        <v>68</v>
      </c>
      <c r="BJ33">
        <v>74</v>
      </c>
      <c r="BK33">
        <v>67.3</v>
      </c>
      <c r="BL33">
        <v>65.3</v>
      </c>
      <c r="BM33">
        <v>67</v>
      </c>
      <c r="BN33">
        <v>66</v>
      </c>
      <c r="BO33">
        <v>68</v>
      </c>
    </row>
    <row r="34" spans="1:67">
      <c r="A34" t="s">
        <v>0</v>
      </c>
    </row>
    <row r="35" spans="1:67">
      <c r="A35" s="1" t="s">
        <v>99</v>
      </c>
    </row>
    <row r="36" spans="1:67">
      <c r="A36" s="4" t="s">
        <v>112</v>
      </c>
      <c r="B36" t="s">
        <v>142</v>
      </c>
      <c r="D36">
        <v>360</v>
      </c>
      <c r="E36">
        <v>405</v>
      </c>
      <c r="F36">
        <v>211</v>
      </c>
      <c r="G36">
        <v>185</v>
      </c>
      <c r="H36">
        <v>125</v>
      </c>
      <c r="I36">
        <v>505</v>
      </c>
      <c r="J36">
        <v>809</v>
      </c>
      <c r="K36">
        <v>615</v>
      </c>
      <c r="L36">
        <v>770</v>
      </c>
      <c r="M36">
        <v>267</v>
      </c>
      <c r="N36">
        <v>171</v>
      </c>
      <c r="O36">
        <v>640</v>
      </c>
      <c r="P36">
        <v>340</v>
      </c>
      <c r="Q36">
        <v>500</v>
      </c>
      <c r="R36">
        <v>405</v>
      </c>
      <c r="S36">
        <v>380</v>
      </c>
      <c r="T36">
        <v>341</v>
      </c>
      <c r="U36">
        <v>315</v>
      </c>
      <c r="V36">
        <v>405</v>
      </c>
      <c r="W36">
        <v>615</v>
      </c>
      <c r="X36">
        <v>250</v>
      </c>
      <c r="Y36">
        <v>375</v>
      </c>
      <c r="Z36">
        <v>185</v>
      </c>
      <c r="AA36">
        <v>260</v>
      </c>
      <c r="AB36">
        <v>260</v>
      </c>
      <c r="AC36">
        <v>490</v>
      </c>
      <c r="AD36">
        <v>380</v>
      </c>
      <c r="AE36">
        <v>11</v>
      </c>
      <c r="AF36">
        <v>260</v>
      </c>
      <c r="AG36">
        <v>154</v>
      </c>
      <c r="AH36">
        <v>385</v>
      </c>
      <c r="AI36">
        <v>543</v>
      </c>
      <c r="AJ36">
        <v>357</v>
      </c>
      <c r="AK36">
        <v>510</v>
      </c>
      <c r="AL36">
        <v>638</v>
      </c>
      <c r="AM36">
        <v>332</v>
      </c>
      <c r="AN36">
        <v>385</v>
      </c>
      <c r="AO36">
        <v>561</v>
      </c>
      <c r="AP36">
        <v>745</v>
      </c>
      <c r="AQ36">
        <v>793</v>
      </c>
      <c r="AR36">
        <v>425</v>
      </c>
      <c r="AS36">
        <v>854</v>
      </c>
      <c r="AT36">
        <v>310</v>
      </c>
      <c r="AU36">
        <v>443</v>
      </c>
      <c r="AV36">
        <v>402</v>
      </c>
      <c r="AW36">
        <v>366</v>
      </c>
      <c r="AX36">
        <v>475</v>
      </c>
      <c r="AY36">
        <v>610</v>
      </c>
      <c r="AZ36">
        <v>211</v>
      </c>
      <c r="BA36">
        <v>351</v>
      </c>
      <c r="BB36">
        <v>354</v>
      </c>
      <c r="BC36">
        <v>112</v>
      </c>
      <c r="BD36">
        <v>565</v>
      </c>
      <c r="BE36">
        <v>530</v>
      </c>
      <c r="BF36">
        <v>500</v>
      </c>
      <c r="BG36">
        <v>657</v>
      </c>
      <c r="BH36">
        <v>657</v>
      </c>
      <c r="BI36">
        <v>366</v>
      </c>
      <c r="BJ36">
        <v>156</v>
      </c>
      <c r="BK36">
        <v>560</v>
      </c>
      <c r="BL36">
        <v>580</v>
      </c>
      <c r="BM36">
        <v>419</v>
      </c>
      <c r="BN36">
        <v>478</v>
      </c>
      <c r="BO36">
        <v>338</v>
      </c>
    </row>
    <row r="37" spans="1:67">
      <c r="A37" s="4" t="s">
        <v>115</v>
      </c>
      <c r="B37" t="s">
        <v>143</v>
      </c>
      <c r="D37" s="7">
        <f xml:space="preserve"> (D40/D47) *100</f>
        <v>981.13207547169804</v>
      </c>
      <c r="E37" s="7">
        <v>482</v>
      </c>
      <c r="F37" s="7">
        <v>234</v>
      </c>
      <c r="G37" s="7">
        <f t="shared" ref="G37:L37" si="6" xml:space="preserve"> (G40/G47) *100</f>
        <v>714.28571428571422</v>
      </c>
      <c r="H37" s="7">
        <f t="shared" si="6"/>
        <v>496.12403100775191</v>
      </c>
      <c r="I37" s="7">
        <f t="shared" si="6"/>
        <v>900</v>
      </c>
      <c r="J37" s="7">
        <f t="shared" si="6"/>
        <v>1346.1538461538462</v>
      </c>
      <c r="K37" s="7">
        <f t="shared" si="6"/>
        <v>961.53846153846155</v>
      </c>
      <c r="L37" s="7">
        <f t="shared" si="6"/>
        <v>833.33333333333337</v>
      </c>
      <c r="M37" s="7">
        <v>359</v>
      </c>
      <c r="N37" s="7">
        <v>222</v>
      </c>
      <c r="O37" s="7">
        <f xml:space="preserve"> (O40/O47) *100</f>
        <v>1190.4761904761906</v>
      </c>
      <c r="P37" s="7">
        <v>492</v>
      </c>
      <c r="Q37" s="7">
        <v>432</v>
      </c>
      <c r="R37" s="7">
        <v>342</v>
      </c>
      <c r="S37" s="7">
        <v>354</v>
      </c>
      <c r="T37" s="7">
        <v>231</v>
      </c>
      <c r="U37" s="7">
        <v>452</v>
      </c>
      <c r="V37">
        <v>475</v>
      </c>
      <c r="W37">
        <v>368</v>
      </c>
      <c r="X37" s="7">
        <v>258</v>
      </c>
      <c r="Y37" s="7">
        <f xml:space="preserve"> (Y40/Y47) *100</f>
        <v>1106.3829787234042</v>
      </c>
      <c r="Z37" s="7">
        <v>129</v>
      </c>
      <c r="AA37" s="7">
        <f xml:space="preserve"> (AA40/AA47) *100</f>
        <v>682.92682926829275</v>
      </c>
      <c r="AB37" s="7">
        <v>132</v>
      </c>
      <c r="AC37" s="7">
        <f xml:space="preserve"> (AC40/AC47) *100</f>
        <v>565.06849315068496</v>
      </c>
      <c r="AD37" s="7">
        <f xml:space="preserve"> (AD40/AD47) *100</f>
        <v>1041.6666666666667</v>
      </c>
      <c r="AE37" s="7">
        <f xml:space="preserve"> (AE40/AE47) *100</f>
        <v>385.90604026845637</v>
      </c>
      <c r="AF37">
        <v>235</v>
      </c>
      <c r="AG37">
        <v>560</v>
      </c>
      <c r="AH37" s="7">
        <v>556</v>
      </c>
      <c r="AI37" s="7">
        <v>515</v>
      </c>
      <c r="AJ37" s="7">
        <v>311</v>
      </c>
      <c r="AK37" s="7">
        <v>461</v>
      </c>
      <c r="AL37" s="7">
        <v>470</v>
      </c>
      <c r="AM37" s="7">
        <v>484</v>
      </c>
      <c r="AN37" s="7">
        <v>270</v>
      </c>
      <c r="AO37" s="7">
        <v>547</v>
      </c>
      <c r="AP37">
        <v>490</v>
      </c>
      <c r="AQ37" s="7">
        <v>637</v>
      </c>
      <c r="AR37" s="7">
        <v>536</v>
      </c>
      <c r="AS37" s="7">
        <v>533</v>
      </c>
      <c r="AT37" s="7">
        <v>338</v>
      </c>
      <c r="AU37" s="7">
        <f xml:space="preserve"> (AU40/AU47) *100</f>
        <v>640</v>
      </c>
      <c r="AV37" s="7">
        <v>540</v>
      </c>
      <c r="AW37" s="7">
        <v>200</v>
      </c>
      <c r="AX37" s="7">
        <v>460</v>
      </c>
      <c r="AY37" s="7">
        <f xml:space="preserve"> (AY40/AY47) *100</f>
        <v>819.67213114754111</v>
      </c>
      <c r="AZ37" s="7">
        <f xml:space="preserve"> (AZ40/AZ47) *100</f>
        <v>816.32653061224494</v>
      </c>
      <c r="BA37" s="7">
        <f xml:space="preserve"> (BA40/BA47) *100</f>
        <v>888.88888888888891</v>
      </c>
      <c r="BB37" s="7">
        <v>1065</v>
      </c>
      <c r="BC37" s="7">
        <f t="shared" ref="BC37:BH37" si="7" xml:space="preserve"> (BC40/BC47) *100</f>
        <v>658.73015873015879</v>
      </c>
      <c r="BD37" s="7">
        <f t="shared" si="7"/>
        <v>781.25</v>
      </c>
      <c r="BE37" s="7">
        <f t="shared" si="7"/>
        <v>958.90410958904124</v>
      </c>
      <c r="BF37" s="7">
        <f t="shared" si="7"/>
        <v>571.42857142857144</v>
      </c>
      <c r="BG37" s="7">
        <f t="shared" si="7"/>
        <v>760.86956521739137</v>
      </c>
      <c r="BH37" s="7">
        <f t="shared" si="7"/>
        <v>879.12087912087918</v>
      </c>
      <c r="BI37" s="7">
        <v>417</v>
      </c>
      <c r="BJ37">
        <v>120</v>
      </c>
      <c r="BK37" s="7">
        <f xml:space="preserve"> (BK40/BK47) *100</f>
        <v>808.82352941176464</v>
      </c>
      <c r="BL37" s="7">
        <f xml:space="preserve"> (BL40/BL47) *100</f>
        <v>904.25531914893611</v>
      </c>
      <c r="BM37" s="7">
        <v>418</v>
      </c>
      <c r="BN37" s="7">
        <f xml:space="preserve"> (BN40/BN47) *100</f>
        <v>816.32653061224494</v>
      </c>
      <c r="BO37" s="7">
        <v>386</v>
      </c>
    </row>
    <row r="38" spans="1:67">
      <c r="A38" s="4" t="s">
        <v>114</v>
      </c>
      <c r="B38" t="s">
        <v>9</v>
      </c>
      <c r="D38">
        <v>4</v>
      </c>
      <c r="E38">
        <v>5</v>
      </c>
      <c r="F38">
        <v>4</v>
      </c>
      <c r="G38">
        <v>4</v>
      </c>
      <c r="H38">
        <v>2</v>
      </c>
      <c r="I38">
        <v>5</v>
      </c>
      <c r="J38">
        <v>7</v>
      </c>
      <c r="K38">
        <v>5</v>
      </c>
      <c r="L38">
        <v>5</v>
      </c>
      <c r="M38">
        <v>5</v>
      </c>
      <c r="N38">
        <v>4</v>
      </c>
      <c r="O38">
        <v>5</v>
      </c>
      <c r="P38">
        <v>5</v>
      </c>
      <c r="Q38">
        <v>5</v>
      </c>
      <c r="R38">
        <v>5</v>
      </c>
      <c r="S38">
        <v>5</v>
      </c>
      <c r="T38">
        <v>5</v>
      </c>
      <c r="U38">
        <v>5</v>
      </c>
      <c r="V38">
        <v>4</v>
      </c>
      <c r="W38">
        <v>5</v>
      </c>
      <c r="X38">
        <v>4</v>
      </c>
      <c r="Y38">
        <v>5</v>
      </c>
      <c r="Z38">
        <v>4</v>
      </c>
      <c r="AA38">
        <v>2</v>
      </c>
      <c r="AB38">
        <v>2</v>
      </c>
      <c r="AC38">
        <v>5</v>
      </c>
      <c r="AD38">
        <v>5</v>
      </c>
      <c r="AE38">
        <v>2</v>
      </c>
      <c r="AF38">
        <v>4</v>
      </c>
      <c r="AG38">
        <v>4</v>
      </c>
      <c r="AH38">
        <v>5</v>
      </c>
      <c r="AI38">
        <v>5</v>
      </c>
      <c r="AJ38">
        <v>5</v>
      </c>
      <c r="AK38">
        <v>5</v>
      </c>
      <c r="AL38">
        <v>5</v>
      </c>
      <c r="AM38">
        <v>5</v>
      </c>
      <c r="AN38">
        <v>5</v>
      </c>
      <c r="AO38">
        <v>5</v>
      </c>
      <c r="AP38">
        <v>5</v>
      </c>
      <c r="AQ38">
        <v>5</v>
      </c>
      <c r="AR38">
        <v>5</v>
      </c>
      <c r="AS38">
        <v>5</v>
      </c>
      <c r="AT38">
        <v>5</v>
      </c>
      <c r="AU38">
        <v>4</v>
      </c>
      <c r="AV38">
        <v>5</v>
      </c>
      <c r="AW38">
        <v>5</v>
      </c>
      <c r="AX38">
        <v>5</v>
      </c>
      <c r="AY38">
        <v>5</v>
      </c>
      <c r="AZ38">
        <v>4</v>
      </c>
      <c r="BA38">
        <v>5</v>
      </c>
      <c r="BB38">
        <v>4</v>
      </c>
      <c r="BC38">
        <v>2</v>
      </c>
      <c r="BD38">
        <v>5</v>
      </c>
      <c r="BE38">
        <v>5</v>
      </c>
      <c r="BF38">
        <v>5</v>
      </c>
      <c r="BG38">
        <v>7</v>
      </c>
      <c r="BH38">
        <v>9</v>
      </c>
      <c r="BI38">
        <v>4</v>
      </c>
      <c r="BJ38">
        <v>2</v>
      </c>
      <c r="BK38">
        <v>5</v>
      </c>
      <c r="BL38">
        <v>5</v>
      </c>
      <c r="BM38">
        <v>5</v>
      </c>
      <c r="BN38">
        <v>5</v>
      </c>
      <c r="BO38">
        <v>5</v>
      </c>
    </row>
    <row r="39" spans="1:67">
      <c r="A39" s="4" t="s">
        <v>113</v>
      </c>
      <c r="B39" t="s">
        <v>144</v>
      </c>
      <c r="D39">
        <v>490</v>
      </c>
      <c r="E39">
        <v>412</v>
      </c>
      <c r="F39">
        <v>335</v>
      </c>
      <c r="G39">
        <v>365</v>
      </c>
      <c r="H39">
        <v>272</v>
      </c>
      <c r="I39">
        <v>515</v>
      </c>
      <c r="J39">
        <v>617</v>
      </c>
      <c r="K39">
        <v>550</v>
      </c>
      <c r="L39">
        <v>845</v>
      </c>
      <c r="M39">
        <v>388</v>
      </c>
      <c r="N39">
        <v>275</v>
      </c>
      <c r="O39">
        <v>670</v>
      </c>
      <c r="P39">
        <v>430</v>
      </c>
      <c r="Q39">
        <v>445</v>
      </c>
      <c r="R39">
        <v>407</v>
      </c>
      <c r="S39">
        <v>384</v>
      </c>
      <c r="T39">
        <v>405</v>
      </c>
      <c r="U39">
        <v>423</v>
      </c>
      <c r="V39">
        <v>490</v>
      </c>
      <c r="W39">
        <v>550</v>
      </c>
      <c r="X39">
        <v>282</v>
      </c>
      <c r="Y39">
        <v>533</v>
      </c>
      <c r="Z39">
        <v>370</v>
      </c>
      <c r="AA39">
        <v>260</v>
      </c>
      <c r="AB39">
        <v>215</v>
      </c>
      <c r="AC39">
        <v>580</v>
      </c>
      <c r="AD39">
        <v>514</v>
      </c>
      <c r="AE39">
        <v>615</v>
      </c>
      <c r="AF39">
        <v>320</v>
      </c>
      <c r="AG39">
        <v>295</v>
      </c>
      <c r="AH39">
        <v>372</v>
      </c>
      <c r="AI39">
        <v>529</v>
      </c>
      <c r="AJ39">
        <v>368</v>
      </c>
      <c r="AK39">
        <v>470</v>
      </c>
      <c r="AL39">
        <v>462</v>
      </c>
      <c r="AM39">
        <v>410</v>
      </c>
      <c r="AN39">
        <v>415</v>
      </c>
      <c r="AO39">
        <v>374</v>
      </c>
      <c r="AP39">
        <v>417</v>
      </c>
      <c r="AQ39">
        <v>479</v>
      </c>
      <c r="AR39">
        <v>621</v>
      </c>
      <c r="AS39">
        <v>315</v>
      </c>
      <c r="AT39">
        <v>417</v>
      </c>
      <c r="AU39">
        <v>515</v>
      </c>
      <c r="AV39">
        <v>433</v>
      </c>
      <c r="AW39">
        <v>399</v>
      </c>
      <c r="AX39">
        <v>443</v>
      </c>
      <c r="AY39">
        <v>512</v>
      </c>
      <c r="AZ39">
        <v>380</v>
      </c>
      <c r="BA39">
        <v>495</v>
      </c>
      <c r="BB39">
        <v>250</v>
      </c>
      <c r="BC39">
        <v>225</v>
      </c>
      <c r="BD39">
        <v>555</v>
      </c>
      <c r="BE39">
        <v>665</v>
      </c>
      <c r="BF39">
        <v>460</v>
      </c>
      <c r="BG39">
        <v>993</v>
      </c>
      <c r="BH39">
        <v>1218</v>
      </c>
      <c r="BI39">
        <v>500</v>
      </c>
      <c r="BJ39">
        <v>137</v>
      </c>
      <c r="BK39">
        <v>439</v>
      </c>
      <c r="BL39">
        <v>640</v>
      </c>
      <c r="BM39">
        <v>462</v>
      </c>
      <c r="BN39">
        <v>565</v>
      </c>
      <c r="BO39">
        <v>411</v>
      </c>
    </row>
    <row r="40" spans="1:67">
      <c r="A40" t="s">
        <v>116</v>
      </c>
      <c r="B40" t="s">
        <v>145</v>
      </c>
      <c r="D40">
        <v>52</v>
      </c>
      <c r="E40" t="s">
        <v>314</v>
      </c>
      <c r="F40" t="s">
        <v>288</v>
      </c>
      <c r="G40">
        <v>35</v>
      </c>
      <c r="H40">
        <v>64</v>
      </c>
      <c r="I40">
        <v>54</v>
      </c>
      <c r="J40">
        <v>70</v>
      </c>
      <c r="K40">
        <v>50</v>
      </c>
      <c r="L40">
        <v>75</v>
      </c>
      <c r="M40" t="s">
        <v>305</v>
      </c>
      <c r="N40" t="s">
        <v>242</v>
      </c>
      <c r="O40">
        <v>50</v>
      </c>
      <c r="P40" t="s">
        <v>276</v>
      </c>
      <c r="Q40" t="s">
        <v>283</v>
      </c>
      <c r="R40" t="s">
        <v>305</v>
      </c>
      <c r="S40" t="s">
        <v>236</v>
      </c>
      <c r="T40" t="s">
        <v>373</v>
      </c>
      <c r="U40" t="s">
        <v>254</v>
      </c>
      <c r="V40" t="s">
        <v>213</v>
      </c>
      <c r="W40" t="s">
        <v>234</v>
      </c>
      <c r="X40" t="s">
        <v>369</v>
      </c>
      <c r="Y40">
        <v>52</v>
      </c>
      <c r="Z40" t="s">
        <v>326</v>
      </c>
      <c r="AA40">
        <v>28</v>
      </c>
      <c r="AB40" t="s">
        <v>326</v>
      </c>
      <c r="AC40">
        <v>82.5</v>
      </c>
      <c r="AD40">
        <v>50</v>
      </c>
      <c r="AE40">
        <v>57.5</v>
      </c>
      <c r="AF40" t="s">
        <v>37</v>
      </c>
      <c r="AG40" t="s">
        <v>66</v>
      </c>
      <c r="AH40" t="s">
        <v>362</v>
      </c>
      <c r="AI40" t="s">
        <v>362</v>
      </c>
      <c r="AJ40" t="s">
        <v>248</v>
      </c>
      <c r="AK40" t="s">
        <v>235</v>
      </c>
      <c r="AL40" t="s">
        <v>259</v>
      </c>
      <c r="AM40" t="s">
        <v>254</v>
      </c>
      <c r="AN40" t="s">
        <v>293</v>
      </c>
      <c r="AO40" t="s">
        <v>336</v>
      </c>
      <c r="AP40" t="s">
        <v>16</v>
      </c>
      <c r="AQ40" t="s">
        <v>342</v>
      </c>
      <c r="AR40" t="s">
        <v>352</v>
      </c>
      <c r="AS40" t="s">
        <v>348</v>
      </c>
      <c r="AT40" t="s">
        <v>298</v>
      </c>
      <c r="AU40">
        <v>96</v>
      </c>
      <c r="AV40" t="s">
        <v>233</v>
      </c>
      <c r="AW40" t="s">
        <v>271</v>
      </c>
      <c r="AX40" t="s">
        <v>264</v>
      </c>
      <c r="AY40">
        <v>50</v>
      </c>
      <c r="AZ40">
        <v>40</v>
      </c>
      <c r="BA40">
        <v>40</v>
      </c>
      <c r="BB40">
        <v>43</v>
      </c>
      <c r="BC40">
        <v>83</v>
      </c>
      <c r="BD40">
        <v>75</v>
      </c>
      <c r="BE40">
        <v>70</v>
      </c>
      <c r="BF40">
        <v>80</v>
      </c>
      <c r="BG40">
        <v>70</v>
      </c>
      <c r="BH40">
        <v>80</v>
      </c>
      <c r="BI40" t="s">
        <v>319</v>
      </c>
      <c r="BJ40" t="s">
        <v>10</v>
      </c>
      <c r="BK40">
        <v>55</v>
      </c>
      <c r="BL40">
        <v>85</v>
      </c>
      <c r="BM40" t="s">
        <v>357</v>
      </c>
      <c r="BN40">
        <v>80</v>
      </c>
      <c r="BO40" t="s">
        <v>323</v>
      </c>
    </row>
    <row r="42" spans="1:67">
      <c r="A42" s="1" t="s">
        <v>97</v>
      </c>
    </row>
    <row r="43" spans="1:67">
      <c r="A43" t="s">
        <v>102</v>
      </c>
      <c r="B43" t="s">
        <v>144</v>
      </c>
      <c r="D43">
        <v>1375</v>
      </c>
      <c r="E43">
        <v>2188</v>
      </c>
      <c r="F43">
        <v>1440</v>
      </c>
      <c r="G43">
        <v>940</v>
      </c>
      <c r="H43">
        <v>1488</v>
      </c>
      <c r="I43">
        <v>1575</v>
      </c>
      <c r="J43">
        <v>1793</v>
      </c>
      <c r="K43">
        <v>1280</v>
      </c>
      <c r="L43">
        <v>1985</v>
      </c>
      <c r="M43">
        <v>1530</v>
      </c>
      <c r="N43">
        <v>1595</v>
      </c>
      <c r="O43">
        <v>1780</v>
      </c>
      <c r="P43">
        <v>2040</v>
      </c>
      <c r="Q43">
        <v>2495</v>
      </c>
      <c r="R43">
        <v>1623</v>
      </c>
      <c r="S43">
        <v>1636</v>
      </c>
      <c r="T43">
        <v>1615</v>
      </c>
      <c r="U43">
        <v>1757</v>
      </c>
      <c r="V43">
        <v>2350</v>
      </c>
      <c r="W43">
        <v>2695</v>
      </c>
      <c r="X43">
        <v>1248</v>
      </c>
      <c r="Y43">
        <v>1322</v>
      </c>
      <c r="Z43">
        <v>1200</v>
      </c>
      <c r="AA43">
        <v>890</v>
      </c>
      <c r="AB43">
        <v>1095</v>
      </c>
      <c r="AC43">
        <v>2360</v>
      </c>
      <c r="AD43">
        <v>1206</v>
      </c>
      <c r="AE43">
        <v>1385</v>
      </c>
      <c r="AF43">
        <v>1440</v>
      </c>
      <c r="AG43">
        <v>1610</v>
      </c>
      <c r="AH43">
        <v>1928</v>
      </c>
      <c r="AI43">
        <v>2221</v>
      </c>
      <c r="AJ43">
        <v>1602</v>
      </c>
      <c r="AK43">
        <v>2255</v>
      </c>
      <c r="AL43">
        <v>2208</v>
      </c>
      <c r="AM43">
        <v>1760</v>
      </c>
      <c r="AN43">
        <v>1580</v>
      </c>
      <c r="AO43">
        <v>1931</v>
      </c>
      <c r="AP43">
        <v>2183</v>
      </c>
      <c r="AQ43">
        <v>2162</v>
      </c>
      <c r="AR43">
        <v>2455</v>
      </c>
      <c r="AS43">
        <v>2056</v>
      </c>
      <c r="AT43">
        <v>1598</v>
      </c>
      <c r="AU43">
        <v>2685</v>
      </c>
      <c r="AV43">
        <v>2257</v>
      </c>
      <c r="AW43">
        <v>1720</v>
      </c>
      <c r="AX43">
        <v>1757</v>
      </c>
      <c r="AY43">
        <v>1340</v>
      </c>
      <c r="AZ43">
        <v>1185</v>
      </c>
      <c r="BA43">
        <v>1145</v>
      </c>
      <c r="BB43">
        <v>1605</v>
      </c>
      <c r="BC43">
        <v>1715</v>
      </c>
      <c r="BD43">
        <v>2025</v>
      </c>
      <c r="BE43">
        <v>2010</v>
      </c>
      <c r="BF43">
        <v>2360</v>
      </c>
      <c r="BG43">
        <v>2007</v>
      </c>
      <c r="BH43">
        <v>1862</v>
      </c>
      <c r="BI43">
        <v>2370</v>
      </c>
      <c r="BJ43">
        <v>548</v>
      </c>
      <c r="BK43">
        <v>1861</v>
      </c>
      <c r="BL43">
        <v>2245</v>
      </c>
      <c r="BM43">
        <v>2188</v>
      </c>
      <c r="BN43">
        <v>1865</v>
      </c>
      <c r="BO43">
        <v>1577</v>
      </c>
    </row>
    <row r="44" spans="1:67" s="11" customFormat="1">
      <c r="A44" s="11" t="s">
        <v>158</v>
      </c>
      <c r="B44" s="11" t="s">
        <v>159</v>
      </c>
      <c r="D44" s="11">
        <v>140</v>
      </c>
      <c r="E44" s="11">
        <f>115+123</f>
        <v>238</v>
      </c>
      <c r="F44" s="11">
        <v>174</v>
      </c>
      <c r="G44" s="11">
        <v>83</v>
      </c>
      <c r="H44" s="11">
        <v>388</v>
      </c>
      <c r="I44" s="11">
        <v>116</v>
      </c>
      <c r="J44" s="11">
        <v>145</v>
      </c>
      <c r="K44" s="11">
        <v>90</v>
      </c>
      <c r="L44" s="11">
        <v>180</v>
      </c>
      <c r="M44" s="11">
        <f>97+87</f>
        <v>184</v>
      </c>
      <c r="N44" s="11">
        <v>219</v>
      </c>
      <c r="O44" s="11">
        <v>158</v>
      </c>
      <c r="P44" s="11">
        <v>210</v>
      </c>
      <c r="Q44" s="11">
        <v>285</v>
      </c>
      <c r="R44" s="11">
        <f>98+94</f>
        <v>192</v>
      </c>
      <c r="S44" s="11">
        <v>181</v>
      </c>
      <c r="T44" s="11">
        <f>98+87</f>
        <v>185</v>
      </c>
      <c r="U44" s="11">
        <v>205</v>
      </c>
      <c r="V44" s="11">
        <v>288</v>
      </c>
      <c r="W44" s="11">
        <v>298</v>
      </c>
      <c r="X44" s="11">
        <f>91+68</f>
        <v>159</v>
      </c>
      <c r="Y44" s="11">
        <v>104</v>
      </c>
      <c r="Z44" s="11">
        <f>109+76</f>
        <v>185</v>
      </c>
      <c r="AA44" s="11">
        <v>74</v>
      </c>
      <c r="AB44" s="11">
        <f>106+57</f>
        <v>163</v>
      </c>
      <c r="AC44" s="11">
        <v>430</v>
      </c>
      <c r="AD44" s="11">
        <v>99</v>
      </c>
      <c r="AE44" s="11">
        <v>433</v>
      </c>
      <c r="AF44" s="11">
        <v>92</v>
      </c>
      <c r="AG44" s="11">
        <v>186</v>
      </c>
      <c r="AH44" s="11">
        <f>96+77</f>
        <v>173</v>
      </c>
      <c r="AI44" s="11">
        <f>101+87</f>
        <v>188</v>
      </c>
      <c r="AJ44" s="11">
        <v>185</v>
      </c>
      <c r="AK44" s="11">
        <v>250</v>
      </c>
      <c r="AL44" s="11">
        <v>299</v>
      </c>
      <c r="AM44" s="11">
        <v>184</v>
      </c>
      <c r="AN44" s="11">
        <v>214</v>
      </c>
      <c r="AO44" s="11">
        <f>101+136</f>
        <v>237</v>
      </c>
      <c r="AP44" s="11">
        <v>263</v>
      </c>
      <c r="AQ44" s="11">
        <f>118+213</f>
        <v>331</v>
      </c>
      <c r="AR44" s="11">
        <f>162+141</f>
        <v>303</v>
      </c>
      <c r="AS44" s="11">
        <f>103+167</f>
        <v>270</v>
      </c>
      <c r="AT44" s="11">
        <v>196</v>
      </c>
      <c r="AU44" s="11">
        <v>454</v>
      </c>
      <c r="AV44" s="11">
        <v>235</v>
      </c>
      <c r="AW44" s="11">
        <v>212</v>
      </c>
      <c r="AX44" s="11">
        <v>206</v>
      </c>
      <c r="AY44" s="11">
        <v>102</v>
      </c>
      <c r="AZ44" s="11">
        <v>108</v>
      </c>
      <c r="BA44" s="11">
        <v>88</v>
      </c>
      <c r="BB44" s="11">
        <v>135</v>
      </c>
      <c r="BC44" s="11">
        <v>403</v>
      </c>
      <c r="BD44" s="11">
        <v>271</v>
      </c>
      <c r="BE44" s="11">
        <v>274</v>
      </c>
      <c r="BF44" s="11">
        <v>423</v>
      </c>
      <c r="BG44" s="11">
        <v>142</v>
      </c>
      <c r="BH44" s="11">
        <v>163</v>
      </c>
      <c r="BI44" s="11">
        <f>139+164</f>
        <v>303</v>
      </c>
      <c r="BJ44" s="11">
        <f>SUM(C58:C59)</f>
        <v>75</v>
      </c>
      <c r="BK44" s="11">
        <v>133</v>
      </c>
      <c r="BL44" s="11">
        <v>277</v>
      </c>
      <c r="BM44" s="11">
        <f>137+103</f>
        <v>240</v>
      </c>
      <c r="BN44" s="11">
        <v>292</v>
      </c>
      <c r="BO44" s="11">
        <f>107+85</f>
        <v>192</v>
      </c>
    </row>
    <row r="45" spans="1:67" s="11" customFormat="1">
      <c r="A45" s="11" t="s">
        <v>160</v>
      </c>
      <c r="B45" s="11" t="s">
        <v>159</v>
      </c>
      <c r="D45" s="11">
        <v>72</v>
      </c>
      <c r="E45" s="11">
        <v>145</v>
      </c>
      <c r="F45" s="11">
        <v>67</v>
      </c>
      <c r="G45" s="11">
        <v>76</v>
      </c>
      <c r="H45" s="11">
        <v>327</v>
      </c>
      <c r="I45" s="11">
        <v>104</v>
      </c>
      <c r="J45" s="11">
        <v>110</v>
      </c>
      <c r="K45" s="11">
        <v>79</v>
      </c>
      <c r="L45" s="11">
        <v>131</v>
      </c>
      <c r="M45" s="11">
        <v>52</v>
      </c>
      <c r="N45" s="11">
        <v>49</v>
      </c>
      <c r="O45" s="11">
        <v>123</v>
      </c>
      <c r="P45" s="11">
        <v>89</v>
      </c>
      <c r="Q45" s="11">
        <v>131</v>
      </c>
      <c r="R45" s="11">
        <v>59</v>
      </c>
      <c r="S45" s="11">
        <v>61</v>
      </c>
      <c r="T45" s="11">
        <v>70</v>
      </c>
      <c r="U45" s="11">
        <v>62</v>
      </c>
      <c r="V45" s="11">
        <v>137</v>
      </c>
      <c r="W45" s="11">
        <v>178</v>
      </c>
      <c r="X45" s="11">
        <v>32</v>
      </c>
      <c r="Y45" s="11">
        <v>73</v>
      </c>
      <c r="Z45" s="11">
        <v>38</v>
      </c>
      <c r="AA45" s="11">
        <v>60</v>
      </c>
      <c r="AB45" s="11">
        <v>38</v>
      </c>
      <c r="AC45" s="11">
        <v>402</v>
      </c>
      <c r="AD45" s="11">
        <v>78</v>
      </c>
      <c r="AE45" s="11">
        <v>400</v>
      </c>
      <c r="AF45" s="11">
        <v>70</v>
      </c>
      <c r="AG45" s="11">
        <v>201</v>
      </c>
      <c r="AH45" s="11">
        <v>65</v>
      </c>
      <c r="AI45" s="11">
        <v>68</v>
      </c>
      <c r="AJ45" s="11">
        <v>57</v>
      </c>
      <c r="AK45" s="11">
        <v>112</v>
      </c>
      <c r="AL45" s="11">
        <v>108</v>
      </c>
      <c r="AM45" s="11">
        <v>66</v>
      </c>
      <c r="AN45" s="11">
        <v>65</v>
      </c>
      <c r="AO45" s="11">
        <v>135</v>
      </c>
      <c r="AP45" s="11">
        <v>170</v>
      </c>
      <c r="AQ45" s="11">
        <v>177</v>
      </c>
      <c r="AR45" s="11">
        <v>61</v>
      </c>
      <c r="AS45" s="11">
        <v>136</v>
      </c>
      <c r="AT45" s="11">
        <v>57</v>
      </c>
      <c r="AU45" s="11">
        <v>392</v>
      </c>
      <c r="AV45" s="11">
        <v>101</v>
      </c>
      <c r="AW45" s="11">
        <v>61</v>
      </c>
      <c r="AX45" s="11">
        <v>62</v>
      </c>
      <c r="AY45" s="11">
        <v>83</v>
      </c>
      <c r="AZ45" s="11">
        <v>78</v>
      </c>
      <c r="BA45" s="11">
        <v>71</v>
      </c>
      <c r="BB45" s="11">
        <v>70</v>
      </c>
      <c r="BC45" s="11">
        <v>237</v>
      </c>
      <c r="BD45" s="11">
        <v>263</v>
      </c>
      <c r="BE45" s="11">
        <v>209</v>
      </c>
      <c r="BF45" s="11">
        <v>245</v>
      </c>
      <c r="BG45" s="11">
        <v>100</v>
      </c>
      <c r="BH45" s="11">
        <v>118</v>
      </c>
      <c r="BI45" s="11">
        <v>210</v>
      </c>
      <c r="BJ45" s="11">
        <f>C60</f>
        <v>20</v>
      </c>
      <c r="BK45" s="11">
        <v>131</v>
      </c>
      <c r="BL45" s="11">
        <v>190</v>
      </c>
      <c r="BM45" s="11">
        <v>113</v>
      </c>
      <c r="BN45" s="11">
        <v>185</v>
      </c>
      <c r="BO45" s="11">
        <v>55</v>
      </c>
    </row>
    <row r="46" spans="1:67" s="11" customFormat="1">
      <c r="A46" s="12" t="s">
        <v>206</v>
      </c>
      <c r="B46" s="12" t="s">
        <v>207</v>
      </c>
      <c r="C46" s="12"/>
      <c r="D46" s="12">
        <f t="shared" ref="D46:AI46" si="8">(D44+D45)*12/$B$56*100</f>
        <v>16.96</v>
      </c>
      <c r="E46" s="12">
        <f t="shared" si="8"/>
        <v>30.64</v>
      </c>
      <c r="F46" s="12">
        <f t="shared" si="8"/>
        <v>19.28</v>
      </c>
      <c r="G46" s="12">
        <f t="shared" si="8"/>
        <v>12.72</v>
      </c>
      <c r="H46" s="12">
        <f t="shared" si="8"/>
        <v>57.199999999999996</v>
      </c>
      <c r="I46" s="12">
        <f t="shared" si="8"/>
        <v>17.599999999999998</v>
      </c>
      <c r="J46" s="12">
        <f t="shared" si="8"/>
        <v>20.399999999999999</v>
      </c>
      <c r="K46" s="12">
        <f t="shared" si="8"/>
        <v>13.52</v>
      </c>
      <c r="L46" s="12">
        <f t="shared" si="8"/>
        <v>24.88</v>
      </c>
      <c r="M46" s="12">
        <f t="shared" si="8"/>
        <v>18.88</v>
      </c>
      <c r="N46" s="12">
        <f t="shared" si="8"/>
        <v>21.44</v>
      </c>
      <c r="O46" s="12">
        <f t="shared" si="8"/>
        <v>22.48</v>
      </c>
      <c r="P46" s="12">
        <f t="shared" si="8"/>
        <v>23.919999999999998</v>
      </c>
      <c r="Q46" s="12">
        <f t="shared" si="8"/>
        <v>33.28</v>
      </c>
      <c r="R46" s="12">
        <f t="shared" si="8"/>
        <v>20.080000000000002</v>
      </c>
      <c r="S46" s="12">
        <f t="shared" si="8"/>
        <v>19.36</v>
      </c>
      <c r="T46" s="12">
        <f t="shared" si="8"/>
        <v>20.399999999999999</v>
      </c>
      <c r="U46" s="12">
        <f t="shared" si="8"/>
        <v>21.36</v>
      </c>
      <c r="V46" s="12">
        <f t="shared" si="8"/>
        <v>34</v>
      </c>
      <c r="W46" s="12">
        <f t="shared" si="8"/>
        <v>38.080000000000005</v>
      </c>
      <c r="X46" s="12">
        <f t="shared" si="8"/>
        <v>15.28</v>
      </c>
      <c r="Y46" s="12">
        <f t="shared" si="8"/>
        <v>14.16</v>
      </c>
      <c r="Z46" s="12">
        <f t="shared" si="8"/>
        <v>17.84</v>
      </c>
      <c r="AA46" s="12">
        <f t="shared" si="8"/>
        <v>10.72</v>
      </c>
      <c r="AB46" s="12">
        <f t="shared" si="8"/>
        <v>16.079999999999998</v>
      </c>
      <c r="AC46" s="12">
        <f t="shared" si="8"/>
        <v>66.56</v>
      </c>
      <c r="AD46" s="12">
        <f t="shared" si="8"/>
        <v>14.16</v>
      </c>
      <c r="AE46" s="12">
        <f t="shared" si="8"/>
        <v>66.64</v>
      </c>
      <c r="AF46" s="12">
        <f t="shared" si="8"/>
        <v>12.959999999999999</v>
      </c>
      <c r="AG46" s="12">
        <f t="shared" si="8"/>
        <v>30.959999999999997</v>
      </c>
      <c r="AH46" s="12">
        <f t="shared" si="8"/>
        <v>19.040000000000003</v>
      </c>
      <c r="AI46" s="12">
        <f t="shared" si="8"/>
        <v>20.48</v>
      </c>
      <c r="AJ46" s="12">
        <f t="shared" ref="AJ46:BO46" si="9">(AJ44+AJ45)*12/$B$56*100</f>
        <v>19.36</v>
      </c>
      <c r="AK46" s="12">
        <f t="shared" si="9"/>
        <v>28.96</v>
      </c>
      <c r="AL46" s="12">
        <f t="shared" si="9"/>
        <v>32.56</v>
      </c>
      <c r="AM46" s="12">
        <f t="shared" si="9"/>
        <v>20</v>
      </c>
      <c r="AN46" s="12">
        <f t="shared" si="9"/>
        <v>22.32</v>
      </c>
      <c r="AO46" s="12">
        <f t="shared" si="9"/>
        <v>29.759999999999998</v>
      </c>
      <c r="AP46" s="12">
        <f t="shared" si="9"/>
        <v>34.64</v>
      </c>
      <c r="AQ46" s="12">
        <f t="shared" si="9"/>
        <v>40.64</v>
      </c>
      <c r="AR46" s="12">
        <f t="shared" si="9"/>
        <v>29.12</v>
      </c>
      <c r="AS46" s="12">
        <f t="shared" si="9"/>
        <v>32.479999999999997</v>
      </c>
      <c r="AT46" s="12">
        <f t="shared" si="9"/>
        <v>20.239999999999998</v>
      </c>
      <c r="AU46" s="12">
        <f t="shared" si="9"/>
        <v>67.679999999999993</v>
      </c>
      <c r="AV46" s="12">
        <f t="shared" si="9"/>
        <v>26.88</v>
      </c>
      <c r="AW46" s="12">
        <f t="shared" si="9"/>
        <v>21.84</v>
      </c>
      <c r="AX46" s="12">
        <f t="shared" si="9"/>
        <v>21.44</v>
      </c>
      <c r="AY46" s="12">
        <f t="shared" si="9"/>
        <v>14.799999999999999</v>
      </c>
      <c r="AZ46" s="12">
        <f t="shared" si="9"/>
        <v>14.879999999999999</v>
      </c>
      <c r="BA46" s="12">
        <f t="shared" si="9"/>
        <v>12.72</v>
      </c>
      <c r="BB46" s="12">
        <f t="shared" si="9"/>
        <v>16.400000000000002</v>
      </c>
      <c r="BC46" s="12">
        <f t="shared" si="9"/>
        <v>51.2</v>
      </c>
      <c r="BD46" s="12">
        <f t="shared" si="9"/>
        <v>42.72</v>
      </c>
      <c r="BE46" s="12">
        <f t="shared" si="9"/>
        <v>38.64</v>
      </c>
      <c r="BF46" s="12">
        <f t="shared" si="9"/>
        <v>53.44</v>
      </c>
      <c r="BG46" s="12">
        <f t="shared" si="9"/>
        <v>19.36</v>
      </c>
      <c r="BH46" s="12">
        <f t="shared" si="9"/>
        <v>22.48</v>
      </c>
      <c r="BI46" s="12">
        <f t="shared" si="9"/>
        <v>41.04</v>
      </c>
      <c r="BJ46" s="12">
        <f t="shared" si="9"/>
        <v>7.6</v>
      </c>
      <c r="BK46" s="12">
        <f t="shared" si="9"/>
        <v>21.12</v>
      </c>
      <c r="BL46" s="12">
        <f t="shared" si="9"/>
        <v>37.36</v>
      </c>
      <c r="BM46" s="12">
        <f t="shared" si="9"/>
        <v>28.24</v>
      </c>
      <c r="BN46" s="12">
        <f t="shared" si="9"/>
        <v>38.159999999999997</v>
      </c>
      <c r="BO46" s="12">
        <f t="shared" si="9"/>
        <v>19.759999999999998</v>
      </c>
    </row>
    <row r="47" spans="1:67">
      <c r="A47" t="s">
        <v>146</v>
      </c>
      <c r="B47" t="s">
        <v>147</v>
      </c>
      <c r="D47">
        <v>5.3</v>
      </c>
      <c r="E47">
        <v>0</v>
      </c>
      <c r="F47">
        <v>0</v>
      </c>
      <c r="G47">
        <v>4.9000000000000004</v>
      </c>
      <c r="H47">
        <v>12.9</v>
      </c>
      <c r="I47">
        <v>6</v>
      </c>
      <c r="J47">
        <v>5.2</v>
      </c>
      <c r="K47">
        <v>5.2</v>
      </c>
      <c r="L47">
        <v>9</v>
      </c>
      <c r="M47">
        <v>0</v>
      </c>
      <c r="N47">
        <v>0</v>
      </c>
      <c r="O47">
        <v>4.2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4.7</v>
      </c>
      <c r="Z47">
        <v>0</v>
      </c>
      <c r="AA47">
        <v>4.0999999999999996</v>
      </c>
      <c r="AB47">
        <v>0</v>
      </c>
      <c r="AC47">
        <v>14.6</v>
      </c>
      <c r="AD47">
        <v>4.8</v>
      </c>
      <c r="AE47">
        <v>14.9</v>
      </c>
      <c r="AF47">
        <v>0.6</v>
      </c>
      <c r="AG47">
        <v>1.8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15</v>
      </c>
      <c r="AV47">
        <v>0</v>
      </c>
      <c r="AW47">
        <v>0</v>
      </c>
      <c r="AX47">
        <v>0</v>
      </c>
      <c r="AY47">
        <v>6.1</v>
      </c>
      <c r="AZ47">
        <v>4.9000000000000004</v>
      </c>
      <c r="BA47">
        <v>4.5</v>
      </c>
      <c r="BB47">
        <v>1</v>
      </c>
      <c r="BC47">
        <v>12.6</v>
      </c>
      <c r="BD47">
        <v>9.6</v>
      </c>
      <c r="BE47">
        <v>7.3</v>
      </c>
      <c r="BF47">
        <v>14</v>
      </c>
      <c r="BG47">
        <v>9.1999999999999993</v>
      </c>
      <c r="BH47">
        <v>9.1</v>
      </c>
      <c r="BI47">
        <v>0</v>
      </c>
      <c r="BJ47">
        <v>0</v>
      </c>
      <c r="BK47">
        <v>6.8</v>
      </c>
      <c r="BL47">
        <v>9.4</v>
      </c>
      <c r="BM47">
        <v>0</v>
      </c>
      <c r="BN47">
        <v>9.8000000000000007</v>
      </c>
      <c r="BO47">
        <v>0</v>
      </c>
    </row>
    <row r="48" spans="1:67">
      <c r="A48" s="4" t="s">
        <v>106</v>
      </c>
      <c r="B48" t="s">
        <v>148</v>
      </c>
      <c r="D48">
        <v>26300</v>
      </c>
      <c r="E48">
        <v>54120</v>
      </c>
      <c r="F48">
        <v>37100</v>
      </c>
      <c r="G48">
        <v>12590</v>
      </c>
      <c r="H48">
        <v>152416</v>
      </c>
      <c r="I48">
        <v>45700</v>
      </c>
      <c r="J48">
        <v>35610</v>
      </c>
      <c r="K48">
        <v>24330</v>
      </c>
      <c r="L48">
        <v>74828</v>
      </c>
      <c r="M48">
        <v>34040</v>
      </c>
      <c r="N48">
        <v>38000</v>
      </c>
      <c r="O48">
        <v>50724</v>
      </c>
      <c r="P48">
        <v>55451</v>
      </c>
      <c r="Q48">
        <v>70652</v>
      </c>
      <c r="R48">
        <v>38700</v>
      </c>
      <c r="S48">
        <v>39440</v>
      </c>
      <c r="T48">
        <v>31900</v>
      </c>
      <c r="U48">
        <v>44190</v>
      </c>
      <c r="V48">
        <v>110200</v>
      </c>
      <c r="W48">
        <v>104530</v>
      </c>
      <c r="X48">
        <v>27295</v>
      </c>
      <c r="Y48">
        <v>20400</v>
      </c>
      <c r="Z48">
        <v>25950</v>
      </c>
      <c r="AA48">
        <v>11165</v>
      </c>
      <c r="AB48">
        <v>24510</v>
      </c>
      <c r="AC48">
        <v>331950</v>
      </c>
      <c r="AD48">
        <v>20175</v>
      </c>
      <c r="AE48">
        <v>500000</v>
      </c>
      <c r="AF48">
        <v>42150</v>
      </c>
      <c r="AG48">
        <v>138000</v>
      </c>
      <c r="AH48">
        <v>44930</v>
      </c>
      <c r="AI48">
        <v>49625</v>
      </c>
      <c r="AJ48">
        <v>41900</v>
      </c>
      <c r="AK48">
        <v>74650</v>
      </c>
      <c r="AL48">
        <v>80821</v>
      </c>
      <c r="AM48">
        <v>49300</v>
      </c>
      <c r="AN48">
        <v>37640</v>
      </c>
      <c r="AO48">
        <v>67145</v>
      </c>
      <c r="AP48">
        <v>71999</v>
      </c>
      <c r="AQ48">
        <v>126990</v>
      </c>
      <c r="AR48">
        <v>116990</v>
      </c>
      <c r="AS48">
        <v>62145</v>
      </c>
      <c r="AT48">
        <v>41570</v>
      </c>
      <c r="AU48">
        <v>323918</v>
      </c>
      <c r="AV48">
        <v>70700</v>
      </c>
      <c r="AW48">
        <v>39140</v>
      </c>
      <c r="AX48">
        <v>47390</v>
      </c>
      <c r="AY48">
        <v>26290</v>
      </c>
      <c r="AZ48">
        <v>16950</v>
      </c>
      <c r="BA48">
        <v>19075</v>
      </c>
      <c r="BB48">
        <v>40650</v>
      </c>
      <c r="BC48">
        <v>166000</v>
      </c>
      <c r="BD48">
        <v>118000</v>
      </c>
      <c r="BE48">
        <v>103691</v>
      </c>
      <c r="BF48">
        <v>201997</v>
      </c>
      <c r="BG48">
        <v>37480</v>
      </c>
      <c r="BH48">
        <v>34355</v>
      </c>
      <c r="BI48">
        <v>194893</v>
      </c>
      <c r="BJ48">
        <v>6950</v>
      </c>
      <c r="BK48">
        <v>53500</v>
      </c>
      <c r="BL48">
        <v>89600</v>
      </c>
      <c r="BM48">
        <v>65240</v>
      </c>
      <c r="BN48">
        <v>93800</v>
      </c>
      <c r="BO48">
        <v>38790</v>
      </c>
    </row>
    <row r="49" spans="1:67">
      <c r="A49" t="s">
        <v>1</v>
      </c>
      <c r="B49" t="s">
        <v>90</v>
      </c>
      <c r="D49">
        <v>123</v>
      </c>
      <c r="E49">
        <v>0</v>
      </c>
      <c r="F49">
        <v>0</v>
      </c>
      <c r="G49">
        <v>115</v>
      </c>
      <c r="H49">
        <v>290</v>
      </c>
      <c r="I49">
        <v>135</v>
      </c>
      <c r="J49">
        <v>136</v>
      </c>
      <c r="K49">
        <v>119</v>
      </c>
      <c r="L49">
        <v>205</v>
      </c>
      <c r="M49">
        <v>0</v>
      </c>
      <c r="N49">
        <v>0</v>
      </c>
      <c r="O49">
        <v>109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107</v>
      </c>
      <c r="Z49">
        <v>0</v>
      </c>
      <c r="AA49">
        <v>93</v>
      </c>
      <c r="AB49">
        <v>0</v>
      </c>
      <c r="AC49">
        <v>333</v>
      </c>
      <c r="AD49">
        <v>108</v>
      </c>
      <c r="AE49">
        <v>350</v>
      </c>
      <c r="AF49">
        <v>13</v>
      </c>
      <c r="AG49">
        <v>42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342</v>
      </c>
      <c r="AV49">
        <v>0</v>
      </c>
      <c r="AW49">
        <v>0</v>
      </c>
      <c r="AX49">
        <v>0</v>
      </c>
      <c r="AY49">
        <v>140</v>
      </c>
      <c r="AZ49">
        <v>111</v>
      </c>
      <c r="BA49">
        <v>103</v>
      </c>
      <c r="BB49">
        <v>22</v>
      </c>
      <c r="BC49">
        <v>287</v>
      </c>
      <c r="BD49">
        <v>223</v>
      </c>
      <c r="BE49">
        <v>166</v>
      </c>
      <c r="BF49">
        <v>320</v>
      </c>
      <c r="BG49">
        <v>210</v>
      </c>
      <c r="BH49">
        <v>208</v>
      </c>
      <c r="BI49">
        <v>0</v>
      </c>
      <c r="BJ49">
        <v>0</v>
      </c>
      <c r="BK49">
        <v>156</v>
      </c>
      <c r="BL49">
        <v>225</v>
      </c>
      <c r="BM49">
        <v>0</v>
      </c>
      <c r="BN49">
        <v>234</v>
      </c>
      <c r="BO49">
        <v>0</v>
      </c>
    </row>
    <row r="50" spans="1:67">
      <c r="A50" t="s">
        <v>149</v>
      </c>
      <c r="B50" t="s">
        <v>150</v>
      </c>
      <c r="D50">
        <v>0</v>
      </c>
      <c r="E50">
        <v>19.399999999999999</v>
      </c>
      <c r="F50">
        <v>15.2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15.6</v>
      </c>
      <c r="N50">
        <v>17.2</v>
      </c>
      <c r="O50">
        <v>0</v>
      </c>
      <c r="P50">
        <v>15.6</v>
      </c>
      <c r="Q50">
        <v>21.5</v>
      </c>
      <c r="R50">
        <v>15.8</v>
      </c>
      <c r="S50">
        <v>15.3</v>
      </c>
      <c r="T50">
        <v>15.8</v>
      </c>
      <c r="U50">
        <v>15.7</v>
      </c>
      <c r="V50">
        <v>20.5</v>
      </c>
      <c r="W50">
        <v>26.6</v>
      </c>
      <c r="X50">
        <v>14.4</v>
      </c>
      <c r="Y50">
        <v>0</v>
      </c>
      <c r="Z50">
        <v>18</v>
      </c>
      <c r="AA50">
        <v>0</v>
      </c>
      <c r="AB50">
        <v>17.5</v>
      </c>
      <c r="AC50">
        <v>0</v>
      </c>
      <c r="AD50">
        <v>0</v>
      </c>
      <c r="AE50">
        <v>0</v>
      </c>
      <c r="AF50">
        <v>11.5</v>
      </c>
      <c r="AG50">
        <v>14</v>
      </c>
      <c r="AH50">
        <v>15.4</v>
      </c>
      <c r="AI50">
        <v>17</v>
      </c>
      <c r="AJ50">
        <v>13.8</v>
      </c>
      <c r="AK50">
        <v>18.5</v>
      </c>
      <c r="AL50">
        <v>22</v>
      </c>
      <c r="AM50">
        <v>14.7</v>
      </c>
      <c r="AN50">
        <v>17.100000000000001</v>
      </c>
      <c r="AO50">
        <v>16.5</v>
      </c>
      <c r="AP50">
        <v>18.600000000000001</v>
      </c>
      <c r="AQ50">
        <v>20.5</v>
      </c>
      <c r="AR50">
        <v>21.1</v>
      </c>
      <c r="AS50">
        <v>16.899999999999999</v>
      </c>
      <c r="AT50">
        <v>15.8</v>
      </c>
      <c r="AU50">
        <v>0</v>
      </c>
      <c r="AV50">
        <v>18.7</v>
      </c>
      <c r="AW50">
        <v>17.899999999999999</v>
      </c>
      <c r="AX50">
        <v>16.2</v>
      </c>
      <c r="AY50">
        <v>0</v>
      </c>
      <c r="AZ50">
        <v>0</v>
      </c>
      <c r="BA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24.2</v>
      </c>
      <c r="BJ50">
        <v>5.8</v>
      </c>
      <c r="BK50">
        <v>0</v>
      </c>
      <c r="BL50">
        <v>0</v>
      </c>
      <c r="BM50">
        <v>23.8</v>
      </c>
      <c r="BN50">
        <v>0</v>
      </c>
      <c r="BO50">
        <v>17.7</v>
      </c>
    </row>
    <row r="51" spans="1:67">
      <c r="A51" t="s">
        <v>107</v>
      </c>
      <c r="B51" s="11" t="s">
        <v>161</v>
      </c>
      <c r="C51" t="s">
        <v>95</v>
      </c>
      <c r="D51">
        <f t="shared" ref="D51:AI51" si="10">1.6*D47 + 0.295*D50</f>
        <v>8.48</v>
      </c>
      <c r="E51">
        <f t="shared" si="10"/>
        <v>5.722999999999999</v>
      </c>
      <c r="F51">
        <f t="shared" si="10"/>
        <v>4.484</v>
      </c>
      <c r="G51">
        <f t="shared" si="10"/>
        <v>7.8400000000000007</v>
      </c>
      <c r="H51">
        <f t="shared" si="10"/>
        <v>20.64</v>
      </c>
      <c r="I51">
        <f t="shared" si="10"/>
        <v>9.6000000000000014</v>
      </c>
      <c r="J51">
        <f t="shared" si="10"/>
        <v>8.32</v>
      </c>
      <c r="K51">
        <f t="shared" si="10"/>
        <v>8.32</v>
      </c>
      <c r="L51">
        <f t="shared" si="10"/>
        <v>14.4</v>
      </c>
      <c r="M51">
        <f t="shared" si="10"/>
        <v>4.6019999999999994</v>
      </c>
      <c r="N51">
        <f t="shared" si="10"/>
        <v>5.0739999999999998</v>
      </c>
      <c r="O51">
        <f t="shared" si="10"/>
        <v>6.7200000000000006</v>
      </c>
      <c r="P51">
        <f t="shared" si="10"/>
        <v>4.6019999999999994</v>
      </c>
      <c r="Q51">
        <f t="shared" si="10"/>
        <v>6.3424999999999994</v>
      </c>
      <c r="R51">
        <f t="shared" si="10"/>
        <v>4.6609999999999996</v>
      </c>
      <c r="S51">
        <f t="shared" si="10"/>
        <v>4.5134999999999996</v>
      </c>
      <c r="T51">
        <f t="shared" si="10"/>
        <v>4.6609999999999996</v>
      </c>
      <c r="U51">
        <f t="shared" si="10"/>
        <v>4.6315</v>
      </c>
      <c r="V51">
        <f t="shared" si="10"/>
        <v>6.0474999999999994</v>
      </c>
      <c r="W51">
        <f t="shared" si="10"/>
        <v>7.8470000000000004</v>
      </c>
      <c r="X51">
        <f t="shared" si="10"/>
        <v>4.2480000000000002</v>
      </c>
      <c r="Y51">
        <f t="shared" si="10"/>
        <v>7.5200000000000005</v>
      </c>
      <c r="Z51">
        <f t="shared" si="10"/>
        <v>5.31</v>
      </c>
      <c r="AA51">
        <f t="shared" si="10"/>
        <v>6.56</v>
      </c>
      <c r="AB51">
        <f t="shared" si="10"/>
        <v>5.1624999999999996</v>
      </c>
      <c r="AC51">
        <f t="shared" si="10"/>
        <v>23.36</v>
      </c>
      <c r="AD51">
        <f t="shared" si="10"/>
        <v>7.68</v>
      </c>
      <c r="AE51">
        <f t="shared" si="10"/>
        <v>23.840000000000003</v>
      </c>
      <c r="AF51">
        <f t="shared" si="10"/>
        <v>4.3524999999999991</v>
      </c>
      <c r="AG51">
        <f t="shared" si="10"/>
        <v>7.01</v>
      </c>
      <c r="AH51">
        <f t="shared" si="10"/>
        <v>4.5430000000000001</v>
      </c>
      <c r="AI51">
        <f t="shared" si="10"/>
        <v>5.0149999999999997</v>
      </c>
      <c r="AJ51">
        <f t="shared" ref="AJ51:BO51" si="11">1.6*AJ47 + 0.295*AJ50</f>
        <v>4.0709999999999997</v>
      </c>
      <c r="AK51">
        <f t="shared" si="11"/>
        <v>5.4574999999999996</v>
      </c>
      <c r="AL51">
        <f t="shared" si="11"/>
        <v>6.4899999999999993</v>
      </c>
      <c r="AM51">
        <f t="shared" si="11"/>
        <v>4.3364999999999991</v>
      </c>
      <c r="AN51">
        <f t="shared" si="11"/>
        <v>5.0445000000000002</v>
      </c>
      <c r="AO51">
        <f t="shared" si="11"/>
        <v>4.8674999999999997</v>
      </c>
      <c r="AP51">
        <f t="shared" si="11"/>
        <v>5.4870000000000001</v>
      </c>
      <c r="AQ51">
        <f t="shared" si="11"/>
        <v>6.0474999999999994</v>
      </c>
      <c r="AR51">
        <f t="shared" si="11"/>
        <v>6.2244999999999999</v>
      </c>
      <c r="AS51">
        <f t="shared" si="11"/>
        <v>4.9854999999999992</v>
      </c>
      <c r="AT51">
        <f t="shared" si="11"/>
        <v>4.6609999999999996</v>
      </c>
      <c r="AU51">
        <f t="shared" si="11"/>
        <v>24</v>
      </c>
      <c r="AV51">
        <f t="shared" si="11"/>
        <v>5.5164999999999997</v>
      </c>
      <c r="AW51">
        <f t="shared" si="11"/>
        <v>5.2804999999999991</v>
      </c>
      <c r="AX51">
        <f t="shared" si="11"/>
        <v>4.7789999999999999</v>
      </c>
      <c r="AY51">
        <f t="shared" si="11"/>
        <v>9.76</v>
      </c>
      <c r="AZ51">
        <f t="shared" si="11"/>
        <v>7.8400000000000007</v>
      </c>
      <c r="BA51">
        <f t="shared" si="11"/>
        <v>7.2</v>
      </c>
      <c r="BB51">
        <f t="shared" si="11"/>
        <v>1.6</v>
      </c>
      <c r="BC51">
        <f t="shared" si="11"/>
        <v>20.16</v>
      </c>
      <c r="BD51">
        <f t="shared" si="11"/>
        <v>15.36</v>
      </c>
      <c r="BE51">
        <f t="shared" si="11"/>
        <v>11.68</v>
      </c>
      <c r="BF51">
        <f t="shared" si="11"/>
        <v>22.400000000000002</v>
      </c>
      <c r="BG51">
        <f t="shared" si="11"/>
        <v>14.719999999999999</v>
      </c>
      <c r="BH51">
        <f t="shared" si="11"/>
        <v>14.56</v>
      </c>
      <c r="BI51">
        <f t="shared" si="11"/>
        <v>7.1389999999999993</v>
      </c>
      <c r="BJ51">
        <f t="shared" si="11"/>
        <v>1.7109999999999999</v>
      </c>
      <c r="BK51">
        <f t="shared" si="11"/>
        <v>10.88</v>
      </c>
      <c r="BL51">
        <f t="shared" si="11"/>
        <v>15.040000000000001</v>
      </c>
      <c r="BM51">
        <f t="shared" si="11"/>
        <v>7.0209999999999999</v>
      </c>
      <c r="BN51">
        <f t="shared" si="11"/>
        <v>15.680000000000001</v>
      </c>
      <c r="BO51">
        <f t="shared" si="11"/>
        <v>5.2214999999999998</v>
      </c>
    </row>
    <row r="54" spans="1:67" s="14" customFormat="1">
      <c r="A54" s="13" t="s">
        <v>157</v>
      </c>
      <c r="D54" s="15" t="s">
        <v>179</v>
      </c>
      <c r="E54" s="14" t="s">
        <v>315</v>
      </c>
      <c r="F54" s="14" t="s">
        <v>289</v>
      </c>
      <c r="G54" s="15" t="s">
        <v>180</v>
      </c>
      <c r="H54" s="15" t="s">
        <v>200</v>
      </c>
      <c r="I54" s="15" t="s">
        <v>183</v>
      </c>
      <c r="J54" s="15" t="s">
        <v>188</v>
      </c>
      <c r="K54" s="15" t="s">
        <v>190</v>
      </c>
      <c r="L54" s="15" t="s">
        <v>191</v>
      </c>
      <c r="M54" s="14" t="s">
        <v>306</v>
      </c>
      <c r="N54" s="14" t="s">
        <v>243</v>
      </c>
      <c r="O54" s="15" t="s">
        <v>184</v>
      </c>
      <c r="P54" s="14" t="s">
        <v>277</v>
      </c>
      <c r="Q54" s="14" t="s">
        <v>284</v>
      </c>
      <c r="R54" s="14" t="s">
        <v>310</v>
      </c>
      <c r="S54" s="14" t="s">
        <v>238</v>
      </c>
      <c r="T54" s="14" t="s">
        <v>374</v>
      </c>
      <c r="U54" s="14" t="s">
        <v>267</v>
      </c>
      <c r="V54" s="15" t="s">
        <v>222</v>
      </c>
      <c r="W54" s="15" t="s">
        <v>221</v>
      </c>
      <c r="X54" s="14" t="s">
        <v>370</v>
      </c>
      <c r="Y54" s="15" t="s">
        <v>181</v>
      </c>
      <c r="Z54" s="14" t="s">
        <v>327</v>
      </c>
      <c r="AA54" s="15" t="s">
        <v>172</v>
      </c>
      <c r="AB54" s="14" t="s">
        <v>331</v>
      </c>
      <c r="AC54" s="15" t="s">
        <v>199</v>
      </c>
      <c r="AD54" s="15" t="s">
        <v>178</v>
      </c>
      <c r="AE54" s="15" t="s">
        <v>203</v>
      </c>
      <c r="AF54" s="15" t="s">
        <v>204</v>
      </c>
      <c r="AG54" s="15" t="s">
        <v>186</v>
      </c>
      <c r="AH54" s="14" t="s">
        <v>363</v>
      </c>
      <c r="AI54" s="14" t="s">
        <v>366</v>
      </c>
      <c r="AJ54" s="14" t="s">
        <v>249</v>
      </c>
      <c r="AK54" s="15" t="s">
        <v>220</v>
      </c>
      <c r="AL54" s="14" t="s">
        <v>260</v>
      </c>
      <c r="AM54" s="14" t="s">
        <v>255</v>
      </c>
      <c r="AN54" s="14" t="s">
        <v>294</v>
      </c>
      <c r="AO54" s="14" t="s">
        <v>337</v>
      </c>
      <c r="AP54" s="15" t="s">
        <v>174</v>
      </c>
      <c r="AQ54" s="14" t="s">
        <v>341</v>
      </c>
      <c r="AR54" s="14" t="s">
        <v>353</v>
      </c>
      <c r="AS54" s="14" t="s">
        <v>349</v>
      </c>
      <c r="AT54" s="14" t="s">
        <v>299</v>
      </c>
      <c r="AU54" s="15" t="s">
        <v>197</v>
      </c>
      <c r="AV54" s="14" t="s">
        <v>237</v>
      </c>
      <c r="AW54" s="14" t="s">
        <v>272</v>
      </c>
      <c r="AX54" s="14" t="s">
        <v>265</v>
      </c>
      <c r="AY54" s="15" t="s">
        <v>182</v>
      </c>
      <c r="AZ54" s="15" t="s">
        <v>189</v>
      </c>
      <c r="BA54" s="15" t="s">
        <v>177</v>
      </c>
      <c r="BB54" s="15" t="s">
        <v>205</v>
      </c>
      <c r="BC54" s="15" t="s">
        <v>187</v>
      </c>
      <c r="BD54" s="15" t="s">
        <v>176</v>
      </c>
      <c r="BE54" s="15" t="s">
        <v>173</v>
      </c>
      <c r="BF54" s="15" t="s">
        <v>198</v>
      </c>
      <c r="BG54" s="15" t="s">
        <v>165</v>
      </c>
      <c r="BH54" s="15" t="s">
        <v>164</v>
      </c>
      <c r="BI54" s="14" t="s">
        <v>320</v>
      </c>
      <c r="BJ54" s="15" t="s">
        <v>169</v>
      </c>
      <c r="BK54" s="15" t="s">
        <v>185</v>
      </c>
      <c r="BL54" s="15" t="s">
        <v>175</v>
      </c>
      <c r="BM54" s="14" t="s">
        <v>358</v>
      </c>
      <c r="BN54" s="15" t="s">
        <v>192</v>
      </c>
      <c r="BO54" s="14" t="s">
        <v>324</v>
      </c>
    </row>
    <row r="55" spans="1:67">
      <c r="A55" t="s">
        <v>162</v>
      </c>
      <c r="B55">
        <v>5</v>
      </c>
    </row>
    <row r="56" spans="1:67">
      <c r="A56" t="s">
        <v>163</v>
      </c>
      <c r="B56">
        <v>15000</v>
      </c>
    </row>
    <row r="58" spans="1:67">
      <c r="A58" t="s">
        <v>166</v>
      </c>
      <c r="B58" t="s">
        <v>167</v>
      </c>
      <c r="C58">
        <v>45</v>
      </c>
      <c r="D58" t="s">
        <v>159</v>
      </c>
    </row>
    <row r="59" spans="1:67">
      <c r="B59" t="s">
        <v>168</v>
      </c>
      <c r="C59">
        <v>30</v>
      </c>
      <c r="D59" t="s">
        <v>159</v>
      </c>
      <c r="E59" t="s">
        <v>169</v>
      </c>
      <c r="BA59" t="s">
        <v>0</v>
      </c>
    </row>
    <row r="60" spans="1:67">
      <c r="B60" t="s">
        <v>170</v>
      </c>
      <c r="C60">
        <v>20</v>
      </c>
      <c r="D60" t="s">
        <v>159</v>
      </c>
      <c r="E60" t="s">
        <v>171</v>
      </c>
    </row>
    <row r="61" spans="1:67">
      <c r="A61" t="s">
        <v>193</v>
      </c>
      <c r="B61" t="s">
        <v>196</v>
      </c>
      <c r="C61">
        <f>630/586*BF44</f>
        <v>454.76109215017067</v>
      </c>
      <c r="E61" t="s">
        <v>195</v>
      </c>
    </row>
    <row r="62" spans="1:67">
      <c r="B62" t="s">
        <v>170</v>
      </c>
      <c r="C62">
        <f>AU48/BF48*BF45</f>
        <v>392.87667638628295</v>
      </c>
      <c r="E62" t="s">
        <v>195</v>
      </c>
    </row>
    <row r="63" spans="1:67">
      <c r="A63" t="s">
        <v>194</v>
      </c>
      <c r="B63" t="s">
        <v>196</v>
      </c>
      <c r="C63">
        <f>596/586*BF44</f>
        <v>430.21843003412971</v>
      </c>
      <c r="E63" t="s">
        <v>195</v>
      </c>
    </row>
    <row r="64" spans="1:67">
      <c r="B64" t="s">
        <v>170</v>
      </c>
      <c r="C64">
        <f>AC48/BF48*BF45</f>
        <v>402.61860324658284</v>
      </c>
      <c r="E64" t="s">
        <v>195</v>
      </c>
    </row>
    <row r="65" spans="1:5">
      <c r="A65" t="s">
        <v>46</v>
      </c>
      <c r="B65" t="s">
        <v>196</v>
      </c>
      <c r="C65">
        <f>600/586*BF44</f>
        <v>433.10580204778154</v>
      </c>
      <c r="E65" t="s">
        <v>201</v>
      </c>
    </row>
    <row r="66" spans="1:5">
      <c r="B66" t="s">
        <v>170</v>
      </c>
      <c r="C66">
        <v>500</v>
      </c>
      <c r="E66" t="s">
        <v>202</v>
      </c>
    </row>
  </sheetData>
  <phoneticPr fontId="7" type="noConversion"/>
  <conditionalFormatting sqref="D14:BO1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BH54" r:id="rId1" location="kosten" xr:uid="{6E7FBEB4-842C-461A-A673-D5C197A96C92}"/>
    <hyperlink ref="BG54" r:id="rId2" location="kosten" xr:uid="{65D80610-766E-488D-B794-1B650A1E496C}"/>
    <hyperlink ref="H54" r:id="rId3" location="kosten" xr:uid="{B0776495-00C3-4E5A-BBF1-BD74940D0265}"/>
    <hyperlink ref="BJ54" r:id="rId4" xr:uid="{7A8AA538-E94A-4E00-8541-685248C7407A}"/>
    <hyperlink ref="AA54" r:id="rId5" location="kosten" xr:uid="{78BDFBC7-2439-48D2-AE49-1659785D16EF}"/>
    <hyperlink ref="BE54" r:id="rId6" location="kosten" xr:uid="{F3931AB2-4706-40C7-A077-B437512D5E80}"/>
    <hyperlink ref="AP54" r:id="rId7" location="kosten" xr:uid="{F096DD3E-45D8-47C1-A962-2B6D2C2164B3}"/>
    <hyperlink ref="BL54" r:id="rId8" location="kosten" xr:uid="{28222010-1CE1-4F28-B252-9909FA6B8BF8}"/>
    <hyperlink ref="BD54" r:id="rId9" location="kosten" xr:uid="{7E1A1A41-162D-4707-82F0-CADCB5EAF2D3}"/>
    <hyperlink ref="BA54" r:id="rId10" location="kosten" xr:uid="{31B34AE0-9463-492C-9782-73115C940495}"/>
    <hyperlink ref="AD54" r:id="rId11" location="kosten" xr:uid="{E8C58358-849B-4223-B9A6-2B9F486956FE}"/>
    <hyperlink ref="D54" r:id="rId12" location="kosten" xr:uid="{3047AC7E-3847-404C-A11E-95BC088588B0}"/>
    <hyperlink ref="AE54" r:id="rId13" xr:uid="{C01C3499-72BD-46E0-BEFA-CC4EEB6E381E}"/>
    <hyperlink ref="G54" r:id="rId14" location="kosten" xr:uid="{0439FBA5-B553-4083-8E2F-95AB477CFDB7}"/>
    <hyperlink ref="Y54" r:id="rId15" location="kosten" xr:uid="{6BFAEF32-E0A4-4426-8254-F10223A881D5}"/>
    <hyperlink ref="AY54" r:id="rId16" location="kosten" xr:uid="{6DDFB341-0D55-4FBB-B0F2-DBA979E8A6CF}"/>
    <hyperlink ref="I54" r:id="rId17" location="kosten" xr:uid="{09EA6BBB-746E-42A0-883C-077CEB808EA0}"/>
    <hyperlink ref="O54" r:id="rId18" location="kosten" xr:uid="{F447A949-3DD8-4F72-9D7B-EF5092827B05}"/>
    <hyperlink ref="BK54" r:id="rId19" location="kosten" xr:uid="{03B95E88-A3E1-482B-BD73-6300AA06728E}"/>
    <hyperlink ref="AG54" r:id="rId20" location="kosten" xr:uid="{451A8F6F-05BE-4F97-8E76-01AE7E3BDC3A}"/>
    <hyperlink ref="BC54" r:id="rId21" location="kosten" xr:uid="{D6387B1F-EA49-491A-A8E4-9BF728127543}"/>
    <hyperlink ref="J54" r:id="rId22" location="kosten" xr:uid="{43070AA6-B9FF-4FE3-B5B4-82F7BE21B3C3}"/>
    <hyperlink ref="AZ54" r:id="rId23" location="kosten" xr:uid="{BB8145DF-232A-4AD9-B47C-945ECE8B39B7}"/>
    <hyperlink ref="K54" r:id="rId24" location="kosten" xr:uid="{2E5DBA90-13CA-402D-93A3-6DA829969460}"/>
    <hyperlink ref="L54" r:id="rId25" location="kosten" xr:uid="{2978F12D-E422-48F1-9AE4-6DAA67B62399}"/>
    <hyperlink ref="BN54" r:id="rId26" location="kosten" xr:uid="{34F133C1-C190-4775-8F8A-DC66047D9640}"/>
    <hyperlink ref="AU54" r:id="rId27" location="allgemeine-daten" xr:uid="{B0D2E20D-E2CB-47B6-AE6E-C65D9CB18854}"/>
    <hyperlink ref="AC54" r:id="rId28" location="allgemeine-daten" xr:uid="{F49DA2A8-EBFD-4A05-9868-FE3FE41A8FDD}"/>
    <hyperlink ref="BF54" r:id="rId29" location="kosten" xr:uid="{E7615B2A-0F6A-4935-8A51-9FFB3E185294}"/>
    <hyperlink ref="AF54" r:id="rId30" location="kosten" xr:uid="{123355E5-DE94-447B-BF94-5E498763097B}"/>
    <hyperlink ref="BB54" r:id="rId31" location="kosten" xr:uid="{F6F61B0D-9BE3-4843-8016-66386B19906F}"/>
    <hyperlink ref="AK54" r:id="rId32" location="kosten" xr:uid="{8F4A765E-DE80-42FC-B980-D3D41ED9A3FF}"/>
    <hyperlink ref="W54" r:id="rId33" location="kosten" xr:uid="{3DA367EA-BA13-4E1D-92FA-349F4D8D0C7A}"/>
    <hyperlink ref="V54" r:id="rId34" location="kosten" xr:uid="{9DCF55AA-19E5-4054-94C7-4B21F1475BFD}"/>
  </hyperlinks>
  <pageMargins left="0.7" right="0.7" top="0.78740157499999996" bottom="0.78740157499999996" header="0.3" footer="0.3"/>
  <pageSetup paperSize="9" orientation="portrait" r:id="rId3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1F74D-B95D-4FBA-BFDF-8F61C59CDEA1}">
  <dimension ref="A1:BF40"/>
  <sheetViews>
    <sheetView tabSelected="1" workbookViewId="0">
      <selection activeCell="B1" sqref="B1"/>
    </sheetView>
  </sheetViews>
  <sheetFormatPr baseColWidth="10" defaultRowHeight="15"/>
  <cols>
    <col min="1" max="1" width="17.28515625" bestFit="1" customWidth="1"/>
  </cols>
  <sheetData>
    <row r="1" spans="1:58">
      <c r="A1" t="s">
        <v>151</v>
      </c>
      <c r="BB1" s="9"/>
      <c r="BF1" s="9"/>
    </row>
    <row r="2" spans="1:58">
      <c r="A2" t="s">
        <v>152</v>
      </c>
    </row>
    <row r="3" spans="1:58">
      <c r="A3" s="3"/>
    </row>
    <row r="4" spans="1:58">
      <c r="A4" s="3"/>
    </row>
    <row r="5" spans="1:58">
      <c r="A5" s="5" t="s">
        <v>96</v>
      </c>
    </row>
    <row r="6" spans="1:58">
      <c r="A6" s="4" t="s">
        <v>103</v>
      </c>
    </row>
    <row r="7" spans="1:58">
      <c r="A7" s="4" t="s">
        <v>104</v>
      </c>
    </row>
    <row r="8" spans="1:58">
      <c r="A8" s="4" t="s">
        <v>122</v>
      </c>
    </row>
    <row r="9" spans="1:58">
      <c r="A9" s="4" t="s">
        <v>155</v>
      </c>
    </row>
    <row r="10" spans="1:58">
      <c r="A10" s="4" t="s">
        <v>105</v>
      </c>
    </row>
    <row r="11" spans="1:58">
      <c r="A11" s="3"/>
    </row>
    <row r="12" spans="1:58">
      <c r="A12" s="6" t="s">
        <v>97</v>
      </c>
    </row>
    <row r="13" spans="1:58">
      <c r="A13" s="4" t="s">
        <v>106</v>
      </c>
    </row>
    <row r="14" spans="1:58">
      <c r="A14" s="4" t="s">
        <v>206</v>
      </c>
    </row>
    <row r="15" spans="1:58">
      <c r="A15" s="4" t="s">
        <v>107</v>
      </c>
    </row>
    <row r="16" spans="1:58">
      <c r="A16" s="3"/>
    </row>
    <row r="17" spans="1:1">
      <c r="A17" s="6" t="s">
        <v>98</v>
      </c>
    </row>
    <row r="18" spans="1:1">
      <c r="A18" s="4" t="s">
        <v>108</v>
      </c>
    </row>
    <row r="19" spans="1:1">
      <c r="A19" s="4" t="s">
        <v>109</v>
      </c>
    </row>
    <row r="20" spans="1:1">
      <c r="A20" s="4" t="s">
        <v>110</v>
      </c>
    </row>
    <row r="21" spans="1:1">
      <c r="A21" s="4" t="s">
        <v>111</v>
      </c>
    </row>
    <row r="22" spans="1:1">
      <c r="A22" s="3"/>
    </row>
    <row r="23" spans="1:1">
      <c r="A23" s="6" t="s">
        <v>99</v>
      </c>
    </row>
    <row r="24" spans="1:1">
      <c r="A24" s="4" t="s">
        <v>112</v>
      </c>
    </row>
    <row r="25" spans="1:1">
      <c r="A25" s="4" t="s">
        <v>113</v>
      </c>
    </row>
    <row r="26" spans="1:1">
      <c r="A26" s="4" t="s">
        <v>114</v>
      </c>
    </row>
    <row r="27" spans="1:1">
      <c r="A27" s="4" t="s">
        <v>115</v>
      </c>
    </row>
    <row r="28" spans="1:1">
      <c r="A28" s="3"/>
    </row>
    <row r="29" spans="1:1">
      <c r="A29" s="6" t="s">
        <v>101</v>
      </c>
    </row>
    <row r="30" spans="1:1">
      <c r="A30" s="4" t="s">
        <v>117</v>
      </c>
    </row>
    <row r="31" spans="1:1">
      <c r="A31" s="4" t="s">
        <v>118</v>
      </c>
    </row>
    <row r="32" spans="1:1">
      <c r="A32" s="4" t="s">
        <v>119</v>
      </c>
    </row>
    <row r="33" spans="1:1">
      <c r="A33" s="4" t="s">
        <v>120</v>
      </c>
    </row>
    <row r="34" spans="1:1">
      <c r="A34" s="4" t="s">
        <v>156</v>
      </c>
    </row>
    <row r="35" spans="1:1">
      <c r="A35" s="4" t="s">
        <v>121</v>
      </c>
    </row>
    <row r="36" spans="1:1">
      <c r="A36" s="3"/>
    </row>
    <row r="37" spans="1:1">
      <c r="A37" s="6" t="s">
        <v>100</v>
      </c>
    </row>
    <row r="38" spans="1:1">
      <c r="A38" s="4" t="s">
        <v>117</v>
      </c>
    </row>
    <row r="39" spans="1:1">
      <c r="A39" s="4" t="s">
        <v>108</v>
      </c>
    </row>
    <row r="40" spans="1:1">
      <c r="A40" s="4" t="s">
        <v>110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Vehicle Data</vt:lpstr>
      <vt:lpstr>Properties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</dc:creator>
  <cp:lastModifiedBy>Philipp Hafemann</cp:lastModifiedBy>
  <dcterms:created xsi:type="dcterms:W3CDTF">2018-06-28T11:43:26Z</dcterms:created>
  <dcterms:modified xsi:type="dcterms:W3CDTF">2023-11-13T09:23:17Z</dcterms:modified>
</cp:coreProperties>
</file>