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2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drawings/drawing3.xml" ContentType="application/vnd.openxmlformats-officedocument.drawing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drawings/drawing4.xml" ContentType="application/vnd.openxmlformats-officedocument.drawing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charts/chart14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charts/chart15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xl/drawings/drawing5.xml" ContentType="application/vnd.openxmlformats-officedocument.drawing+xml"/>
  <Override PartName="/xl/comments1.xml" ContentType="application/vnd.openxmlformats-officedocument.spreadsheetml.comments+xml"/>
  <Override PartName="/xl/charts/chart16.xml" ContentType="application/vnd.openxmlformats-officedocument.drawingml.chart+xml"/>
  <Override PartName="/xl/charts/style16.xml" ContentType="application/vnd.ms-office.chartstyle+xml"/>
  <Override PartName="/xl/charts/colors16.xml" ContentType="application/vnd.ms-office.chartcolorstyle+xml"/>
  <Override PartName="/xl/charts/chart17.xml" ContentType="application/vnd.openxmlformats-officedocument.drawingml.chart+xml"/>
  <Override PartName="/xl/charts/style17.xml" ContentType="application/vnd.ms-office.chartstyle+xml"/>
  <Override PartName="/xl/charts/colors17.xml" ContentType="application/vnd.ms-office.chartcolorstyle+xml"/>
  <Override PartName="/xl/charts/chart18.xml" ContentType="application/vnd.openxmlformats-officedocument.drawingml.chart+xml"/>
  <Override PartName="/xl/charts/style18.xml" ContentType="application/vnd.ms-office.chartstyle+xml"/>
  <Override PartName="/xl/charts/colors18.xml" ContentType="application/vnd.ms-office.chartcolorstyle+xml"/>
  <Override PartName="/xl/charts/chart19.xml" ContentType="application/vnd.openxmlformats-officedocument.drawingml.chart+xml"/>
  <Override PartName="/xl/charts/style19.xml" ContentType="application/vnd.ms-office.chartstyle+xml"/>
  <Override PartName="/xl/charts/colors19.xml" ContentType="application/vnd.ms-office.chartcolorstyle+xml"/>
  <Override PartName="/xl/charts/chart20.xml" ContentType="application/vnd.openxmlformats-officedocument.drawingml.chart+xml"/>
  <Override PartName="/xl/charts/style20.xml" ContentType="application/vnd.ms-office.chartstyle+xml"/>
  <Override PartName="/xl/charts/colors20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codeName="DieseArbeitsmappe" defaultThemeVersion="166925"/>
  <mc:AlternateContent xmlns:mc="http://schemas.openxmlformats.org/markup-compatibility/2006">
    <mc:Choice Requires="x15">
      <x15ac:absPath xmlns:x15ac="http://schemas.microsoft.com/office/spreadsheetml/2010/11/ac" url="C:\GlobalDrive\20_Battery_Git\models\battery\additional_tools\cost\cost estimation\"/>
    </mc:Choice>
  </mc:AlternateContent>
  <xr:revisionPtr revIDLastSave="0" documentId="13_ncr:1_{84F20D31-34F6-4BCC-9A99-512793EE7609}" xr6:coauthVersionLast="47" xr6:coauthVersionMax="47" xr10:uidLastSave="{00000000-0000-0000-0000-000000000000}"/>
  <bookViews>
    <workbookView xWindow="-120" yWindow="-120" windowWidth="38640" windowHeight="21120" tabRatio="782" xr2:uid="{00000000-000D-0000-FFFF-FFFF00000000}"/>
  </bookViews>
  <sheets>
    <sheet name="Überblick" sheetId="1" r:id="rId1"/>
    <sheet name="Batterieeinheit" sheetId="9" r:id="rId2"/>
    <sheet name="Fertigungskosten" sheetId="4" r:id="rId3"/>
    <sheet name="Materialkosten" sheetId="10" r:id="rId4"/>
    <sheet name="Antriebseinheit" sheetId="5" r:id="rId5"/>
  </sheets>
  <definedNames>
    <definedName name="_FilterDatabase" localSheetId="0" hidden="1">Überblick!$B$10:$D$17</definedName>
    <definedName name="Liste_Abschreibezeitraum">Überblick!$J$17:$J$19</definedName>
    <definedName name="Liste_Anzahl_Motoren">Überblick!$G$17:$G$21</definedName>
    <definedName name="Liste_Fahrzeugkategorien">Überblick!$G$11:$G$13</definedName>
    <definedName name="Liste_Motortyp">Überblick!$H$11:$H$12</definedName>
    <definedName name="Liste_Produktionsstandort">Überblick!$I$11:$I$13</definedName>
    <definedName name="Liste_Skalierungsfaktor">Überblick!$J$11:$J$12</definedName>
    <definedName name="Liste_Zellchemie">Überblick!$I$17:$I$25</definedName>
    <definedName name="Liste_Zelltyp">Überblick!$H$17:$H$19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9" i="10" l="1"/>
  <c r="K8" i="10"/>
  <c r="G8" i="10"/>
  <c r="D8" i="10"/>
  <c r="L8" i="10"/>
  <c r="I8" i="10"/>
  <c r="J8" i="10"/>
  <c r="T8" i="10"/>
  <c r="R8" i="10"/>
  <c r="P8" i="10"/>
  <c r="N8" i="10"/>
  <c r="H8" i="10"/>
  <c r="E8" i="10"/>
  <c r="F8" i="10" s="1"/>
  <c r="E9" i="10"/>
  <c r="K51" i="10"/>
  <c r="K50" i="10"/>
  <c r="K49" i="10"/>
  <c r="K48" i="10"/>
  <c r="K47" i="10"/>
  <c r="K44" i="10"/>
  <c r="K41" i="10"/>
  <c r="K40" i="10"/>
  <c r="K39" i="10"/>
  <c r="B42" i="4"/>
  <c r="P69" i="5"/>
  <c r="C55" i="5"/>
  <c r="C56" i="5"/>
  <c r="C57" i="5"/>
  <c r="C58" i="5"/>
  <c r="C59" i="5"/>
  <c r="C60" i="5"/>
  <c r="C54" i="5"/>
  <c r="C45" i="5"/>
  <c r="C46" i="5"/>
  <c r="C47" i="5"/>
  <c r="C48" i="5"/>
  <c r="C49" i="5"/>
  <c r="C50" i="5"/>
  <c r="C44" i="5"/>
  <c r="I38" i="5"/>
  <c r="D33" i="5"/>
  <c r="D34" i="5"/>
  <c r="D35" i="5"/>
  <c r="D36" i="5"/>
  <c r="D37" i="5"/>
  <c r="D38" i="5"/>
  <c r="D32" i="5"/>
  <c r="C33" i="5"/>
  <c r="C34" i="5"/>
  <c r="C35" i="5"/>
  <c r="C36" i="5"/>
  <c r="C37" i="5"/>
  <c r="C38" i="5"/>
  <c r="C32" i="5"/>
  <c r="C22" i="5"/>
  <c r="C23" i="5"/>
  <c r="C24" i="5"/>
  <c r="C25" i="5"/>
  <c r="C26" i="5"/>
  <c r="C27" i="5"/>
  <c r="C21" i="5"/>
  <c r="E63" i="5"/>
  <c r="C4" i="5"/>
  <c r="H5" i="5" s="1"/>
  <c r="H9" i="5" s="1"/>
  <c r="C3" i="5"/>
  <c r="M4" i="5" s="1"/>
  <c r="I47" i="9"/>
  <c r="I46" i="9"/>
  <c r="I45" i="9"/>
  <c r="I44" i="9"/>
  <c r="L94" i="10"/>
  <c r="I94" i="10"/>
  <c r="F94" i="10"/>
  <c r="C94" i="10"/>
  <c r="I61" i="5" l="1"/>
  <c r="L61" i="5" s="1"/>
  <c r="K6" i="5"/>
  <c r="K7" i="5"/>
  <c r="L5" i="5"/>
  <c r="L6" i="5"/>
  <c r="L7" i="5"/>
  <c r="M7" i="5" s="1"/>
  <c r="L8" i="5"/>
  <c r="M8" i="5" s="1"/>
  <c r="J5" i="5"/>
  <c r="J9" i="5" s="1"/>
  <c r="I5" i="5"/>
  <c r="I6" i="5"/>
  <c r="J6" i="5"/>
  <c r="J10" i="5" s="1"/>
  <c r="K5" i="5"/>
  <c r="K9" i="5" s="1"/>
  <c r="M10" i="5"/>
  <c r="C89" i="4"/>
  <c r="I91" i="4" s="1"/>
  <c r="B4" i="9"/>
  <c r="D25" i="4"/>
  <c r="D30" i="4" s="1"/>
  <c r="E30" i="4" s="1"/>
  <c r="M5" i="5" l="1"/>
  <c r="L21" i="5" s="1"/>
  <c r="M9" i="5"/>
  <c r="I59" i="5" s="1"/>
  <c r="L56" i="5" s="1"/>
  <c r="M6" i="5"/>
  <c r="E45" i="9"/>
  <c r="E46" i="9"/>
  <c r="E44" i="9"/>
  <c r="H44" i="9" s="1"/>
  <c r="E47" i="9"/>
  <c r="F62" i="9"/>
  <c r="E62" i="9" s="1"/>
  <c r="H58" i="9" s="1"/>
  <c r="D29" i="4"/>
  <c r="E29" i="4" s="1"/>
  <c r="I39" i="5" l="1"/>
  <c r="M65" i="5" s="1"/>
  <c r="L15" i="5" s="1"/>
  <c r="L44" i="5"/>
  <c r="L32" i="5"/>
  <c r="I24" i="5"/>
  <c r="L22" i="5" s="1"/>
  <c r="I47" i="5"/>
  <c r="L47" i="5" s="1"/>
  <c r="L55" i="5"/>
  <c r="L59" i="5" s="1"/>
  <c r="F47" i="9"/>
  <c r="H47" i="9"/>
  <c r="F46" i="9"/>
  <c r="H46" i="9"/>
  <c r="F45" i="9"/>
  <c r="H45" i="9"/>
  <c r="F44" i="9"/>
  <c r="E48" i="9"/>
  <c r="F32" i="9"/>
  <c r="E32" i="9" l="1"/>
  <c r="H25" i="9" s="1"/>
  <c r="J25" i="9"/>
  <c r="L34" i="5"/>
  <c r="K15" i="5"/>
  <c r="L35" i="5"/>
  <c r="L33" i="5"/>
  <c r="L24" i="5"/>
  <c r="L45" i="5"/>
  <c r="L23" i="5"/>
  <c r="L46" i="5"/>
  <c r="F48" i="9"/>
  <c r="F49" i="9" s="1"/>
  <c r="C79" i="1" l="1" a="1"/>
  <c r="C79" i="1" s="1"/>
  <c r="C41" i="1"/>
  <c r="L38" i="5"/>
  <c r="I15" i="5" s="1"/>
  <c r="L49" i="5"/>
  <c r="J15" i="5" s="1"/>
  <c r="L26" i="5"/>
  <c r="H15" i="5" s="1"/>
  <c r="E49" i="9"/>
  <c r="E50" i="9" s="1"/>
  <c r="C36" i="1" s="1"/>
  <c r="F50" i="9"/>
  <c r="D8" i="4"/>
  <c r="E8" i="4"/>
  <c r="J8" i="4" s="1"/>
  <c r="F8" i="4"/>
  <c r="G8" i="4"/>
  <c r="D9" i="4"/>
  <c r="E9" i="4"/>
  <c r="J9" i="4" s="1"/>
  <c r="F9" i="4"/>
  <c r="G9" i="4"/>
  <c r="D10" i="4"/>
  <c r="E10" i="4"/>
  <c r="J10" i="4" s="1"/>
  <c r="F10" i="4"/>
  <c r="G10" i="4"/>
  <c r="G7" i="4"/>
  <c r="F7" i="4"/>
  <c r="E7" i="4"/>
  <c r="J7" i="4" s="1"/>
  <c r="D7" i="4"/>
  <c r="D14" i="4"/>
  <c r="D13" i="4"/>
  <c r="E42" i="4"/>
  <c r="D77" i="4" s="1"/>
  <c r="D42" i="4"/>
  <c r="E70" i="4" s="1"/>
  <c r="C42" i="4"/>
  <c r="U51" i="10"/>
  <c r="S51" i="10"/>
  <c r="Q51" i="10"/>
  <c r="O51" i="10"/>
  <c r="M51" i="10"/>
  <c r="I51" i="10"/>
  <c r="G51" i="10"/>
  <c r="E51" i="10"/>
  <c r="U50" i="10"/>
  <c r="S50" i="10"/>
  <c r="Q50" i="10"/>
  <c r="O50" i="10"/>
  <c r="M50" i="10"/>
  <c r="I50" i="10"/>
  <c r="G50" i="10"/>
  <c r="E50" i="10"/>
  <c r="U49" i="10"/>
  <c r="S49" i="10"/>
  <c r="Q49" i="10"/>
  <c r="O49" i="10"/>
  <c r="M49" i="10"/>
  <c r="I49" i="10"/>
  <c r="G49" i="10"/>
  <c r="E49" i="10"/>
  <c r="U44" i="10"/>
  <c r="S44" i="10"/>
  <c r="Q44" i="10"/>
  <c r="O44" i="10"/>
  <c r="M44" i="10"/>
  <c r="I44" i="10"/>
  <c r="G44" i="10"/>
  <c r="E44" i="10"/>
  <c r="U41" i="10"/>
  <c r="S41" i="10"/>
  <c r="Q41" i="10"/>
  <c r="O41" i="10"/>
  <c r="M41" i="10"/>
  <c r="I41" i="10"/>
  <c r="G41" i="10"/>
  <c r="E41" i="10"/>
  <c r="U40" i="10"/>
  <c r="S40" i="10"/>
  <c r="Q40" i="10"/>
  <c r="O40" i="10"/>
  <c r="M40" i="10"/>
  <c r="I40" i="10"/>
  <c r="G40" i="10"/>
  <c r="E40" i="10"/>
  <c r="U39" i="10"/>
  <c r="S39" i="10"/>
  <c r="Q39" i="10"/>
  <c r="O39" i="10"/>
  <c r="M39" i="10"/>
  <c r="I39" i="10"/>
  <c r="G39" i="10"/>
  <c r="E39" i="10"/>
  <c r="J27" i="10"/>
  <c r="U43" i="10" s="1"/>
  <c r="J26" i="10"/>
  <c r="N78" i="10"/>
  <c r="O78" i="10" s="1"/>
  <c r="S43" i="10" l="1"/>
  <c r="K43" i="10"/>
  <c r="C39" i="1"/>
  <c r="C77" i="1"/>
  <c r="C38" i="1"/>
  <c r="C76" i="1"/>
  <c r="C40" i="1"/>
  <c r="C78" i="1"/>
  <c r="M15" i="5"/>
  <c r="C30" i="4"/>
  <c r="C29" i="4"/>
  <c r="F59" i="9"/>
  <c r="E59" i="9" s="1"/>
  <c r="F56" i="9"/>
  <c r="D69" i="4"/>
  <c r="D71" i="4"/>
  <c r="E71" i="4"/>
  <c r="D76" i="4"/>
  <c r="F29" i="9" s="1"/>
  <c r="E29" i="9" s="1"/>
  <c r="D75" i="4"/>
  <c r="F26" i="9" s="1"/>
  <c r="E26" i="9" s="1"/>
  <c r="D74" i="4"/>
  <c r="F23" i="9" s="1"/>
  <c r="C19" i="4"/>
  <c r="D19" i="4" s="1"/>
  <c r="E19" i="4" s="1"/>
  <c r="C20" i="4"/>
  <c r="D20" i="4" s="1"/>
  <c r="E20" i="4" s="1"/>
  <c r="C21" i="4"/>
  <c r="D21" i="4" s="1"/>
  <c r="E21" i="4" s="1"/>
  <c r="C18" i="4"/>
  <c r="E69" i="4"/>
  <c r="D68" i="4"/>
  <c r="D70" i="4"/>
  <c r="F30" i="9" s="1"/>
  <c r="E30" i="9" s="1"/>
  <c r="E68" i="4"/>
  <c r="M43" i="10"/>
  <c r="E43" i="10"/>
  <c r="G43" i="10"/>
  <c r="I43" i="10"/>
  <c r="O43" i="10"/>
  <c r="Q43" i="10"/>
  <c r="V36" i="10"/>
  <c r="S48" i="10"/>
  <c r="Q48" i="10"/>
  <c r="O48" i="10"/>
  <c r="M48" i="10"/>
  <c r="I48" i="10"/>
  <c r="G48" i="10"/>
  <c r="E48" i="10"/>
  <c r="U48" i="10"/>
  <c r="U47" i="10"/>
  <c r="S47" i="10"/>
  <c r="Q47" i="10"/>
  <c r="O47" i="10"/>
  <c r="M47" i="10"/>
  <c r="I47" i="10"/>
  <c r="G47" i="10"/>
  <c r="E47" i="10"/>
  <c r="D13" i="10"/>
  <c r="F13" i="10" s="1"/>
  <c r="Q13" i="10"/>
  <c r="G18" i="10"/>
  <c r="G20" i="10"/>
  <c r="K12" i="10"/>
  <c r="D12" i="10"/>
  <c r="J12" i="10" s="1"/>
  <c r="O11" i="10"/>
  <c r="M13" i="10"/>
  <c r="M11" i="10"/>
  <c r="E12" i="10"/>
  <c r="E11" i="10"/>
  <c r="D11" i="10"/>
  <c r="L11" i="10" s="1"/>
  <c r="J20" i="10" l="1"/>
  <c r="K38" i="10" s="1"/>
  <c r="W38" i="10" s="1"/>
  <c r="R13" i="10"/>
  <c r="E23" i="9"/>
  <c r="H23" i="9" s="1"/>
  <c r="J23" i="9"/>
  <c r="F58" i="9"/>
  <c r="E58" i="9" s="1"/>
  <c r="F55" i="9"/>
  <c r="F25" i="9"/>
  <c r="E25" i="9" s="1"/>
  <c r="F28" i="9"/>
  <c r="E28" i="9" s="1"/>
  <c r="H60" i="10"/>
  <c r="B86" i="10"/>
  <c r="F27" i="9"/>
  <c r="E27" i="9" s="1"/>
  <c r="E56" i="9"/>
  <c r="H56" i="9" s="1"/>
  <c r="F60" i="9"/>
  <c r="E60" i="9" s="1"/>
  <c r="F57" i="9"/>
  <c r="E57" i="9" s="1"/>
  <c r="D18" i="4"/>
  <c r="E18" i="4" s="1"/>
  <c r="F22" i="9" s="1"/>
  <c r="C22" i="4"/>
  <c r="F24" i="9"/>
  <c r="T11" i="10"/>
  <c r="R11" i="10"/>
  <c r="W45" i="10"/>
  <c r="O70" i="10"/>
  <c r="N70" i="10"/>
  <c r="W41" i="10"/>
  <c r="E69" i="10" s="1"/>
  <c r="W40" i="10"/>
  <c r="E61" i="10" s="1"/>
  <c r="W50" i="10"/>
  <c r="E66" i="10" s="1"/>
  <c r="V47" i="10"/>
  <c r="W43" i="10"/>
  <c r="V45" i="10"/>
  <c r="V44" i="10"/>
  <c r="V41" i="10"/>
  <c r="V40" i="10"/>
  <c r="W49" i="10"/>
  <c r="E67" i="10" s="1"/>
  <c r="V51" i="10"/>
  <c r="D13" i="9" s="1"/>
  <c r="W48" i="10"/>
  <c r="E64" i="10" s="1"/>
  <c r="V50" i="10"/>
  <c r="D10" i="9" s="1"/>
  <c r="W47" i="10"/>
  <c r="E65" i="10" s="1"/>
  <c r="W44" i="10"/>
  <c r="E63" i="10" s="1"/>
  <c r="V43" i="10"/>
  <c r="D6" i="9" s="1"/>
  <c r="W39" i="10"/>
  <c r="E60" i="10" s="1"/>
  <c r="V39" i="10"/>
  <c r="D9" i="9" s="1"/>
  <c r="W51" i="10"/>
  <c r="E68" i="10" s="1"/>
  <c r="V38" i="10"/>
  <c r="D5" i="9" s="1"/>
  <c r="V49" i="10"/>
  <c r="D12" i="9" s="1"/>
  <c r="V48" i="10"/>
  <c r="H11" i="10"/>
  <c r="H13" i="10"/>
  <c r="J13" i="10"/>
  <c r="F11" i="10"/>
  <c r="N11" i="10"/>
  <c r="T13" i="10"/>
  <c r="N13" i="10"/>
  <c r="P12" i="10"/>
  <c r="T12" i="10"/>
  <c r="H12" i="10"/>
  <c r="N12" i="10"/>
  <c r="F12" i="10"/>
  <c r="R12" i="10"/>
  <c r="P11" i="10"/>
  <c r="P13" i="10"/>
  <c r="J11" i="10"/>
  <c r="L13" i="10"/>
  <c r="L12" i="10"/>
  <c r="J22" i="9" l="1"/>
  <c r="E24" i="9"/>
  <c r="H24" i="9" s="1"/>
  <c r="J24" i="9"/>
  <c r="H57" i="9"/>
  <c r="J25" i="10"/>
  <c r="U38" i="10" s="1"/>
  <c r="C86" i="10"/>
  <c r="C62" i="10" s="1"/>
  <c r="E62" i="10" s="1"/>
  <c r="F62" i="10" s="1"/>
  <c r="F6" i="9" s="1"/>
  <c r="E6" i="9" s="1"/>
  <c r="D86" i="10"/>
  <c r="C59" i="10" s="1"/>
  <c r="E22" i="9"/>
  <c r="H22" i="9" s="1"/>
  <c r="F33" i="9"/>
  <c r="E55" i="9"/>
  <c r="F63" i="9"/>
  <c r="E63" i="9" s="1"/>
  <c r="H59" i="9" s="1"/>
  <c r="B54" i="9"/>
  <c r="B43" i="9"/>
  <c r="B21" i="9"/>
  <c r="F61" i="9"/>
  <c r="F64" i="9" s="1"/>
  <c r="F67" i="10"/>
  <c r="F12" i="9" s="1"/>
  <c r="E12" i="9" s="1"/>
  <c r="F66" i="10"/>
  <c r="F10" i="9" s="1"/>
  <c r="E10" i="9" s="1"/>
  <c r="F31" i="9"/>
  <c r="F34" i="9" s="1"/>
  <c r="J27" i="9" s="1"/>
  <c r="F60" i="10"/>
  <c r="F9" i="9" s="1"/>
  <c r="E9" i="9" s="1"/>
  <c r="J23" i="10"/>
  <c r="Q38" i="10" s="1"/>
  <c r="J24" i="10"/>
  <c r="S38" i="10" s="1"/>
  <c r="F65" i="10"/>
  <c r="F69" i="10"/>
  <c r="F8" i="9" s="1"/>
  <c r="E8" i="9" s="1"/>
  <c r="F64" i="10"/>
  <c r="F61" i="10"/>
  <c r="F63" i="10"/>
  <c r="F68" i="10"/>
  <c r="F13" i="9" s="1"/>
  <c r="D11" i="9"/>
  <c r="D7" i="9"/>
  <c r="D8" i="9"/>
  <c r="E33" i="9" l="1"/>
  <c r="H26" i="9" s="1"/>
  <c r="J26" i="9"/>
  <c r="F11" i="9"/>
  <c r="E11" i="9" s="1"/>
  <c r="E31" i="9"/>
  <c r="E61" i="9"/>
  <c r="H55" i="9"/>
  <c r="E34" i="9"/>
  <c r="H27" i="9" s="1"/>
  <c r="E64" i="9"/>
  <c r="F7" i="9"/>
  <c r="E7" i="9" s="1"/>
  <c r="E13" i="9"/>
  <c r="G9" i="10"/>
  <c r="I6" i="10"/>
  <c r="S10" i="10"/>
  <c r="I10" i="10"/>
  <c r="G10" i="10"/>
  <c r="E10" i="10"/>
  <c r="D10" i="10"/>
  <c r="R10" i="10" s="1"/>
  <c r="K9" i="10"/>
  <c r="D9" i="10"/>
  <c r="R9" i="10" s="1"/>
  <c r="K7" i="10"/>
  <c r="I7" i="10"/>
  <c r="G7" i="10"/>
  <c r="E7" i="10"/>
  <c r="D7" i="10"/>
  <c r="R7" i="10" s="1"/>
  <c r="K6" i="10"/>
  <c r="G6" i="10"/>
  <c r="E6" i="10"/>
  <c r="D6" i="10"/>
  <c r="R6" i="10" s="1"/>
  <c r="K5" i="10"/>
  <c r="I5" i="10"/>
  <c r="G5" i="10"/>
  <c r="E5" i="10"/>
  <c r="D5" i="10"/>
  <c r="R5" i="10" s="1"/>
  <c r="E52" i="4"/>
  <c r="E58" i="4" s="1"/>
  <c r="E62" i="4" s="1"/>
  <c r="E65" i="4" s="1"/>
  <c r="D52" i="4"/>
  <c r="D58" i="4" s="1"/>
  <c r="D62" i="4" s="1"/>
  <c r="D65" i="4" s="1"/>
  <c r="L7" i="10" l="1"/>
  <c r="E65" i="9"/>
  <c r="H60" i="9"/>
  <c r="E35" i="9"/>
  <c r="F65" i="9"/>
  <c r="F68" i="9" s="1"/>
  <c r="F35" i="9"/>
  <c r="L10" i="10"/>
  <c r="N10" i="10"/>
  <c r="P10" i="10"/>
  <c r="T7" i="10"/>
  <c r="P7" i="10"/>
  <c r="N7" i="10"/>
  <c r="H9" i="10"/>
  <c r="P9" i="10"/>
  <c r="N9" i="10"/>
  <c r="H6" i="10"/>
  <c r="P6" i="10"/>
  <c r="N6" i="10"/>
  <c r="N5" i="10"/>
  <c r="P5" i="10"/>
  <c r="F5" i="10"/>
  <c r="H10" i="10"/>
  <c r="J10" i="10"/>
  <c r="T10" i="10"/>
  <c r="F9" i="10"/>
  <c r="H5" i="10"/>
  <c r="J5" i="10"/>
  <c r="L5" i="10"/>
  <c r="J9" i="10"/>
  <c r="L9" i="10"/>
  <c r="T9" i="10"/>
  <c r="J6" i="10"/>
  <c r="L6" i="10"/>
  <c r="J7" i="10"/>
  <c r="F6" i="10"/>
  <c r="T6" i="10"/>
  <c r="F10" i="10"/>
  <c r="F7" i="10"/>
  <c r="H7" i="10"/>
  <c r="T5" i="10"/>
  <c r="C35" i="1" l="1"/>
  <c r="C74" i="1"/>
  <c r="E68" i="9"/>
  <c r="C75" i="1" s="1"/>
  <c r="C37" i="1"/>
  <c r="J17" i="10"/>
  <c r="E38" i="10" s="1"/>
  <c r="J18" i="10"/>
  <c r="G38" i="10" s="1"/>
  <c r="J22" i="10"/>
  <c r="O38" i="10" s="1"/>
  <c r="J21" i="10"/>
  <c r="M38" i="10" s="1"/>
  <c r="J19" i="10"/>
  <c r="I38" i="10" s="1"/>
  <c r="E59" i="10" l="1"/>
  <c r="E70" i="10" s="1"/>
  <c r="F59" i="10" l="1"/>
  <c r="F5" i="9" l="1"/>
  <c r="E5" i="9" s="1"/>
  <c r="E14" i="9" s="1"/>
  <c r="E15" i="9" s="1"/>
  <c r="E16" i="9" s="1"/>
  <c r="E17" i="9" s="1"/>
  <c r="C73" i="1" s="1"/>
  <c r="F70" i="10"/>
  <c r="F14" i="9"/>
  <c r="C34" i="1"/>
  <c r="C42" i="1" s="1"/>
  <c r="E38" i="9" l="1"/>
  <c r="F15" i="9"/>
  <c r="F16" i="9" s="1"/>
  <c r="F17" i="9" s="1"/>
  <c r="D73" i="9"/>
  <c r="J29" i="1" l="1"/>
  <c r="J27" i="1"/>
  <c r="F38" i="9"/>
  <c r="F73" i="9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peter sticht</author>
  </authors>
  <commentList>
    <comment ref="O8" authorId="0" shapeId="0" xr:uid="{55C1FFF8-32EC-47F4-B6AA-4AB9C7F14F09}">
      <text>
        <r>
          <rPr>
            <b/>
            <sz val="9"/>
            <color indexed="81"/>
            <rFont val="Segoe UI"/>
            <family val="2"/>
          </rPr>
          <t>einzelner Motor auf 1. Achse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<sst xmlns="http://schemas.openxmlformats.org/spreadsheetml/2006/main" count="677" uniqueCount="307">
  <si>
    <t>Input</t>
  </si>
  <si>
    <t>Antriebsleistung (kW)</t>
  </si>
  <si>
    <t>Batteriekapazität (kWh)</t>
  </si>
  <si>
    <t>Anzahl Motoren</t>
  </si>
  <si>
    <t>Motorentyp</t>
  </si>
  <si>
    <t>Zelltyp</t>
  </si>
  <si>
    <t>Zellchemie</t>
  </si>
  <si>
    <t>Kommentar</t>
  </si>
  <si>
    <t>pouch</t>
  </si>
  <si>
    <t>PSM</t>
  </si>
  <si>
    <t>ASM</t>
  </si>
  <si>
    <t>NCA</t>
  </si>
  <si>
    <t>LFP</t>
  </si>
  <si>
    <t>USA</t>
  </si>
  <si>
    <t>China</t>
  </si>
  <si>
    <t>bis 735 kW (1000 PS)</t>
  </si>
  <si>
    <t>Variable</t>
  </si>
  <si>
    <t>Dateninput</t>
  </si>
  <si>
    <t>Fahrzeugspezifisch</t>
  </si>
  <si>
    <t>Produktion</t>
  </si>
  <si>
    <t>2 (allrad)</t>
  </si>
  <si>
    <t>Zellebene</t>
  </si>
  <si>
    <t>Elektrolyt</t>
  </si>
  <si>
    <t>Separator</t>
  </si>
  <si>
    <t>Graphit</t>
  </si>
  <si>
    <t>Material</t>
  </si>
  <si>
    <t>LMO</t>
  </si>
  <si>
    <t>Energie</t>
  </si>
  <si>
    <t>Mixing</t>
  </si>
  <si>
    <t>Coating and drying</t>
  </si>
  <si>
    <t>Calandaring</t>
  </si>
  <si>
    <t>Slittting</t>
  </si>
  <si>
    <t>Vacuum drying</t>
  </si>
  <si>
    <t>Assembly</t>
  </si>
  <si>
    <t>Washing</t>
  </si>
  <si>
    <t>Formation</t>
  </si>
  <si>
    <t>Ageing</t>
  </si>
  <si>
    <t>Testing</t>
  </si>
  <si>
    <t>Handling</t>
  </si>
  <si>
    <t>Drying rooms</t>
  </si>
  <si>
    <t>Gas</t>
  </si>
  <si>
    <t>BMS</t>
  </si>
  <si>
    <t>Gehäuse</t>
  </si>
  <si>
    <t>Komponente</t>
  </si>
  <si>
    <t>Kosten (€/kWh)</t>
  </si>
  <si>
    <t>Materialeinzelkosten</t>
  </si>
  <si>
    <t>Kosten</t>
  </si>
  <si>
    <t>Materialgemeinkosten</t>
  </si>
  <si>
    <t>Elektrodenfertigung</t>
  </si>
  <si>
    <t>Zellassemblierung</t>
  </si>
  <si>
    <t>Kostenart</t>
  </si>
  <si>
    <t>Lohn</t>
  </si>
  <si>
    <t>Maschinen</t>
  </si>
  <si>
    <t>Fertigungseinzelkosten</t>
  </si>
  <si>
    <t>Fertigungsgemeinkosten</t>
  </si>
  <si>
    <t>Fertigungsabschnitt</t>
  </si>
  <si>
    <t>Zellkonditionierung</t>
  </si>
  <si>
    <t>Zwischensumme</t>
  </si>
  <si>
    <t>Materialgesamtkosten</t>
  </si>
  <si>
    <t>Gebäude</t>
  </si>
  <si>
    <t>Ausschuss</t>
  </si>
  <si>
    <t>Fertigungsgesamtkosten</t>
  </si>
  <si>
    <t>Herstellkosten</t>
  </si>
  <si>
    <t>Thermomanagement</t>
  </si>
  <si>
    <t>Modul- und Packebene</t>
  </si>
  <si>
    <t>Anzahl prod. Einheiten pro Jahr (Tsd)</t>
  </si>
  <si>
    <t>Na</t>
  </si>
  <si>
    <t>Modulproduktion</t>
  </si>
  <si>
    <t>Strom</t>
  </si>
  <si>
    <t>Energie &amp; Arbeit</t>
  </si>
  <si>
    <t>Aktivmaterial Anode</t>
  </si>
  <si>
    <t>Aktivmaterial Kathode</t>
  </si>
  <si>
    <t>Gemeinkosten- &amp; Finanzierungsfaktoren</t>
  </si>
  <si>
    <t>Modul&amp;Packebene</t>
  </si>
  <si>
    <t>Fertigung</t>
  </si>
  <si>
    <t>sonst. Gemeinkosten</t>
  </si>
  <si>
    <t>Finanzierung</t>
  </si>
  <si>
    <t>Herstellkosten (ohne Zellkosten)</t>
  </si>
  <si>
    <t>CAM</t>
  </si>
  <si>
    <t>Lithium [%]</t>
  </si>
  <si>
    <t>Cobalt [%]</t>
  </si>
  <si>
    <t>Nickel [%]</t>
  </si>
  <si>
    <t>Aluminum [%]</t>
  </si>
  <si>
    <t>Li</t>
  </si>
  <si>
    <t>Ni</t>
  </si>
  <si>
    <t>Mn</t>
  </si>
  <si>
    <t>Co</t>
  </si>
  <si>
    <t>O</t>
  </si>
  <si>
    <t>Al</t>
  </si>
  <si>
    <t>H</t>
  </si>
  <si>
    <t>C</t>
  </si>
  <si>
    <t>N</t>
  </si>
  <si>
    <t>NMC-111</t>
  </si>
  <si>
    <t>NMC-532</t>
  </si>
  <si>
    <t>NMC-622</t>
  </si>
  <si>
    <t>NMC-811</t>
  </si>
  <si>
    <t>Phosphor [%]</t>
  </si>
  <si>
    <t>P</t>
  </si>
  <si>
    <t>Fe</t>
  </si>
  <si>
    <t>Natrium</t>
  </si>
  <si>
    <t>Natrium [%]</t>
  </si>
  <si>
    <t>Element</t>
  </si>
  <si>
    <t>Binder</t>
  </si>
  <si>
    <t>Nickel</t>
  </si>
  <si>
    <t>Mangan</t>
  </si>
  <si>
    <t>Cobalt</t>
  </si>
  <si>
    <t>Aluminium</t>
  </si>
  <si>
    <t>Phosphor</t>
  </si>
  <si>
    <t>Eisen</t>
  </si>
  <si>
    <t>Hard Carbon</t>
  </si>
  <si>
    <t>Lithiumcarbonat Li2CO3</t>
  </si>
  <si>
    <t>€/kg</t>
  </si>
  <si>
    <t>Natriumcarbonat Na2CO3</t>
  </si>
  <si>
    <t>Basiskosten (€/ kg)</t>
  </si>
  <si>
    <t>Negative Elektrode</t>
  </si>
  <si>
    <t>Positive Electrode</t>
  </si>
  <si>
    <t>Sonstiges</t>
  </si>
  <si>
    <t>Kosten €/kg</t>
  </si>
  <si>
    <t>Kupfer</t>
  </si>
  <si>
    <t>Carbon black</t>
  </si>
  <si>
    <t>NMP</t>
  </si>
  <si>
    <t>PVDF</t>
  </si>
  <si>
    <t>Water</t>
  </si>
  <si>
    <t>PE</t>
  </si>
  <si>
    <r>
      <t>EC mit NaPF</t>
    </r>
    <r>
      <rPr>
        <vertAlign val="subscript"/>
        <sz val="11"/>
        <color theme="1"/>
        <rFont val="Calibri"/>
        <family val="2"/>
        <scheme val="minor"/>
      </rPr>
      <t>6</t>
    </r>
  </si>
  <si>
    <r>
      <t>EC mit LiPF</t>
    </r>
    <r>
      <rPr>
        <vertAlign val="subscript"/>
        <sz val="11"/>
        <color theme="1"/>
        <rFont val="Calibri"/>
        <family val="2"/>
        <scheme val="minor"/>
      </rPr>
      <t>6</t>
    </r>
  </si>
  <si>
    <t>CMC</t>
  </si>
  <si>
    <t>Binder: PVDF</t>
  </si>
  <si>
    <t>Binder: CMC</t>
  </si>
  <si>
    <t>Kathodenfolie</t>
  </si>
  <si>
    <t>Electrolyt</t>
  </si>
  <si>
    <t>Gehhäuse</t>
  </si>
  <si>
    <t>Anodefolie</t>
  </si>
  <si>
    <t>Choosen chemistry</t>
  </si>
  <si>
    <t>Kosten €/ kg</t>
  </si>
  <si>
    <t>Natriumhexacyanidoferrat</t>
  </si>
  <si>
    <t>Additiv Kathode</t>
  </si>
  <si>
    <t>€/ kWh</t>
  </si>
  <si>
    <t>Gemittelte Massenanteile</t>
  </si>
  <si>
    <t>Binder Solvent (Kathode / Anode)</t>
  </si>
  <si>
    <t>Binder (Kathode / Anode)</t>
  </si>
  <si>
    <t>Kollektor (Kathode / Anode)</t>
  </si>
  <si>
    <t>Zellformat</t>
  </si>
  <si>
    <t>Faktor</t>
  </si>
  <si>
    <t>Choosen format</t>
  </si>
  <si>
    <t>PP/ Aluminium</t>
  </si>
  <si>
    <t>Komponentenkosten</t>
  </si>
  <si>
    <t>Berechnung Zellkosten</t>
  </si>
  <si>
    <r>
      <t>Aluminum [g mol</t>
    </r>
    <r>
      <rPr>
        <b/>
        <vertAlign val="superscript"/>
        <sz val="12"/>
        <color theme="1"/>
        <rFont val="Calibri"/>
        <family val="2"/>
        <scheme val="minor"/>
      </rPr>
      <t>-1</t>
    </r>
    <r>
      <rPr>
        <b/>
        <sz val="12"/>
        <color theme="1"/>
        <rFont val="Calibri"/>
        <family val="2"/>
        <scheme val="minor"/>
      </rPr>
      <t>]</t>
    </r>
  </si>
  <si>
    <r>
      <t>LiNi</t>
    </r>
    <r>
      <rPr>
        <vertAlign val="subscript"/>
        <sz val="12"/>
        <color theme="1"/>
        <rFont val="Calibri"/>
        <family val="2"/>
        <scheme val="minor"/>
      </rPr>
      <t>1/3</t>
    </r>
    <r>
      <rPr>
        <sz val="11"/>
        <color theme="1"/>
        <rFont val="Calibri"/>
        <family val="2"/>
        <scheme val="minor"/>
      </rPr>
      <t>Mn</t>
    </r>
    <r>
      <rPr>
        <vertAlign val="subscript"/>
        <sz val="12"/>
        <color theme="1"/>
        <rFont val="Calibri"/>
        <family val="2"/>
        <scheme val="minor"/>
      </rPr>
      <t>1/3</t>
    </r>
    <r>
      <rPr>
        <sz val="11"/>
        <color theme="1"/>
        <rFont val="Calibri"/>
        <family val="2"/>
        <scheme val="minor"/>
      </rPr>
      <t>Co</t>
    </r>
    <r>
      <rPr>
        <vertAlign val="subscript"/>
        <sz val="12"/>
        <color theme="1"/>
        <rFont val="Calibri"/>
        <family val="2"/>
        <scheme val="minor"/>
      </rPr>
      <t>1/3</t>
    </r>
    <r>
      <rPr>
        <sz val="11"/>
        <color theme="1"/>
        <rFont val="Calibri"/>
        <family val="2"/>
        <scheme val="minor"/>
      </rPr>
      <t>O</t>
    </r>
    <r>
      <rPr>
        <vertAlign val="subscript"/>
        <sz val="12"/>
        <color theme="1"/>
        <rFont val="Calibri"/>
        <family val="2"/>
        <scheme val="minor"/>
      </rPr>
      <t>2</t>
    </r>
  </si>
  <si>
    <r>
      <t>LiNi</t>
    </r>
    <r>
      <rPr>
        <vertAlign val="subscript"/>
        <sz val="12"/>
        <color theme="1"/>
        <rFont val="Calibri"/>
        <family val="2"/>
        <scheme val="minor"/>
      </rPr>
      <t>0.5</t>
    </r>
    <r>
      <rPr>
        <sz val="11"/>
        <color theme="1"/>
        <rFont val="Calibri"/>
        <family val="2"/>
        <scheme val="minor"/>
      </rPr>
      <t>Mn</t>
    </r>
    <r>
      <rPr>
        <vertAlign val="subscript"/>
        <sz val="12"/>
        <color theme="1"/>
        <rFont val="Calibri"/>
        <family val="2"/>
        <scheme val="minor"/>
      </rPr>
      <t>0.3</t>
    </r>
    <r>
      <rPr>
        <sz val="11"/>
        <color theme="1"/>
        <rFont val="Calibri"/>
        <family val="2"/>
        <scheme val="minor"/>
      </rPr>
      <t>Co</t>
    </r>
    <r>
      <rPr>
        <vertAlign val="subscript"/>
        <sz val="12"/>
        <color theme="1"/>
        <rFont val="Calibri"/>
        <family val="2"/>
        <scheme val="minor"/>
      </rPr>
      <t>0.2</t>
    </r>
    <r>
      <rPr>
        <sz val="11"/>
        <color theme="1"/>
        <rFont val="Calibri"/>
        <family val="2"/>
        <scheme val="minor"/>
      </rPr>
      <t>O</t>
    </r>
    <r>
      <rPr>
        <vertAlign val="subscript"/>
        <sz val="12"/>
        <color theme="1"/>
        <rFont val="Calibri"/>
        <family val="2"/>
        <scheme val="minor"/>
      </rPr>
      <t>2</t>
    </r>
  </si>
  <si>
    <r>
      <t>LiNi</t>
    </r>
    <r>
      <rPr>
        <vertAlign val="subscript"/>
        <sz val="12"/>
        <color theme="1"/>
        <rFont val="Calibri"/>
        <family val="2"/>
        <scheme val="minor"/>
      </rPr>
      <t>0.6</t>
    </r>
    <r>
      <rPr>
        <sz val="11"/>
        <color theme="1"/>
        <rFont val="Calibri"/>
        <family val="2"/>
        <scheme val="minor"/>
      </rPr>
      <t>Mn</t>
    </r>
    <r>
      <rPr>
        <vertAlign val="subscript"/>
        <sz val="12"/>
        <color theme="1"/>
        <rFont val="Calibri"/>
        <family val="2"/>
        <scheme val="minor"/>
      </rPr>
      <t>0.2</t>
    </r>
    <r>
      <rPr>
        <sz val="11"/>
        <color theme="1"/>
        <rFont val="Calibri"/>
        <family val="2"/>
        <scheme val="minor"/>
      </rPr>
      <t>Co</t>
    </r>
    <r>
      <rPr>
        <vertAlign val="subscript"/>
        <sz val="12"/>
        <color theme="1"/>
        <rFont val="Calibri"/>
        <family val="2"/>
        <scheme val="minor"/>
      </rPr>
      <t>0.2</t>
    </r>
    <r>
      <rPr>
        <sz val="11"/>
        <color theme="1"/>
        <rFont val="Calibri"/>
        <family val="2"/>
        <scheme val="minor"/>
      </rPr>
      <t>O</t>
    </r>
    <r>
      <rPr>
        <vertAlign val="subscript"/>
        <sz val="12"/>
        <color theme="1"/>
        <rFont val="Calibri"/>
        <family val="2"/>
        <scheme val="minor"/>
      </rPr>
      <t>2</t>
    </r>
  </si>
  <si>
    <r>
      <t>LiNi</t>
    </r>
    <r>
      <rPr>
        <vertAlign val="subscript"/>
        <sz val="12"/>
        <color theme="1"/>
        <rFont val="Calibri"/>
        <family val="2"/>
        <scheme val="minor"/>
      </rPr>
      <t>0.8</t>
    </r>
    <r>
      <rPr>
        <sz val="11"/>
        <color theme="1"/>
        <rFont val="Calibri"/>
        <family val="2"/>
        <scheme val="minor"/>
      </rPr>
      <t>Mn</t>
    </r>
    <r>
      <rPr>
        <vertAlign val="subscript"/>
        <sz val="12"/>
        <color theme="1"/>
        <rFont val="Calibri"/>
        <family val="2"/>
        <scheme val="minor"/>
      </rPr>
      <t>0.1</t>
    </r>
    <r>
      <rPr>
        <sz val="11"/>
        <color theme="1"/>
        <rFont val="Calibri"/>
        <family val="2"/>
        <scheme val="minor"/>
      </rPr>
      <t>Co</t>
    </r>
    <r>
      <rPr>
        <vertAlign val="subscript"/>
        <sz val="12"/>
        <color theme="1"/>
        <rFont val="Calibri"/>
        <family val="2"/>
        <scheme val="minor"/>
      </rPr>
      <t>0.1</t>
    </r>
    <r>
      <rPr>
        <sz val="11"/>
        <color theme="1"/>
        <rFont val="Calibri"/>
        <family val="2"/>
        <scheme val="minor"/>
      </rPr>
      <t>O</t>
    </r>
    <r>
      <rPr>
        <vertAlign val="subscript"/>
        <sz val="12"/>
        <color theme="1"/>
        <rFont val="Calibri"/>
        <family val="2"/>
        <scheme val="minor"/>
      </rPr>
      <t>2</t>
    </r>
  </si>
  <si>
    <r>
      <t>LiNi</t>
    </r>
    <r>
      <rPr>
        <vertAlign val="subscript"/>
        <sz val="12"/>
        <color theme="1"/>
        <rFont val="Calibri"/>
        <family val="2"/>
        <scheme val="minor"/>
      </rPr>
      <t>0.8</t>
    </r>
    <r>
      <rPr>
        <sz val="11"/>
        <color theme="1"/>
        <rFont val="Calibri"/>
        <family val="2"/>
        <scheme val="minor"/>
      </rPr>
      <t>Co</t>
    </r>
    <r>
      <rPr>
        <vertAlign val="subscript"/>
        <sz val="12"/>
        <color theme="1"/>
        <rFont val="Calibri"/>
        <family val="2"/>
        <scheme val="minor"/>
      </rPr>
      <t>0.15</t>
    </r>
    <r>
      <rPr>
        <sz val="11"/>
        <color theme="1"/>
        <rFont val="Calibri"/>
        <family val="2"/>
        <scheme val="minor"/>
      </rPr>
      <t>Al</t>
    </r>
    <r>
      <rPr>
        <vertAlign val="subscript"/>
        <sz val="12"/>
        <color theme="1"/>
        <rFont val="Calibri"/>
        <family val="2"/>
        <scheme val="minor"/>
      </rPr>
      <t>0.05</t>
    </r>
    <r>
      <rPr>
        <sz val="11"/>
        <color theme="1"/>
        <rFont val="Calibri"/>
        <family val="2"/>
        <scheme val="minor"/>
      </rPr>
      <t>O</t>
    </r>
    <r>
      <rPr>
        <vertAlign val="subscript"/>
        <sz val="12"/>
        <color theme="1"/>
        <rFont val="Calibri"/>
        <family val="2"/>
        <scheme val="minor"/>
      </rPr>
      <t>2</t>
    </r>
  </si>
  <si>
    <r>
      <t>LiFePO</t>
    </r>
    <r>
      <rPr>
        <vertAlign val="subscript"/>
        <sz val="12"/>
        <color theme="1"/>
        <rFont val="Calibri"/>
        <family val="2"/>
        <scheme val="minor"/>
      </rPr>
      <t>4</t>
    </r>
  </si>
  <si>
    <r>
      <t>Li</t>
    </r>
    <r>
      <rPr>
        <vertAlign val="subscript"/>
        <sz val="12"/>
        <color theme="1"/>
        <rFont val="Calibri"/>
        <family val="2"/>
        <scheme val="minor"/>
      </rPr>
      <t>1.1</t>
    </r>
    <r>
      <rPr>
        <sz val="11"/>
        <color theme="1"/>
        <rFont val="Calibri"/>
        <family val="2"/>
        <scheme val="minor"/>
      </rPr>
      <t>Mn</t>
    </r>
    <r>
      <rPr>
        <vertAlign val="subscript"/>
        <sz val="12"/>
        <color theme="1"/>
        <rFont val="Calibri"/>
        <family val="2"/>
        <scheme val="minor"/>
      </rPr>
      <t>1.9</t>
    </r>
    <r>
      <rPr>
        <sz val="11"/>
        <color theme="1"/>
        <rFont val="Calibri"/>
        <family val="2"/>
        <scheme val="minor"/>
      </rPr>
      <t>O</t>
    </r>
    <r>
      <rPr>
        <vertAlign val="subscript"/>
        <sz val="12"/>
        <color theme="1"/>
        <rFont val="Calibri"/>
        <family val="2"/>
        <scheme val="minor"/>
      </rPr>
      <t>4</t>
    </r>
  </si>
  <si>
    <r>
      <t>Na</t>
    </r>
    <r>
      <rPr>
        <vertAlign val="subscript"/>
        <sz val="12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Fe(CN)</t>
    </r>
    <r>
      <rPr>
        <vertAlign val="subscript"/>
        <sz val="12"/>
        <color theme="1"/>
        <rFont val="Calibri"/>
        <family val="2"/>
        <scheme val="minor"/>
      </rPr>
      <t>6</t>
    </r>
  </si>
  <si>
    <r>
      <t>Molare Masse [g mol</t>
    </r>
    <r>
      <rPr>
        <b/>
        <vertAlign val="superscript"/>
        <sz val="12"/>
        <color theme="1"/>
        <rFont val="Calibri"/>
        <family val="2"/>
        <scheme val="minor"/>
      </rPr>
      <t>-1</t>
    </r>
    <r>
      <rPr>
        <b/>
        <sz val="12"/>
        <color theme="1"/>
        <rFont val="Calibri"/>
        <family val="2"/>
        <scheme val="minor"/>
      </rPr>
      <t>]</t>
    </r>
  </si>
  <si>
    <t>€/ kg</t>
  </si>
  <si>
    <t>Preis aktives 
Elektrodenmaterial €/ kg</t>
  </si>
  <si>
    <t>PE Separator</t>
  </si>
  <si>
    <r>
      <t>Lithium
[g mol</t>
    </r>
    <r>
      <rPr>
        <b/>
        <vertAlign val="superscript"/>
        <sz val="12"/>
        <color theme="1"/>
        <rFont val="Calibri"/>
        <family val="2"/>
        <scheme val="minor"/>
      </rPr>
      <t>-1</t>
    </r>
    <r>
      <rPr>
        <b/>
        <sz val="12"/>
        <color theme="1"/>
        <rFont val="Calibri"/>
        <family val="2"/>
        <scheme val="minor"/>
      </rPr>
      <t>]</t>
    </r>
  </si>
  <si>
    <r>
      <t>Nickel
[g mol</t>
    </r>
    <r>
      <rPr>
        <b/>
        <vertAlign val="superscript"/>
        <sz val="12"/>
        <color theme="1"/>
        <rFont val="Calibri"/>
        <family val="2"/>
        <scheme val="minor"/>
      </rPr>
      <t>-1</t>
    </r>
    <r>
      <rPr>
        <b/>
        <sz val="12"/>
        <color theme="1"/>
        <rFont val="Calibri"/>
        <family val="2"/>
        <scheme val="minor"/>
      </rPr>
      <t>]</t>
    </r>
  </si>
  <si>
    <r>
      <t>Kobalt
[g mol</t>
    </r>
    <r>
      <rPr>
        <b/>
        <vertAlign val="superscript"/>
        <sz val="12"/>
        <color theme="1"/>
        <rFont val="Calibri"/>
        <family val="2"/>
        <scheme val="minor"/>
      </rPr>
      <t>-1</t>
    </r>
    <r>
      <rPr>
        <b/>
        <sz val="12"/>
        <color theme="1"/>
        <rFont val="Calibri"/>
        <family val="2"/>
        <scheme val="minor"/>
      </rPr>
      <t>]</t>
    </r>
  </si>
  <si>
    <r>
      <t>Mangan
[g mol</t>
    </r>
    <r>
      <rPr>
        <b/>
        <vertAlign val="superscript"/>
        <sz val="12"/>
        <color theme="1"/>
        <rFont val="Calibri"/>
        <family val="2"/>
        <scheme val="minor"/>
      </rPr>
      <t>-1</t>
    </r>
    <r>
      <rPr>
        <b/>
        <sz val="12"/>
        <color theme="1"/>
        <rFont val="Calibri"/>
        <family val="2"/>
        <scheme val="minor"/>
      </rPr>
      <t>]</t>
    </r>
  </si>
  <si>
    <t>Mangan [%]</t>
  </si>
  <si>
    <r>
      <t>Eisen
[g mol</t>
    </r>
    <r>
      <rPr>
        <b/>
        <vertAlign val="superscript"/>
        <sz val="12"/>
        <color theme="1"/>
        <rFont val="Calibri"/>
        <family val="2"/>
        <scheme val="minor"/>
      </rPr>
      <t>-1</t>
    </r>
    <r>
      <rPr>
        <b/>
        <sz val="12"/>
        <color theme="1"/>
        <rFont val="Calibri"/>
        <family val="2"/>
        <scheme val="minor"/>
      </rPr>
      <t>]</t>
    </r>
  </si>
  <si>
    <t>Eisen [%]</t>
  </si>
  <si>
    <r>
      <t>Phosphor
[g mol</t>
    </r>
    <r>
      <rPr>
        <b/>
        <vertAlign val="superscript"/>
        <sz val="12"/>
        <color theme="1"/>
        <rFont val="Calibri"/>
        <family val="2"/>
        <scheme val="minor"/>
      </rPr>
      <t>-1</t>
    </r>
    <r>
      <rPr>
        <b/>
        <sz val="12"/>
        <color theme="1"/>
        <rFont val="Calibri"/>
        <family val="2"/>
        <scheme val="minor"/>
      </rPr>
      <t>]</t>
    </r>
  </si>
  <si>
    <r>
      <t>Natrium 
[g mol</t>
    </r>
    <r>
      <rPr>
        <b/>
        <vertAlign val="superscript"/>
        <sz val="12"/>
        <color theme="1"/>
        <rFont val="Calibri"/>
        <family val="2"/>
        <scheme val="minor"/>
      </rPr>
      <t>-1</t>
    </r>
    <r>
      <rPr>
        <b/>
        <sz val="12"/>
        <color theme="1"/>
        <rFont val="Calibri"/>
        <family val="2"/>
        <scheme val="minor"/>
      </rPr>
      <t>]</t>
    </r>
  </si>
  <si>
    <t>Energiekosten in €/ kWh</t>
  </si>
  <si>
    <t>Lohnkosten</t>
  </si>
  <si>
    <t>Process step</t>
  </si>
  <si>
    <t>Endsumme</t>
  </si>
  <si>
    <t>Electricity (€/ kWh)</t>
  </si>
  <si>
    <t>Gas (€/ kWh)</t>
  </si>
  <si>
    <t>Auswahl</t>
  </si>
  <si>
    <t>Electricity (kWh/ kWh cell capacity)</t>
  </si>
  <si>
    <t>Gas (kWh/ kWh cell capacity)</t>
  </si>
  <si>
    <t>Elektrodenproduktion</t>
  </si>
  <si>
    <t>Zellfinishing</t>
  </si>
  <si>
    <t>Modul- &amp; Packassemblierung</t>
  </si>
  <si>
    <t>Jährliche Gesamtproduktion [kWh]</t>
  </si>
  <si>
    <t>Beschaffungsjahr</t>
  </si>
  <si>
    <t>Gesamt (€)</t>
  </si>
  <si>
    <t>(€/GWh)</t>
  </si>
  <si>
    <t>Stunden/ kWh</t>
  </si>
  <si>
    <t>Rohstoffpreise Elektrodenmaterialien</t>
  </si>
  <si>
    <t xml:space="preserve">   → Natriumgehalt</t>
  </si>
  <si>
    <r>
      <rPr>
        <sz val="11"/>
        <color theme="1"/>
        <rFont val="Calibri"/>
        <family val="2"/>
      </rPr>
      <t xml:space="preserve">   → </t>
    </r>
    <r>
      <rPr>
        <sz val="11"/>
        <color theme="1"/>
        <rFont val="Calibri"/>
        <family val="2"/>
        <scheme val="minor"/>
      </rPr>
      <t>Lithiumgehalt</t>
    </r>
  </si>
  <si>
    <t>Stoichiometrie</t>
  </si>
  <si>
    <t>Stöchiometrie &amp; Rohstoffkosten</t>
  </si>
  <si>
    <t>Aktivmaterial</t>
  </si>
  <si>
    <t>Lösungsmittel</t>
  </si>
  <si>
    <t>Kollektor Kathode</t>
  </si>
  <si>
    <t>Kollektor Anode</t>
  </si>
  <si>
    <t>€/ kg gefertigte Zelle</t>
  </si>
  <si>
    <t>Kohle Additive</t>
  </si>
  <si>
    <t>Lösungsmittel Kathode</t>
  </si>
  <si>
    <t>Additive Kathode</t>
  </si>
  <si>
    <t>Kollektoren</t>
  </si>
  <si>
    <t>Modul- und Pack-ebene</t>
  </si>
  <si>
    <t>Packassemblierung</t>
  </si>
  <si>
    <t>Modul- und Pack</t>
  </si>
  <si>
    <t>Sonstige Gemeinkosten</t>
  </si>
  <si>
    <t>Maschineninvestitionkosten</t>
  </si>
  <si>
    <t>Kosten für Gebäude und Grund</t>
  </si>
  <si>
    <t>Zellfertigung</t>
  </si>
  <si>
    <t>Abschreibedauer Maschinen [Jahre]</t>
  </si>
  <si>
    <t>Abschreibedauer Gebäude [Jahre]</t>
  </si>
  <si>
    <t>Maschineninvestitionkosten (€/GWh jährliche Produktion)</t>
  </si>
  <si>
    <t>Gebäudekosten (€/GWh jährliche Produktion)</t>
  </si>
  <si>
    <t>Modul- &amp; 
Packebene</t>
  </si>
  <si>
    <t>Maschinen- und Gebäudekosten</t>
  </si>
  <si>
    <t>Gesamtherstellkosten HVS</t>
  </si>
  <si>
    <t>Elektroden-produktion</t>
  </si>
  <si>
    <t>Zellassem-blierung</t>
  </si>
  <si>
    <t>Zell-finishing</t>
  </si>
  <si>
    <t>Materialeinzelkosten auf Modul- &amp; Packebene</t>
  </si>
  <si>
    <t>Massenanteile Aktivmaterialien</t>
  </si>
  <si>
    <t>Anode</t>
  </si>
  <si>
    <t>Kathode</t>
  </si>
  <si>
    <t>Ergebnisse</t>
  </si>
  <si>
    <t>PP/ Alugehäuse</t>
  </si>
  <si>
    <t>Festzulegen durch Nutzer</t>
  </si>
  <si>
    <t>Festgelegt durch "Dateninput"</t>
  </si>
  <si>
    <t>Recherchierte Werte, die durch den Nutzer überschrieben werden können</t>
  </si>
  <si>
    <t>Farblegende</t>
  </si>
  <si>
    <t>Variablenübersicht</t>
  </si>
  <si>
    <t>Das vorliegende Kostenmodell ermittelt die reinen Herstellungskosten eines elektrifizierten Antriebsstrangs. Die Eingangsvariablen werden im Bereich "Dateninput" festgelegt.</t>
  </si>
  <si>
    <t>Energiedichte [Wh/ kg]</t>
  </si>
  <si>
    <t>Skalierungsfaktor</t>
  </si>
  <si>
    <t>Formel</t>
  </si>
  <si>
    <t>b =</t>
  </si>
  <si>
    <r>
      <t>p</t>
    </r>
    <r>
      <rPr>
        <b/>
        <vertAlign val="subscript"/>
        <sz val="12"/>
        <color theme="1"/>
        <rFont val="Calibri"/>
        <family val="2"/>
        <scheme val="minor"/>
      </rPr>
      <t xml:space="preserve">0 </t>
    </r>
    <r>
      <rPr>
        <b/>
        <sz val="11"/>
        <color theme="1"/>
        <rFont val="Calibri"/>
        <family val="2"/>
        <scheme val="minor"/>
      </rPr>
      <t>=</t>
    </r>
  </si>
  <si>
    <t>aktiviert</t>
  </si>
  <si>
    <t>deaktiviert</t>
  </si>
  <si>
    <t>Zusakosten (€/kWh)</t>
  </si>
  <si>
    <t>Basiskosten (€)</t>
  </si>
  <si>
    <t>Sonstiges
(Anschlüsse, Kabel, Onboard-Charger)</t>
  </si>
  <si>
    <t>Anschlüsse</t>
  </si>
  <si>
    <t>Gehäuse (inklusive Modulträger)</t>
  </si>
  <si>
    <t>Onboard-Charger</t>
  </si>
  <si>
    <t>Kabel</t>
  </si>
  <si>
    <t>Konfigurationen</t>
  </si>
  <si>
    <t>Motor</t>
  </si>
  <si>
    <t>Getriebe</t>
  </si>
  <si>
    <t>Differential</t>
  </si>
  <si>
    <t>Motoren</t>
  </si>
  <si>
    <t>3 (allrad)</t>
  </si>
  <si>
    <t>4 (allrad)</t>
  </si>
  <si>
    <t>Anzahl an Motor(en)</t>
  </si>
  <si>
    <t>Antriebsleistung</t>
  </si>
  <si>
    <t>1. Achse</t>
  </si>
  <si>
    <t>2. Achse</t>
  </si>
  <si>
    <t>Motor 1</t>
  </si>
  <si>
    <t>Motor 2</t>
  </si>
  <si>
    <t>Motor 3</t>
  </si>
  <si>
    <t>Motor 4</t>
  </si>
  <si>
    <t>Anzahl an Motoren</t>
  </si>
  <si>
    <t>Antriebsverteilung</t>
  </si>
  <si>
    <t>Leistung</t>
  </si>
  <si>
    <t>Differential(e)</t>
  </si>
  <si>
    <t>kw</t>
  </si>
  <si>
    <t>Kosten (€/ kW)</t>
  </si>
  <si>
    <t>Basiswert (€)</t>
  </si>
  <si>
    <t>Anzahl Inverter</t>
  </si>
  <si>
    <t>1.</t>
  </si>
  <si>
    <t>2.</t>
  </si>
  <si>
    <t>3.</t>
  </si>
  <si>
    <t>4.</t>
  </si>
  <si>
    <t>Kosten Inverter (€)</t>
  </si>
  <si>
    <t>Gesamtkosten</t>
  </si>
  <si>
    <t>Inverter</t>
  </si>
  <si>
    <t>asm</t>
  </si>
  <si>
    <t>psm</t>
  </si>
  <si>
    <t>Anzahl Getriebe</t>
  </si>
  <si>
    <t>Kosten Getriebe (€)</t>
  </si>
  <si>
    <t>Kosten Differential(e) (€)</t>
  </si>
  <si>
    <t>Kosten Motor(en) (€)</t>
  </si>
  <si>
    <t>Motor(en)</t>
  </si>
  <si>
    <t>Anzahl Differential(e)</t>
  </si>
  <si>
    <t>Antriebswelle(n)</t>
  </si>
  <si>
    <t>Stückkkosten</t>
  </si>
  <si>
    <t>Länderfaktoren</t>
  </si>
  <si>
    <t>Wahl</t>
  </si>
  <si>
    <t>Summe</t>
  </si>
  <si>
    <t>Zellmaterial</t>
  </si>
  <si>
    <t>Packmaterial</t>
  </si>
  <si>
    <t>Packfertigung</t>
  </si>
  <si>
    <t>Differenzial</t>
  </si>
  <si>
    <t>Winding/ Stacking</t>
  </si>
  <si>
    <t>Gesamtkosten Antriebsstrang</t>
  </si>
  <si>
    <t>Pack</t>
  </si>
  <si>
    <t>Übersicht</t>
  </si>
  <si>
    <t>Celltype</t>
  </si>
  <si>
    <t>Cell chemestry</t>
  </si>
  <si>
    <t>Machinetype</t>
  </si>
  <si>
    <t>Scalingfactor</t>
  </si>
  <si>
    <t>country of production</t>
  </si>
  <si>
    <t>Depreciation period</t>
  </si>
  <si>
    <t>round</t>
  </si>
  <si>
    <t>prysmatic</t>
  </si>
  <si>
    <t>Depreciation period (in years)</t>
  </si>
  <si>
    <t>Germany</t>
  </si>
  <si>
    <t>NMC-721</t>
  </si>
  <si>
    <r>
      <t>LiNi</t>
    </r>
    <r>
      <rPr>
        <vertAlign val="subscript"/>
        <sz val="12"/>
        <color theme="1"/>
        <rFont val="Calibri"/>
        <family val="2"/>
        <scheme val="minor"/>
      </rPr>
      <t>0.7</t>
    </r>
    <r>
      <rPr>
        <sz val="11"/>
        <color theme="1"/>
        <rFont val="Calibri"/>
        <family val="2"/>
        <scheme val="minor"/>
      </rPr>
      <t>Mn</t>
    </r>
    <r>
      <rPr>
        <vertAlign val="subscript"/>
        <sz val="12"/>
        <color theme="1"/>
        <rFont val="Calibri"/>
        <family val="2"/>
        <scheme val="minor"/>
      </rPr>
      <t>0.2</t>
    </r>
    <r>
      <rPr>
        <sz val="11"/>
        <color theme="1"/>
        <rFont val="Calibri"/>
        <family val="2"/>
        <scheme val="minor"/>
      </rPr>
      <t>Co</t>
    </r>
    <r>
      <rPr>
        <vertAlign val="subscript"/>
        <sz val="12"/>
        <color theme="1"/>
        <rFont val="Calibri"/>
        <family val="2"/>
        <scheme val="minor"/>
      </rPr>
      <t>0.1</t>
    </r>
    <r>
      <rPr>
        <sz val="11"/>
        <color theme="1"/>
        <rFont val="Calibri"/>
        <family val="2"/>
        <scheme val="minor"/>
      </rPr>
      <t>O</t>
    </r>
    <r>
      <rPr>
        <vertAlign val="subscript"/>
        <sz val="12"/>
        <color theme="1"/>
        <rFont val="Calibri"/>
        <family val="2"/>
        <scheme val="minor"/>
      </rPr>
      <t>2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</si>
</sst>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3">
    <numFmt numFmtId="6" formatCode="#,##0\ &quot;€&quot;;[Red]\-#,##0\ &quot;€&quot;"/>
    <numFmt numFmtId="44" formatCode="_-* #,##0.00\ &quot;€&quot;_-;\-* #,##0.00\ &quot;€&quot;_-;_-* &quot;-&quot;??\ &quot;€&quot;_-;_-@_-"/>
    <numFmt numFmtId="43" formatCode="_-* #,##0.00_-;\-* #,##0.00_-;_-* &quot;-&quot;??_-;_-@_-"/>
    <numFmt numFmtId="164" formatCode="_-* #,##0.00\ _€_-;\-* #,##0.00\ _€_-;_-* &quot;-&quot;??\ _€_-;_-@_-"/>
    <numFmt numFmtId="165" formatCode="_-* #,##0_-;\-* #,##0_-;_-* &quot;-&quot;??_-;_-@_-"/>
    <numFmt numFmtId="166" formatCode="0.0000"/>
    <numFmt numFmtId="167" formatCode="0.0%"/>
    <numFmt numFmtId="168" formatCode="_-* #,##0.00\ [$€-407]_-;\-* #,##0.00\ [$€-407]_-;_-* &quot;-&quot;??\ [$€-407]_-;_-@_-"/>
    <numFmt numFmtId="169" formatCode="0.000"/>
    <numFmt numFmtId="170" formatCode="#,###\ &quot;GWh&quot;"/>
    <numFmt numFmtId="171" formatCode="#,##0\ &quot;€&quot;"/>
    <numFmt numFmtId="172" formatCode="_-* #,##0\ &quot;€&quot;_-;\-* #,##0\ &quot;€&quot;_-;_-* &quot;-&quot;??\ &quot;€&quot;_-;_-@_-"/>
    <numFmt numFmtId="173" formatCode="#,##0.00\ &quot;€/ kWh&quot;"/>
  </numFmts>
  <fonts count="3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6"/>
      <color theme="3" tint="-0.249977111117893"/>
      <name val="Calibri"/>
      <family val="2"/>
      <scheme val="minor"/>
    </font>
    <font>
      <sz val="11"/>
      <color theme="0" tint="-0.499984740745262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1"/>
      <color theme="0" tint="-0.499984740745262"/>
      <name val="Calibri"/>
      <family val="2"/>
      <scheme val="minor"/>
    </font>
    <font>
      <sz val="8"/>
      <name val="Calibri"/>
      <family val="2"/>
      <scheme val="minor"/>
    </font>
    <font>
      <sz val="10"/>
      <name val="Arial"/>
      <family val="2"/>
    </font>
    <font>
      <vertAlign val="subscript"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6"/>
      <color theme="0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vertAlign val="superscript"/>
      <sz val="12"/>
      <color theme="1"/>
      <name val="Calibri"/>
      <family val="2"/>
      <scheme val="minor"/>
    </font>
    <font>
      <vertAlign val="subscript"/>
      <sz val="12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6"/>
      <color theme="0"/>
      <name val="Calibri"/>
      <family val="2"/>
      <scheme val="minor"/>
    </font>
    <font>
      <b/>
      <sz val="18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6"/>
      <color theme="1"/>
      <name val="Calibri"/>
      <family val="2"/>
      <scheme val="minor"/>
    </font>
    <font>
      <b/>
      <vertAlign val="subscript"/>
      <sz val="12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20"/>
      <color theme="0"/>
      <name val="Calibri"/>
      <family val="2"/>
      <scheme val="minor"/>
    </font>
    <font>
      <sz val="11"/>
      <color theme="1" tint="0.14999847407452621"/>
      <name val="Calibri"/>
      <family val="2"/>
      <scheme val="minor"/>
    </font>
    <font>
      <b/>
      <sz val="9"/>
      <color indexed="81"/>
      <name val="Segoe UI"/>
      <family val="2"/>
    </font>
    <font>
      <b/>
      <sz val="10"/>
      <color theme="1"/>
      <name val="Calibri"/>
      <family val="2"/>
      <scheme val="minor"/>
    </font>
    <font>
      <b/>
      <sz val="18"/>
      <color theme="0"/>
      <name val="Calibri Light"/>
      <family val="2"/>
      <scheme val="major"/>
    </font>
    <font>
      <b/>
      <sz val="9"/>
      <color rgb="FF000000"/>
      <name val="Arial"/>
      <family val="2"/>
    </font>
    <font>
      <sz val="11"/>
      <color theme="1"/>
      <name val="Arial"/>
      <family val="2"/>
    </font>
  </fonts>
  <fills count="28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rgb="FFD8E4F2"/>
        <bgColor indexed="64"/>
      </patternFill>
    </fill>
    <fill>
      <patternFill patternType="solid">
        <fgColor rgb="FF811896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8" tint="0.59999389629810485"/>
        <bgColor indexed="64"/>
      </patternFill>
    </fill>
  </fills>
  <borders count="6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/>
      <top style="medium">
        <color indexed="64"/>
      </top>
      <bottom style="double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double">
        <color indexed="64"/>
      </top>
      <bottom style="medium">
        <color indexed="64"/>
      </bottom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theme="0"/>
      </right>
      <top style="thin">
        <color indexed="64"/>
      </top>
      <bottom/>
      <diagonal/>
    </border>
    <border>
      <left style="thin">
        <color theme="0"/>
      </left>
      <right style="medium">
        <color indexed="64"/>
      </right>
      <top style="thin">
        <color indexed="64"/>
      </top>
      <bottom/>
      <diagonal/>
    </border>
    <border>
      <left style="thin">
        <color theme="0"/>
      </left>
      <right style="thin">
        <color indexed="64"/>
      </right>
      <top style="thin">
        <color indexed="64"/>
      </top>
      <bottom/>
      <diagonal/>
    </border>
    <border>
      <left style="thin">
        <color theme="0"/>
      </left>
      <right style="thin">
        <color theme="0"/>
      </right>
      <top style="thin">
        <color indexed="64"/>
      </top>
      <bottom/>
      <diagonal/>
    </border>
    <border>
      <left style="hair">
        <color theme="0" tint="-0.14999847407452621"/>
      </left>
      <right style="hair">
        <color theme="0" tint="-0.14999847407452621"/>
      </right>
      <top style="hair">
        <color theme="0" tint="-0.14999847407452621"/>
      </top>
      <bottom style="hair">
        <color theme="0" tint="-0.14999847407452621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/>
      <top style="double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theme="0"/>
      </top>
      <bottom/>
      <diagonal/>
    </border>
    <border>
      <left/>
      <right/>
      <top style="medium">
        <color theme="0"/>
      </top>
      <bottom/>
      <diagonal/>
    </border>
    <border>
      <left/>
      <right/>
      <top style="medium">
        <color theme="0"/>
      </top>
      <bottom style="medium">
        <color theme="0"/>
      </bottom>
      <diagonal/>
    </border>
    <border>
      <left style="medium">
        <color indexed="64"/>
      </left>
      <right/>
      <top style="medium">
        <color theme="0"/>
      </top>
      <bottom/>
      <diagonal/>
    </border>
    <border>
      <left style="medium">
        <color indexed="64"/>
      </left>
      <right/>
      <top style="medium">
        <color theme="0"/>
      </top>
      <bottom style="medium">
        <color theme="0"/>
      </bottom>
      <diagonal/>
    </border>
    <border>
      <left style="medium">
        <color indexed="64"/>
      </left>
      <right/>
      <top style="medium">
        <color theme="0"/>
      </top>
      <bottom style="double">
        <color indexed="64"/>
      </bottom>
      <diagonal/>
    </border>
    <border>
      <left style="medium">
        <color indexed="64"/>
      </left>
      <right/>
      <top/>
      <bottom style="medium">
        <color theme="0"/>
      </bottom>
      <diagonal/>
    </border>
    <border>
      <left style="medium">
        <color indexed="64"/>
      </left>
      <right/>
      <top/>
      <bottom style="double">
        <color indexed="64"/>
      </bottom>
      <diagonal/>
    </border>
    <border>
      <left style="thin">
        <color indexed="64"/>
      </left>
      <right style="hair">
        <color theme="0" tint="-0.14999847407452621"/>
      </right>
      <top style="thin">
        <color indexed="64"/>
      </top>
      <bottom style="hair">
        <color theme="0" tint="-0.14999847407452621"/>
      </bottom>
      <diagonal/>
    </border>
    <border>
      <left style="hair">
        <color theme="0" tint="-0.14999847407452621"/>
      </left>
      <right style="hair">
        <color theme="0" tint="-0.14999847407452621"/>
      </right>
      <top style="thin">
        <color indexed="64"/>
      </top>
      <bottom style="hair">
        <color theme="0" tint="-0.14999847407452621"/>
      </bottom>
      <diagonal/>
    </border>
    <border>
      <left style="thin">
        <color indexed="64"/>
      </left>
      <right style="hair">
        <color theme="0" tint="-0.14999847407452621"/>
      </right>
      <top style="hair">
        <color theme="0" tint="-0.14999847407452621"/>
      </top>
      <bottom style="hair">
        <color theme="0" tint="-0.14999847407452621"/>
      </bottom>
      <diagonal/>
    </border>
    <border>
      <left style="thin">
        <color indexed="64"/>
      </left>
      <right style="hair">
        <color theme="0" tint="-0.14999847407452621"/>
      </right>
      <top style="hair">
        <color theme="0" tint="-0.14999847407452621"/>
      </top>
      <bottom style="thin">
        <color indexed="64"/>
      </bottom>
      <diagonal/>
    </border>
    <border>
      <left style="hair">
        <color theme="0" tint="-0.14999847407452621"/>
      </left>
      <right style="hair">
        <color theme="0" tint="-0.14999847407452621"/>
      </right>
      <top style="hair">
        <color theme="0" tint="-0.14999847407452621"/>
      </top>
      <bottom style="thin">
        <color indexed="64"/>
      </bottom>
      <diagonal/>
    </border>
    <border>
      <left style="hair">
        <color theme="0" tint="-0.14999847407452621"/>
      </left>
      <right/>
      <top style="thin">
        <color indexed="64"/>
      </top>
      <bottom style="hair">
        <color theme="0" tint="-0.14999847407452621"/>
      </bottom>
      <diagonal/>
    </border>
    <border>
      <left style="hair">
        <color theme="0" tint="-0.14999847407452621"/>
      </left>
      <right/>
      <top style="hair">
        <color theme="0" tint="-0.14999847407452621"/>
      </top>
      <bottom style="hair">
        <color theme="0" tint="-0.14999847407452621"/>
      </bottom>
      <diagonal/>
    </border>
    <border>
      <left style="hair">
        <color theme="0" tint="-0.14999847407452621"/>
      </left>
      <right/>
      <top style="hair">
        <color theme="0" tint="-0.14999847407452621"/>
      </top>
      <bottom style="thin">
        <color indexed="64"/>
      </bottom>
      <diagonal/>
    </border>
    <border>
      <left style="medium">
        <color indexed="64"/>
      </left>
      <right style="hair">
        <color theme="0" tint="-0.14999847407452621"/>
      </right>
      <top style="hair">
        <color theme="0" tint="-0.14999847407452621"/>
      </top>
      <bottom style="hair">
        <color theme="0" tint="-0.14999847407452621"/>
      </bottom>
      <diagonal/>
    </border>
    <border>
      <left style="hair">
        <color theme="0" tint="-0.14999847407452621"/>
      </left>
      <right style="medium">
        <color indexed="64"/>
      </right>
      <top style="hair">
        <color theme="0" tint="-0.14999847407452621"/>
      </top>
      <bottom style="hair">
        <color theme="0" tint="-0.14999847407452621"/>
      </bottom>
      <diagonal/>
    </border>
    <border>
      <left style="medium">
        <color indexed="64"/>
      </left>
      <right style="hair">
        <color theme="0" tint="-0.14999847407452621"/>
      </right>
      <top style="hair">
        <color theme="0" tint="-0.14999847407452621"/>
      </top>
      <bottom style="medium">
        <color indexed="64"/>
      </bottom>
      <diagonal/>
    </border>
    <border>
      <left style="hair">
        <color theme="0" tint="-0.14999847407452621"/>
      </left>
      <right style="medium">
        <color indexed="64"/>
      </right>
      <top style="hair">
        <color theme="0" tint="-0.14999847407452621"/>
      </top>
      <bottom style="medium">
        <color indexed="64"/>
      </bottom>
      <diagonal/>
    </border>
    <border>
      <left style="medium">
        <color indexed="64"/>
      </left>
      <right/>
      <top style="double">
        <color indexed="64"/>
      </top>
      <bottom style="medium">
        <color indexed="64"/>
      </bottom>
      <diagonal/>
    </border>
  </borders>
  <cellStyleXfs count="5">
    <xf numFmtId="0" fontId="0" fillId="0" borderId="0"/>
    <xf numFmtId="43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15" fillId="0" borderId="0"/>
    <xf numFmtId="44" fontId="5" fillId="0" borderId="0" applyFont="0" applyFill="0" applyBorder="0" applyAlignment="0" applyProtection="0"/>
  </cellStyleXfs>
  <cellXfs count="545">
    <xf numFmtId="0" fontId="0" fillId="0" borderId="0" xfId="0"/>
    <xf numFmtId="0" fontId="0" fillId="0" borderId="4" xfId="0" applyBorder="1"/>
    <xf numFmtId="0" fontId="0" fillId="0" borderId="9" xfId="0" applyBorder="1"/>
    <xf numFmtId="0" fontId="0" fillId="0" borderId="10" xfId="0" applyBorder="1"/>
    <xf numFmtId="0" fontId="1" fillId="0" borderId="12" xfId="0" applyFont="1" applyBorder="1"/>
    <xf numFmtId="0" fontId="2" fillId="0" borderId="0" xfId="0" applyFont="1" applyAlignment="1">
      <alignment horizontal="left" vertical="center"/>
    </xf>
    <xf numFmtId="0" fontId="0" fillId="0" borderId="4" xfId="0" applyBorder="1" applyAlignment="1">
      <alignment vertical="center"/>
    </xf>
    <xf numFmtId="0" fontId="0" fillId="0" borderId="9" xfId="0" applyBorder="1" applyAlignment="1">
      <alignment vertical="center"/>
    </xf>
    <xf numFmtId="0" fontId="0" fillId="0" borderId="4" xfId="0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0" fontId="0" fillId="0" borderId="9" xfId="0" applyBorder="1" applyAlignment="1">
      <alignment horizontal="left"/>
    </xf>
    <xf numFmtId="0" fontId="3" fillId="0" borderId="5" xfId="0" applyFont="1" applyBorder="1"/>
    <xf numFmtId="0" fontId="0" fillId="0" borderId="7" xfId="0" applyBorder="1"/>
    <xf numFmtId="165" fontId="0" fillId="0" borderId="0" xfId="1" applyNumberFormat="1" applyFont="1"/>
    <xf numFmtId="0" fontId="0" fillId="0" borderId="17" xfId="0" applyBorder="1"/>
    <xf numFmtId="165" fontId="0" fillId="0" borderId="0" xfId="1" applyNumberFormat="1" applyFont="1" applyBorder="1"/>
    <xf numFmtId="0" fontId="0" fillId="0" borderId="19" xfId="0" applyBorder="1"/>
    <xf numFmtId="0" fontId="0" fillId="0" borderId="20" xfId="0" applyBorder="1"/>
    <xf numFmtId="165" fontId="0" fillId="0" borderId="0" xfId="0" applyNumberFormat="1"/>
    <xf numFmtId="0" fontId="0" fillId="0" borderId="0" xfId="0" applyAlignment="1">
      <alignment horizontal="left" vertical="center"/>
    </xf>
    <xf numFmtId="0" fontId="8" fillId="9" borderId="0" xfId="0" applyFont="1" applyFill="1" applyAlignment="1">
      <alignment horizontal="left" vertical="center"/>
    </xf>
    <xf numFmtId="0" fontId="6" fillId="9" borderId="0" xfId="0" applyFont="1" applyFill="1" applyAlignment="1">
      <alignment horizontal="left" vertical="center"/>
    </xf>
    <xf numFmtId="0" fontId="0" fillId="0" borderId="20" xfId="0" applyBorder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0" fillId="13" borderId="0" xfId="0" applyFill="1"/>
    <xf numFmtId="0" fontId="1" fillId="0" borderId="0" xfId="0" applyFont="1"/>
    <xf numFmtId="0" fontId="0" fillId="4" borderId="4" xfId="0" applyFill="1" applyBorder="1" applyAlignment="1">
      <alignment horizontal="center" vertical="center" wrapText="1"/>
    </xf>
    <xf numFmtId="0" fontId="0" fillId="4" borderId="0" xfId="0" applyFill="1" applyAlignment="1">
      <alignment horizontal="center" vertical="center" wrapText="1"/>
    </xf>
    <xf numFmtId="0" fontId="0" fillId="4" borderId="32" xfId="0" applyFill="1" applyBorder="1" applyAlignment="1">
      <alignment horizontal="center" vertical="center" wrapText="1"/>
    </xf>
    <xf numFmtId="0" fontId="0" fillId="4" borderId="33" xfId="0" applyFill="1" applyBorder="1" applyAlignment="1">
      <alignment horizontal="center" vertical="center" wrapText="1"/>
    </xf>
    <xf numFmtId="0" fontId="0" fillId="4" borderId="34" xfId="0" applyFill="1" applyBorder="1" applyAlignment="1">
      <alignment horizontal="center" vertical="center" wrapText="1"/>
    </xf>
    <xf numFmtId="0" fontId="0" fillId="4" borderId="35" xfId="0" applyFill="1" applyBorder="1" applyAlignment="1">
      <alignment horizontal="center" vertical="center" wrapText="1"/>
    </xf>
    <xf numFmtId="0" fontId="0" fillId="0" borderId="30" xfId="0" applyBorder="1"/>
    <xf numFmtId="2" fontId="0" fillId="0" borderId="0" xfId="0" applyNumberFormat="1" applyAlignment="1">
      <alignment horizontal="right" vertical="center"/>
    </xf>
    <xf numFmtId="2" fontId="0" fillId="0" borderId="20" xfId="0" applyNumberFormat="1" applyBorder="1" applyAlignment="1">
      <alignment horizontal="right" vertical="center"/>
    </xf>
    <xf numFmtId="2" fontId="0" fillId="0" borderId="23" xfId="0" applyNumberFormat="1" applyBorder="1"/>
    <xf numFmtId="2" fontId="18" fillId="0" borderId="0" xfId="0" applyNumberFormat="1" applyFont="1" applyAlignment="1">
      <alignment horizontal="center"/>
    </xf>
    <xf numFmtId="0" fontId="4" fillId="0" borderId="0" xfId="0" applyFont="1" applyAlignment="1">
      <alignment horizontal="right" vertical="center" textRotation="90" wrapText="1"/>
    </xf>
    <xf numFmtId="0" fontId="7" fillId="6" borderId="0" xfId="0" applyFont="1" applyFill="1"/>
    <xf numFmtId="0" fontId="7" fillId="15" borderId="0" xfId="0" applyFont="1" applyFill="1"/>
    <xf numFmtId="0" fontId="1" fillId="13" borderId="2" xfId="0" applyFont="1" applyFill="1" applyBorder="1"/>
    <xf numFmtId="0" fontId="1" fillId="13" borderId="2" xfId="0" applyFont="1" applyFill="1" applyBorder="1" applyAlignment="1">
      <alignment horizontal="right"/>
    </xf>
    <xf numFmtId="0" fontId="1" fillId="13" borderId="1" xfId="0" applyFont="1" applyFill="1" applyBorder="1"/>
    <xf numFmtId="0" fontId="20" fillId="0" borderId="0" xfId="0" applyFont="1"/>
    <xf numFmtId="0" fontId="0" fillId="0" borderId="0" xfId="0" applyAlignment="1">
      <alignment vertical="center"/>
    </xf>
    <xf numFmtId="2" fontId="0" fillId="0" borderId="0" xfId="0" applyNumberFormat="1" applyAlignment="1">
      <alignment vertical="center"/>
    </xf>
    <xf numFmtId="9" fontId="0" fillId="0" borderId="0" xfId="2" applyFont="1" applyBorder="1" applyAlignment="1">
      <alignment vertical="center"/>
    </xf>
    <xf numFmtId="2" fontId="0" fillId="0" borderId="0" xfId="2" applyNumberFormat="1" applyFont="1" applyBorder="1" applyAlignment="1">
      <alignment vertical="center"/>
    </xf>
    <xf numFmtId="0" fontId="0" fillId="0" borderId="5" xfId="0" applyBorder="1" applyAlignment="1">
      <alignment vertical="center"/>
    </xf>
    <xf numFmtId="9" fontId="0" fillId="0" borderId="5" xfId="2" applyFont="1" applyBorder="1" applyAlignment="1">
      <alignment vertical="center"/>
    </xf>
    <xf numFmtId="2" fontId="0" fillId="0" borderId="20" xfId="0" applyNumberFormat="1" applyBorder="1" applyAlignment="1">
      <alignment vertical="center"/>
    </xf>
    <xf numFmtId="9" fontId="0" fillId="0" borderId="20" xfId="2" applyFont="1" applyBorder="1" applyAlignment="1">
      <alignment vertical="center"/>
    </xf>
    <xf numFmtId="2" fontId="0" fillId="0" borderId="20" xfId="2" applyNumberFormat="1" applyFont="1" applyBorder="1" applyAlignment="1">
      <alignment vertical="center"/>
    </xf>
    <xf numFmtId="9" fontId="0" fillId="0" borderId="29" xfId="2" applyFont="1" applyBorder="1" applyAlignment="1">
      <alignment vertical="center"/>
    </xf>
    <xf numFmtId="9" fontId="0" fillId="0" borderId="0" xfId="2" applyFont="1"/>
    <xf numFmtId="0" fontId="1" fillId="4" borderId="15" xfId="0" applyFont="1" applyFill="1" applyBorder="1"/>
    <xf numFmtId="0" fontId="0" fillId="4" borderId="11" xfId="0" applyFill="1" applyBorder="1"/>
    <xf numFmtId="0" fontId="0" fillId="0" borderId="36" xfId="0" applyBorder="1"/>
    <xf numFmtId="0" fontId="0" fillId="0" borderId="0" xfId="0" applyAlignment="1">
      <alignment horizontal="right"/>
    </xf>
    <xf numFmtId="167" fontId="0" fillId="0" borderId="0" xfId="0" applyNumberFormat="1"/>
    <xf numFmtId="0" fontId="7" fillId="0" borderId="0" xfId="0" applyFont="1"/>
    <xf numFmtId="167" fontId="7" fillId="0" borderId="0" xfId="0" applyNumberFormat="1" applyFont="1"/>
    <xf numFmtId="0" fontId="1" fillId="3" borderId="7" xfId="0" applyFont="1" applyFill="1" applyBorder="1"/>
    <xf numFmtId="0" fontId="1" fillId="3" borderId="7" xfId="0" applyFont="1" applyFill="1" applyBorder="1" applyAlignment="1">
      <alignment horizontal="right"/>
    </xf>
    <xf numFmtId="0" fontId="1" fillId="3" borderId="7" xfId="0" applyFont="1" applyFill="1" applyBorder="1" applyAlignment="1">
      <alignment horizontal="left"/>
    </xf>
    <xf numFmtId="0" fontId="0" fillId="0" borderId="37" xfId="0" applyBorder="1" applyAlignment="1">
      <alignment horizontal="left"/>
    </xf>
    <xf numFmtId="0" fontId="0" fillId="0" borderId="18" xfId="0" applyBorder="1" applyAlignment="1">
      <alignment horizontal="left"/>
    </xf>
    <xf numFmtId="0" fontId="0" fillId="0" borderId="21" xfId="0" applyBorder="1" applyAlignment="1">
      <alignment horizontal="left"/>
    </xf>
    <xf numFmtId="0" fontId="0" fillId="4" borderId="17" xfId="0" applyFill="1" applyBorder="1"/>
    <xf numFmtId="0" fontId="0" fillId="4" borderId="19" xfId="0" applyFill="1" applyBorder="1"/>
    <xf numFmtId="2" fontId="0" fillId="0" borderId="37" xfId="0" applyNumberFormat="1" applyBorder="1" applyAlignment="1">
      <alignment horizontal="right"/>
    </xf>
    <xf numFmtId="2" fontId="0" fillId="0" borderId="18" xfId="0" applyNumberFormat="1" applyBorder="1" applyAlignment="1">
      <alignment horizontal="right"/>
    </xf>
    <xf numFmtId="0" fontId="0" fillId="4" borderId="18" xfId="0" applyFill="1" applyBorder="1" applyAlignment="1">
      <alignment horizontal="right"/>
    </xf>
    <xf numFmtId="0" fontId="0" fillId="4" borderId="21" xfId="0" applyFill="1" applyBorder="1" applyAlignment="1">
      <alignment horizontal="right"/>
    </xf>
    <xf numFmtId="0" fontId="7" fillId="0" borderId="17" xfId="0" applyFont="1" applyBorder="1"/>
    <xf numFmtId="0" fontId="7" fillId="0" borderId="19" xfId="0" applyFont="1" applyBorder="1"/>
    <xf numFmtId="167" fontId="7" fillId="0" borderId="20" xfId="0" applyNumberFormat="1" applyFont="1" applyBorder="1"/>
    <xf numFmtId="0" fontId="7" fillId="0" borderId="20" xfId="0" applyFont="1" applyBorder="1"/>
    <xf numFmtId="2" fontId="7" fillId="0" borderId="18" xfId="0" applyNumberFormat="1" applyFont="1" applyBorder="1"/>
    <xf numFmtId="0" fontId="4" fillId="13" borderId="15" xfId="0" applyFont="1" applyFill="1" applyBorder="1" applyAlignment="1">
      <alignment vertical="center"/>
    </xf>
    <xf numFmtId="0" fontId="0" fillId="2" borderId="0" xfId="0" applyFill="1" applyAlignment="1">
      <alignment vertical="center"/>
    </xf>
    <xf numFmtId="0" fontId="0" fillId="2" borderId="20" xfId="0" applyFill="1" applyBorder="1" applyAlignment="1">
      <alignment vertical="center"/>
    </xf>
    <xf numFmtId="0" fontId="1" fillId="16" borderId="9" xfId="0" quotePrefix="1" applyFont="1" applyFill="1" applyBorder="1" applyAlignment="1">
      <alignment vertical="center"/>
    </xf>
    <xf numFmtId="0" fontId="1" fillId="16" borderId="16" xfId="0" quotePrefix="1" applyFont="1" applyFill="1" applyBorder="1" applyAlignment="1">
      <alignment vertical="center"/>
    </xf>
    <xf numFmtId="0" fontId="4" fillId="13" borderId="15" xfId="0" applyFont="1" applyFill="1" applyBorder="1" applyAlignment="1">
      <alignment horizontal="left" vertical="center" wrapText="1"/>
    </xf>
    <xf numFmtId="0" fontId="4" fillId="13" borderId="11" xfId="0" applyFont="1" applyFill="1" applyBorder="1" applyAlignment="1">
      <alignment horizontal="left" vertical="center" wrapText="1"/>
    </xf>
    <xf numFmtId="0" fontId="4" fillId="0" borderId="0" xfId="0" applyFont="1"/>
    <xf numFmtId="0" fontId="0" fillId="13" borderId="41" xfId="0" applyFill="1" applyBorder="1" applyAlignment="1">
      <alignment horizontal="center"/>
    </xf>
    <xf numFmtId="0" fontId="0" fillId="13" borderId="7" xfId="0" applyFill="1" applyBorder="1" applyAlignment="1">
      <alignment horizontal="center"/>
    </xf>
    <xf numFmtId="0" fontId="0" fillId="0" borderId="3" xfId="0" applyBorder="1"/>
    <xf numFmtId="0" fontId="0" fillId="0" borderId="5" xfId="0" applyBorder="1"/>
    <xf numFmtId="0" fontId="23" fillId="17" borderId="1" xfId="0" applyFont="1" applyFill="1" applyBorder="1"/>
    <xf numFmtId="0" fontId="0" fillId="0" borderId="2" xfId="0" applyBorder="1"/>
    <xf numFmtId="0" fontId="0" fillId="0" borderId="26" xfId="0" applyBorder="1"/>
    <xf numFmtId="0" fontId="0" fillId="0" borderId="45" xfId="0" applyBorder="1"/>
    <xf numFmtId="0" fontId="23" fillId="17" borderId="46" xfId="0" applyFont="1" applyFill="1" applyBorder="1"/>
    <xf numFmtId="0" fontId="1" fillId="3" borderId="14" xfId="0" applyFont="1" applyFill="1" applyBorder="1"/>
    <xf numFmtId="0" fontId="6" fillId="17" borderId="1" xfId="0" applyFont="1" applyFill="1" applyBorder="1"/>
    <xf numFmtId="0" fontId="6" fillId="17" borderId="49" xfId="0" applyFont="1" applyFill="1" applyBorder="1"/>
    <xf numFmtId="0" fontId="6" fillId="17" borderId="50" xfId="0" applyFont="1" applyFill="1" applyBorder="1"/>
    <xf numFmtId="0" fontId="6" fillId="17" borderId="4" xfId="0" applyFont="1" applyFill="1" applyBorder="1"/>
    <xf numFmtId="0" fontId="6" fillId="17" borderId="51" xfId="0" applyFont="1" applyFill="1" applyBorder="1"/>
    <xf numFmtId="0" fontId="10" fillId="0" borderId="0" xfId="0" applyFont="1"/>
    <xf numFmtId="0" fontId="10" fillId="0" borderId="5" xfId="0" applyFont="1" applyBorder="1"/>
    <xf numFmtId="0" fontId="6" fillId="17" borderId="52" xfId="0" applyFont="1" applyFill="1" applyBorder="1"/>
    <xf numFmtId="0" fontId="6" fillId="17" borderId="53" xfId="0" applyFont="1" applyFill="1" applyBorder="1"/>
    <xf numFmtId="0" fontId="9" fillId="0" borderId="38" xfId="0" applyFont="1" applyBorder="1"/>
    <xf numFmtId="0" fontId="12" fillId="17" borderId="27" xfId="0" applyFont="1" applyFill="1" applyBorder="1" applyAlignment="1">
      <alignment horizontal="center" vertical="center"/>
    </xf>
    <xf numFmtId="2" fontId="0" fillId="0" borderId="24" xfId="0" applyNumberFormat="1" applyBorder="1"/>
    <xf numFmtId="2" fontId="0" fillId="0" borderId="26" xfId="0" applyNumberFormat="1" applyBorder="1" applyAlignment="1">
      <alignment horizontal="right" vertical="center"/>
    </xf>
    <xf numFmtId="44" fontId="0" fillId="0" borderId="23" xfId="4" applyFont="1" applyBorder="1" applyAlignment="1">
      <alignment horizontal="right" vertical="center"/>
    </xf>
    <xf numFmtId="44" fontId="0" fillId="0" borderId="0" xfId="4" applyFont="1" applyAlignment="1">
      <alignment horizontal="right" vertical="center"/>
    </xf>
    <xf numFmtId="44" fontId="0" fillId="0" borderId="24" xfId="4" applyFont="1" applyBorder="1"/>
    <xf numFmtId="44" fontId="0" fillId="0" borderId="26" xfId="4" applyFont="1" applyBorder="1" applyAlignment="1">
      <alignment horizontal="right" vertical="center"/>
    </xf>
    <xf numFmtId="44" fontId="4" fillId="0" borderId="25" xfId="4" applyFont="1" applyBorder="1" applyAlignment="1">
      <alignment horizontal="right" vertical="center"/>
    </xf>
    <xf numFmtId="0" fontId="23" fillId="18" borderId="27" xfId="0" applyFont="1" applyFill="1" applyBorder="1" applyAlignment="1">
      <alignment horizontal="center"/>
    </xf>
    <xf numFmtId="0" fontId="1" fillId="3" borderId="15" xfId="0" applyFont="1" applyFill="1" applyBorder="1" applyAlignment="1">
      <alignment horizontal="left" wrapText="1"/>
    </xf>
    <xf numFmtId="0" fontId="1" fillId="3" borderId="11" xfId="0" applyFont="1" applyFill="1" applyBorder="1" applyAlignment="1">
      <alignment horizontal="left" wrapText="1"/>
    </xf>
    <xf numFmtId="0" fontId="1" fillId="6" borderId="0" xfId="0" applyFont="1" applyFill="1" applyAlignment="1">
      <alignment horizontal="left"/>
    </xf>
    <xf numFmtId="0" fontId="1" fillId="6" borderId="47" xfId="0" applyFont="1" applyFill="1" applyBorder="1" applyAlignment="1">
      <alignment horizontal="left"/>
    </xf>
    <xf numFmtId="0" fontId="1" fillId="6" borderId="48" xfId="0" applyFont="1" applyFill="1" applyBorder="1" applyAlignment="1">
      <alignment horizontal="left"/>
    </xf>
    <xf numFmtId="0" fontId="0" fillId="5" borderId="3" xfId="0" applyFill="1" applyBorder="1" applyAlignment="1">
      <alignment horizontal="right"/>
    </xf>
    <xf numFmtId="2" fontId="0" fillId="0" borderId="1" xfId="0" applyNumberFormat="1" applyBorder="1"/>
    <xf numFmtId="2" fontId="0" fillId="0" borderId="3" xfId="0" applyNumberFormat="1" applyBorder="1"/>
    <xf numFmtId="2" fontId="0" fillId="0" borderId="4" xfId="0" applyNumberFormat="1" applyBorder="1"/>
    <xf numFmtId="2" fontId="0" fillId="0" borderId="5" xfId="0" applyNumberFormat="1" applyBorder="1"/>
    <xf numFmtId="2" fontId="0" fillId="0" borderId="6" xfId="0" applyNumberFormat="1" applyBorder="1"/>
    <xf numFmtId="2" fontId="0" fillId="0" borderId="8" xfId="0" applyNumberFormat="1" applyBorder="1"/>
    <xf numFmtId="16" fontId="0" fillId="0" borderId="0" xfId="0" applyNumberFormat="1"/>
    <xf numFmtId="0" fontId="23" fillId="18" borderId="44" xfId="0" applyFont="1" applyFill="1" applyBorder="1"/>
    <xf numFmtId="0" fontId="23" fillId="18" borderId="9" xfId="0" applyFont="1" applyFill="1" applyBorder="1"/>
    <xf numFmtId="0" fontId="23" fillId="18" borderId="10" xfId="0" applyFont="1" applyFill="1" applyBorder="1"/>
    <xf numFmtId="0" fontId="1" fillId="14" borderId="1" xfId="0" applyFont="1" applyFill="1" applyBorder="1"/>
    <xf numFmtId="0" fontId="1" fillId="6" borderId="2" xfId="0" applyFont="1" applyFill="1" applyBorder="1"/>
    <xf numFmtId="0" fontId="1" fillId="14" borderId="2" xfId="0" applyFont="1" applyFill="1" applyBorder="1"/>
    <xf numFmtId="0" fontId="1" fillId="14" borderId="3" xfId="0" applyFont="1" applyFill="1" applyBorder="1"/>
    <xf numFmtId="0" fontId="1" fillId="7" borderId="9" xfId="0" applyFont="1" applyFill="1" applyBorder="1"/>
    <xf numFmtId="0" fontId="0" fillId="6" borderId="27" xfId="0" applyFill="1" applyBorder="1"/>
    <xf numFmtId="0" fontId="0" fillId="6" borderId="6" xfId="0" applyFill="1" applyBorder="1" applyAlignment="1">
      <alignment horizontal="right"/>
    </xf>
    <xf numFmtId="165" fontId="0" fillId="0" borderId="1" xfId="1" applyNumberFormat="1" applyFont="1" applyBorder="1"/>
    <xf numFmtId="165" fontId="18" fillId="0" borderId="2" xfId="1" applyNumberFormat="1" applyFont="1" applyBorder="1"/>
    <xf numFmtId="165" fontId="0" fillId="0" borderId="2" xfId="1" applyNumberFormat="1" applyFont="1" applyBorder="1"/>
    <xf numFmtId="165" fontId="0" fillId="0" borderId="3" xfId="1" applyNumberFormat="1" applyFont="1" applyBorder="1"/>
    <xf numFmtId="165" fontId="0" fillId="0" borderId="44" xfId="1" applyNumberFormat="1" applyFont="1" applyBorder="1"/>
    <xf numFmtId="165" fontId="0" fillId="0" borderId="4" xfId="1" applyNumberFormat="1" applyFont="1" applyBorder="1"/>
    <xf numFmtId="165" fontId="18" fillId="0" borderId="0" xfId="1" applyNumberFormat="1" applyFont="1" applyBorder="1"/>
    <xf numFmtId="165" fontId="0" fillId="0" borderId="5" xfId="1" applyNumberFormat="1" applyFont="1" applyBorder="1"/>
    <xf numFmtId="165" fontId="0" fillId="0" borderId="9" xfId="1" applyNumberFormat="1" applyFont="1" applyBorder="1"/>
    <xf numFmtId="165" fontId="0" fillId="0" borderId="6" xfId="1" applyNumberFormat="1" applyFont="1" applyBorder="1"/>
    <xf numFmtId="165" fontId="18" fillId="0" borderId="7" xfId="1" applyNumberFormat="1" applyFont="1" applyBorder="1"/>
    <xf numFmtId="165" fontId="0" fillId="0" borderId="7" xfId="1" applyNumberFormat="1" applyFont="1" applyBorder="1"/>
    <xf numFmtId="165" fontId="0" fillId="0" borderId="8" xfId="1" applyNumberFormat="1" applyFont="1" applyBorder="1"/>
    <xf numFmtId="165" fontId="0" fillId="0" borderId="10" xfId="1" applyNumberFormat="1" applyFont="1" applyBorder="1"/>
    <xf numFmtId="0" fontId="0" fillId="6" borderId="7" xfId="0" applyFill="1" applyBorder="1" applyAlignment="1">
      <alignment horizontal="right"/>
    </xf>
    <xf numFmtId="0" fontId="0" fillId="6" borderId="8" xfId="0" applyFill="1" applyBorder="1" applyAlignment="1">
      <alignment horizontal="right"/>
    </xf>
    <xf numFmtId="43" fontId="0" fillId="0" borderId="3" xfId="0" applyNumberFormat="1" applyBorder="1"/>
    <xf numFmtId="43" fontId="0" fillId="0" borderId="8" xfId="0" applyNumberFormat="1" applyBorder="1"/>
    <xf numFmtId="43" fontId="0" fillId="0" borderId="5" xfId="0" applyNumberFormat="1" applyBorder="1"/>
    <xf numFmtId="43" fontId="0" fillId="0" borderId="23" xfId="0" applyNumberFormat="1" applyBorder="1"/>
    <xf numFmtId="43" fontId="0" fillId="0" borderId="0" xfId="1" applyFont="1" applyAlignment="1">
      <alignment horizontal="right" vertical="center"/>
    </xf>
    <xf numFmtId="168" fontId="0" fillId="0" borderId="0" xfId="1" applyNumberFormat="1" applyFont="1" applyAlignment="1">
      <alignment horizontal="right" vertical="center"/>
    </xf>
    <xf numFmtId="44" fontId="0" fillId="0" borderId="23" xfId="4" applyFont="1" applyBorder="1"/>
    <xf numFmtId="2" fontId="0" fillId="0" borderId="0" xfId="0" applyNumberFormat="1"/>
    <xf numFmtId="0" fontId="23" fillId="17" borderId="0" xfId="0" applyFont="1" applyFill="1" applyAlignment="1">
      <alignment horizontal="left"/>
    </xf>
    <xf numFmtId="0" fontId="23" fillId="17" borderId="48" xfId="0" applyFont="1" applyFill="1" applyBorder="1" applyAlignment="1">
      <alignment horizontal="left"/>
    </xf>
    <xf numFmtId="0" fontId="23" fillId="17" borderId="47" xfId="0" applyFont="1" applyFill="1" applyBorder="1" applyAlignment="1">
      <alignment horizontal="left"/>
    </xf>
    <xf numFmtId="0" fontId="0" fillId="6" borderId="0" xfId="0" applyFill="1" applyAlignment="1">
      <alignment horizontal="right"/>
    </xf>
    <xf numFmtId="0" fontId="0" fillId="9" borderId="0" xfId="0" applyFill="1"/>
    <xf numFmtId="0" fontId="6" fillId="9" borderId="0" xfId="0" applyFont="1" applyFill="1"/>
    <xf numFmtId="0" fontId="19" fillId="9" borderId="0" xfId="0" applyFont="1" applyFill="1"/>
    <xf numFmtId="0" fontId="24" fillId="9" borderId="0" xfId="0" applyFont="1" applyFill="1"/>
    <xf numFmtId="0" fontId="25" fillId="9" borderId="0" xfId="0" applyFont="1" applyFill="1" applyAlignment="1">
      <alignment vertical="center"/>
    </xf>
    <xf numFmtId="0" fontId="26" fillId="9" borderId="0" xfId="0" applyFont="1" applyFill="1"/>
    <xf numFmtId="2" fontId="18" fillId="9" borderId="0" xfId="0" applyNumberFormat="1" applyFont="1" applyFill="1" applyAlignment="1">
      <alignment horizontal="center"/>
    </xf>
    <xf numFmtId="0" fontId="1" fillId="11" borderId="24" xfId="0" applyFont="1" applyFill="1" applyBorder="1" applyAlignment="1">
      <alignment horizontal="center" vertical="center" wrapText="1"/>
    </xf>
    <xf numFmtId="0" fontId="23" fillId="20" borderId="0" xfId="0" applyFont="1" applyFill="1"/>
    <xf numFmtId="0" fontId="0" fillId="13" borderId="17" xfId="0" applyFill="1" applyBorder="1"/>
    <xf numFmtId="10" fontId="0" fillId="13" borderId="18" xfId="0" applyNumberFormat="1" applyFill="1" applyBorder="1" applyAlignment="1">
      <alignment horizontal="right"/>
    </xf>
    <xf numFmtId="2" fontId="0" fillId="2" borderId="0" xfId="0" applyNumberFormat="1" applyFill="1" applyAlignment="1">
      <alignment horizontal="left" vertical="center"/>
    </xf>
    <xf numFmtId="2" fontId="0" fillId="2" borderId="20" xfId="0" applyNumberFormat="1" applyFill="1" applyBorder="1" applyAlignment="1">
      <alignment horizontal="left" vertical="center"/>
    </xf>
    <xf numFmtId="0" fontId="11" fillId="6" borderId="20" xfId="0" applyFont="1" applyFill="1" applyBorder="1" applyAlignment="1">
      <alignment horizontal="left" vertical="center"/>
    </xf>
    <xf numFmtId="0" fontId="11" fillId="6" borderId="20" xfId="0" applyFont="1" applyFill="1" applyBorder="1" applyAlignment="1">
      <alignment horizontal="right" vertical="center"/>
    </xf>
    <xf numFmtId="0" fontId="0" fillId="0" borderId="54" xfId="0" applyBorder="1"/>
    <xf numFmtId="2" fontId="0" fillId="0" borderId="55" xfId="0" applyNumberFormat="1" applyBorder="1"/>
    <xf numFmtId="0" fontId="0" fillId="0" borderId="55" xfId="0" applyBorder="1"/>
    <xf numFmtId="0" fontId="0" fillId="0" borderId="56" xfId="0" applyBorder="1"/>
    <xf numFmtId="0" fontId="0" fillId="0" borderId="57" xfId="0" applyBorder="1"/>
    <xf numFmtId="0" fontId="0" fillId="0" borderId="58" xfId="0" applyBorder="1"/>
    <xf numFmtId="2" fontId="0" fillId="0" borderId="59" xfId="0" applyNumberFormat="1" applyBorder="1"/>
    <xf numFmtId="0" fontId="0" fillId="0" borderId="60" xfId="0" applyBorder="1"/>
    <xf numFmtId="0" fontId="0" fillId="0" borderId="61" xfId="0" applyBorder="1"/>
    <xf numFmtId="0" fontId="1" fillId="13" borderId="3" xfId="0" applyFont="1" applyFill="1" applyBorder="1" applyAlignment="1">
      <alignment horizontal="right"/>
    </xf>
    <xf numFmtId="0" fontId="0" fillId="0" borderId="62" xfId="0" applyBorder="1"/>
    <xf numFmtId="2" fontId="0" fillId="0" borderId="63" xfId="0" applyNumberFormat="1" applyBorder="1"/>
    <xf numFmtId="0" fontId="0" fillId="0" borderId="63" xfId="0" applyBorder="1"/>
    <xf numFmtId="0" fontId="0" fillId="0" borderId="64" xfId="0" applyBorder="1"/>
    <xf numFmtId="0" fontId="0" fillId="0" borderId="65" xfId="0" applyBorder="1"/>
    <xf numFmtId="2" fontId="19" fillId="0" borderId="0" xfId="0" applyNumberFormat="1" applyFont="1" applyAlignment="1">
      <alignment horizontal="left"/>
    </xf>
    <xf numFmtId="168" fontId="0" fillId="0" borderId="0" xfId="0" applyNumberFormat="1" applyAlignment="1">
      <alignment horizontal="left" vertical="center"/>
    </xf>
    <xf numFmtId="0" fontId="1" fillId="21" borderId="0" xfId="0" applyFont="1" applyFill="1" applyAlignment="1">
      <alignment horizontal="left" vertical="center"/>
    </xf>
    <xf numFmtId="0" fontId="1" fillId="21" borderId="0" xfId="0" applyFont="1" applyFill="1" applyAlignment="1">
      <alignment horizontal="center" vertical="center"/>
    </xf>
    <xf numFmtId="0" fontId="8" fillId="9" borderId="0" xfId="0" applyFont="1" applyFill="1" applyAlignment="1">
      <alignment horizontal="center" vertical="center"/>
    </xf>
    <xf numFmtId="165" fontId="0" fillId="0" borderId="53" xfId="1" applyNumberFormat="1" applyFont="1" applyBorder="1"/>
    <xf numFmtId="43" fontId="0" fillId="0" borderId="2" xfId="0" applyNumberFormat="1" applyBorder="1"/>
    <xf numFmtId="165" fontId="1" fillId="22" borderId="0" xfId="0" applyNumberFormat="1" applyFont="1" applyFill="1"/>
    <xf numFmtId="0" fontId="1" fillId="0" borderId="25" xfId="0" applyFont="1" applyBorder="1"/>
    <xf numFmtId="0" fontId="1" fillId="0" borderId="66" xfId="0" applyFont="1" applyBorder="1"/>
    <xf numFmtId="44" fontId="0" fillId="0" borderId="0" xfId="0" applyNumberFormat="1" applyAlignment="1">
      <alignment horizontal="left" vertical="center"/>
    </xf>
    <xf numFmtId="44" fontId="0" fillId="0" borderId="23" xfId="0" applyNumberFormat="1" applyBorder="1"/>
    <xf numFmtId="165" fontId="0" fillId="0" borderId="1" xfId="1" applyNumberFormat="1" applyFont="1" applyFill="1" applyBorder="1"/>
    <xf numFmtId="166" fontId="18" fillId="0" borderId="5" xfId="0" applyNumberFormat="1" applyFont="1" applyBorder="1" applyAlignment="1">
      <alignment horizontal="center"/>
    </xf>
    <xf numFmtId="0" fontId="1" fillId="6" borderId="14" xfId="0" applyFont="1" applyFill="1" applyBorder="1"/>
    <xf numFmtId="0" fontId="1" fillId="6" borderId="15" xfId="0" applyFont="1" applyFill="1" applyBorder="1" applyAlignment="1">
      <alignment horizontal="right"/>
    </xf>
    <xf numFmtId="0" fontId="0" fillId="13" borderId="6" xfId="0" applyFill="1" applyBorder="1"/>
    <xf numFmtId="0" fontId="0" fillId="13" borderId="8" xfId="0" applyFill="1" applyBorder="1"/>
    <xf numFmtId="165" fontId="7" fillId="0" borderId="0" xfId="1" applyNumberFormat="1" applyFont="1" applyBorder="1"/>
    <xf numFmtId="0" fontId="23" fillId="18" borderId="4" xfId="0" applyFont="1" applyFill="1" applyBorder="1"/>
    <xf numFmtId="0" fontId="23" fillId="18" borderId="6" xfId="0" applyFont="1" applyFill="1" applyBorder="1"/>
    <xf numFmtId="43" fontId="0" fillId="0" borderId="24" xfId="0" applyNumberFormat="1" applyBorder="1" applyAlignment="1">
      <alignment horizontal="left" vertical="center"/>
    </xf>
    <xf numFmtId="43" fontId="0" fillId="0" borderId="26" xfId="0" applyNumberFormat="1" applyBorder="1" applyAlignment="1">
      <alignment horizontal="left" vertical="center"/>
    </xf>
    <xf numFmtId="43" fontId="0" fillId="0" borderId="0" xfId="0" applyNumberFormat="1" applyAlignment="1">
      <alignment horizontal="left" vertical="center"/>
    </xf>
    <xf numFmtId="2" fontId="1" fillId="0" borderId="26" xfId="0" applyNumberFormat="1" applyFont="1" applyBorder="1" applyAlignment="1">
      <alignment horizontal="right" vertical="center"/>
    </xf>
    <xf numFmtId="44" fontId="1" fillId="0" borderId="25" xfId="0" applyNumberFormat="1" applyFont="1" applyBorder="1" applyAlignment="1">
      <alignment horizontal="left" vertical="center"/>
    </xf>
    <xf numFmtId="43" fontId="1" fillId="0" borderId="26" xfId="0" applyNumberFormat="1" applyFont="1" applyBorder="1" applyAlignment="1">
      <alignment horizontal="left" vertical="center"/>
    </xf>
    <xf numFmtId="44" fontId="0" fillId="0" borderId="24" xfId="0" applyNumberFormat="1" applyBorder="1"/>
    <xf numFmtId="44" fontId="0" fillId="0" borderId="0" xfId="0" applyNumberFormat="1"/>
    <xf numFmtId="44" fontId="0" fillId="0" borderId="26" xfId="0" applyNumberFormat="1" applyBorder="1"/>
    <xf numFmtId="44" fontId="8" fillId="9" borderId="0" xfId="0" applyNumberFormat="1" applyFont="1" applyFill="1" applyAlignment="1">
      <alignment horizontal="left" vertical="center"/>
    </xf>
    <xf numFmtId="0" fontId="0" fillId="5" borderId="1" xfId="0" applyFill="1" applyBorder="1" applyAlignment="1">
      <alignment horizontal="right"/>
    </xf>
    <xf numFmtId="2" fontId="7" fillId="0" borderId="0" xfId="0" applyNumberFormat="1" applyFont="1" applyAlignment="1">
      <alignment horizontal="center"/>
    </xf>
    <xf numFmtId="2" fontId="7" fillId="0" borderId="20" xfId="0" applyNumberFormat="1" applyFont="1" applyBorder="1" applyAlignment="1">
      <alignment horizontal="center"/>
    </xf>
    <xf numFmtId="0" fontId="0" fillId="0" borderId="6" xfId="0" applyBorder="1" applyAlignment="1">
      <alignment vertical="center"/>
    </xf>
    <xf numFmtId="0" fontId="0" fillId="0" borderId="6" xfId="0" applyBorder="1"/>
    <xf numFmtId="0" fontId="1" fillId="6" borderId="1" xfId="0" applyFont="1" applyFill="1" applyBorder="1" applyAlignment="1">
      <alignment horizontal="right"/>
    </xf>
    <xf numFmtId="0" fontId="1" fillId="6" borderId="3" xfId="0" applyFont="1" applyFill="1" applyBorder="1" applyAlignment="1">
      <alignment horizontal="right"/>
    </xf>
    <xf numFmtId="9" fontId="0" fillId="0" borderId="6" xfId="2" applyFont="1" applyBorder="1"/>
    <xf numFmtId="9" fontId="0" fillId="0" borderId="8" xfId="2" applyFont="1" applyBorder="1"/>
    <xf numFmtId="9" fontId="0" fillId="0" borderId="0" xfId="2" applyFont="1" applyBorder="1"/>
    <xf numFmtId="9" fontId="0" fillId="0" borderId="5" xfId="2" applyFont="1" applyBorder="1"/>
    <xf numFmtId="9" fontId="0" fillId="0" borderId="7" xfId="2" applyFont="1" applyBorder="1"/>
    <xf numFmtId="0" fontId="1" fillId="13" borderId="6" xfId="0" applyFont="1" applyFill="1" applyBorder="1"/>
    <xf numFmtId="0" fontId="1" fillId="13" borderId="7" xfId="0" applyFont="1" applyFill="1" applyBorder="1" applyAlignment="1">
      <alignment horizontal="right"/>
    </xf>
    <xf numFmtId="0" fontId="1" fillId="13" borderId="8" xfId="0" applyFont="1" applyFill="1" applyBorder="1" applyAlignment="1">
      <alignment horizontal="right"/>
    </xf>
    <xf numFmtId="0" fontId="0" fillId="14" borderId="0" xfId="0" applyFill="1" applyAlignment="1">
      <alignment horizontal="left" vertical="center"/>
    </xf>
    <xf numFmtId="0" fontId="0" fillId="3" borderId="0" xfId="0" applyFill="1" applyAlignment="1">
      <alignment horizontal="left" vertical="center"/>
    </xf>
    <xf numFmtId="0" fontId="0" fillId="6" borderId="0" xfId="0" applyFill="1" applyAlignment="1">
      <alignment horizontal="left" vertical="center"/>
    </xf>
    <xf numFmtId="0" fontId="0" fillId="20" borderId="0" xfId="0" applyFill="1"/>
    <xf numFmtId="0" fontId="0" fillId="13" borderId="4" xfId="0" applyFill="1" applyBorder="1"/>
    <xf numFmtId="0" fontId="0" fillId="13" borderId="4" xfId="0" applyFill="1" applyBorder="1" applyAlignment="1">
      <alignment vertical="center"/>
    </xf>
    <xf numFmtId="0" fontId="0" fillId="8" borderId="30" xfId="0" applyFill="1" applyBorder="1"/>
    <xf numFmtId="0" fontId="0" fillId="8" borderId="17" xfId="0" applyFill="1" applyBorder="1"/>
    <xf numFmtId="0" fontId="0" fillId="19" borderId="1" xfId="0" applyFill="1" applyBorder="1"/>
    <xf numFmtId="0" fontId="0" fillId="19" borderId="3" xfId="0" applyFill="1" applyBorder="1"/>
    <xf numFmtId="0" fontId="0" fillId="19" borderId="1" xfId="0" applyFill="1" applyBorder="1" applyAlignment="1">
      <alignment horizontal="left" vertical="center"/>
    </xf>
    <xf numFmtId="0" fontId="1" fillId="23" borderId="1" xfId="0" applyFont="1" applyFill="1" applyBorder="1"/>
    <xf numFmtId="0" fontId="0" fillId="22" borderId="15" xfId="0" applyFill="1" applyBorder="1"/>
    <xf numFmtId="0" fontId="1" fillId="11" borderId="28" xfId="0" applyFont="1" applyFill="1" applyBorder="1" applyAlignment="1">
      <alignment horizontal="center"/>
    </xf>
    <xf numFmtId="0" fontId="1" fillId="11" borderId="19" xfId="0" applyFont="1" applyFill="1" applyBorder="1" applyAlignment="1">
      <alignment horizontal="center"/>
    </xf>
    <xf numFmtId="0" fontId="0" fillId="0" borderId="9" xfId="0" applyBorder="1" applyAlignment="1">
      <alignment horizontal="center" vertical="center"/>
    </xf>
    <xf numFmtId="0" fontId="0" fillId="7" borderId="44" xfId="0" applyFill="1" applyBorder="1" applyAlignment="1">
      <alignment horizontal="center" vertical="center"/>
    </xf>
    <xf numFmtId="0" fontId="0" fillId="7" borderId="9" xfId="0" applyFill="1" applyBorder="1" applyAlignment="1">
      <alignment horizontal="center" vertical="center"/>
    </xf>
    <xf numFmtId="3" fontId="0" fillId="7" borderId="9" xfId="0" applyNumberFormat="1" applyFill="1" applyBorder="1" applyAlignment="1">
      <alignment horizontal="center" vertical="center"/>
    </xf>
    <xf numFmtId="0" fontId="0" fillId="7" borderId="10" xfId="0" applyFill="1" applyBorder="1" applyAlignment="1">
      <alignment horizontal="center" vertical="center"/>
    </xf>
    <xf numFmtId="0" fontId="0" fillId="0" borderId="1" xfId="0" applyBorder="1"/>
    <xf numFmtId="0" fontId="7" fillId="24" borderId="11" xfId="0" applyFont="1" applyFill="1" applyBorder="1"/>
    <xf numFmtId="165" fontId="7" fillId="24" borderId="11" xfId="1" applyNumberFormat="1" applyFont="1" applyFill="1" applyBorder="1"/>
    <xf numFmtId="0" fontId="1" fillId="0" borderId="14" xfId="0" applyFont="1" applyBorder="1"/>
    <xf numFmtId="0" fontId="0" fillId="8" borderId="37" xfId="0" applyFill="1" applyBorder="1" applyAlignment="1">
      <alignment horizontal="right"/>
    </xf>
    <xf numFmtId="0" fontId="0" fillId="8" borderId="18" xfId="0" applyFill="1" applyBorder="1" applyAlignment="1">
      <alignment horizontal="right"/>
    </xf>
    <xf numFmtId="0" fontId="0" fillId="8" borderId="21" xfId="0" applyFill="1" applyBorder="1" applyAlignment="1">
      <alignment horizontal="right"/>
    </xf>
    <xf numFmtId="0" fontId="0" fillId="8" borderId="37" xfId="0" applyFill="1" applyBorder="1"/>
    <xf numFmtId="0" fontId="0" fillId="8" borderId="18" xfId="0" applyFill="1" applyBorder="1"/>
    <xf numFmtId="0" fontId="0" fillId="8" borderId="21" xfId="0" applyFill="1" applyBorder="1"/>
    <xf numFmtId="0" fontId="7" fillId="8" borderId="11" xfId="0" applyFont="1" applyFill="1" applyBorder="1"/>
    <xf numFmtId="9" fontId="1" fillId="8" borderId="6" xfId="2" applyFont="1" applyFill="1" applyBorder="1" applyAlignment="1">
      <alignment horizontal="center" vertical="center"/>
    </xf>
    <xf numFmtId="9" fontId="1" fillId="8" borderId="7" xfId="2" applyFont="1" applyFill="1" applyBorder="1" applyAlignment="1">
      <alignment horizontal="center" vertical="center"/>
    </xf>
    <xf numFmtId="9" fontId="1" fillId="8" borderId="31" xfId="2" applyFont="1" applyFill="1" applyBorder="1" applyAlignment="1">
      <alignment horizontal="center" vertical="center"/>
    </xf>
    <xf numFmtId="9" fontId="1" fillId="8" borderId="8" xfId="2" applyFont="1" applyFill="1" applyBorder="1" applyAlignment="1">
      <alignment horizontal="center" vertical="center"/>
    </xf>
    <xf numFmtId="0" fontId="25" fillId="9" borderId="0" xfId="0" applyFont="1" applyFill="1" applyAlignment="1">
      <alignment horizontal="left" vertical="center"/>
    </xf>
    <xf numFmtId="0" fontId="0" fillId="0" borderId="0" xfId="0" applyAlignment="1">
      <alignment horizontal="right" vertical="center"/>
    </xf>
    <xf numFmtId="0" fontId="1" fillId="0" borderId="0" xfId="0" applyFont="1" applyAlignment="1">
      <alignment horizontal="right"/>
    </xf>
    <xf numFmtId="0" fontId="1" fillId="14" borderId="0" xfId="0" applyFont="1" applyFill="1" applyAlignment="1">
      <alignment horizontal="right" vertical="center"/>
    </xf>
    <xf numFmtId="0" fontId="1" fillId="14" borderId="0" xfId="0" applyFont="1" applyFill="1" applyAlignment="1">
      <alignment horizontal="right"/>
    </xf>
    <xf numFmtId="170" fontId="0" fillId="13" borderId="0" xfId="0" applyNumberFormat="1" applyFill="1" applyAlignment="1">
      <alignment horizontal="left"/>
    </xf>
    <xf numFmtId="0" fontId="0" fillId="8" borderId="0" xfId="0" applyFill="1" applyAlignment="1">
      <alignment horizontal="left" vertical="center"/>
    </xf>
    <xf numFmtId="0" fontId="3" fillId="0" borderId="8" xfId="0" applyFont="1" applyBorder="1"/>
    <xf numFmtId="0" fontId="30" fillId="24" borderId="0" xfId="0" applyFont="1" applyFill="1" applyAlignment="1">
      <alignment horizontal="center" vertical="center"/>
    </xf>
    <xf numFmtId="0" fontId="4" fillId="14" borderId="27" xfId="0" applyFont="1" applyFill="1" applyBorder="1" applyAlignment="1">
      <alignment horizontal="center" vertical="center"/>
    </xf>
    <xf numFmtId="2" fontId="4" fillId="4" borderId="14" xfId="0" applyNumberFormat="1" applyFont="1" applyFill="1" applyBorder="1" applyAlignment="1">
      <alignment vertical="center"/>
    </xf>
    <xf numFmtId="2" fontId="4" fillId="4" borderId="11" xfId="0" applyNumberFormat="1" applyFont="1" applyFill="1" applyBorder="1" applyAlignment="1">
      <alignment vertical="center"/>
    </xf>
    <xf numFmtId="0" fontId="0" fillId="14" borderId="1" xfId="0" applyFill="1" applyBorder="1"/>
    <xf numFmtId="0" fontId="0" fillId="0" borderId="8" xfId="0" applyBorder="1"/>
    <xf numFmtId="44" fontId="0" fillId="6" borderId="3" xfId="0" applyNumberFormat="1" applyFill="1" applyBorder="1"/>
    <xf numFmtId="171" fontId="0" fillId="8" borderId="5" xfId="0" applyNumberFormat="1" applyFill="1" applyBorder="1"/>
    <xf numFmtId="2" fontId="0" fillId="8" borderId="8" xfId="0" applyNumberFormat="1" applyFill="1" applyBorder="1" applyAlignment="1">
      <alignment horizontal="right"/>
    </xf>
    <xf numFmtId="2" fontId="0" fillId="8" borderId="5" xfId="0" applyNumberFormat="1" applyFill="1" applyBorder="1" applyAlignment="1">
      <alignment horizontal="right"/>
    </xf>
    <xf numFmtId="0" fontId="0" fillId="0" borderId="14" xfId="0" applyBorder="1"/>
    <xf numFmtId="172" fontId="0" fillId="8" borderId="5" xfId="0" applyNumberFormat="1" applyFill="1" applyBorder="1"/>
    <xf numFmtId="172" fontId="0" fillId="8" borderId="5" xfId="0" applyNumberFormat="1" applyFill="1" applyBorder="1" applyAlignment="1">
      <alignment horizontal="right"/>
    </xf>
    <xf numFmtId="172" fontId="0" fillId="8" borderId="11" xfId="0" applyNumberFormat="1" applyFill="1" applyBorder="1" applyAlignment="1">
      <alignment horizontal="right"/>
    </xf>
    <xf numFmtId="43" fontId="0" fillId="0" borderId="23" xfId="1" applyFont="1" applyBorder="1" applyAlignment="1">
      <alignment horizontal="right" vertical="center"/>
    </xf>
    <xf numFmtId="44" fontId="0" fillId="0" borderId="26" xfId="0" applyNumberFormat="1" applyBorder="1" applyAlignment="1">
      <alignment horizontal="right" vertical="center"/>
    </xf>
    <xf numFmtId="44" fontId="0" fillId="0" borderId="25" xfId="0" applyNumberFormat="1" applyBorder="1" applyAlignment="1">
      <alignment horizontal="right" vertical="center"/>
    </xf>
    <xf numFmtId="44" fontId="25" fillId="9" borderId="0" xfId="0" applyNumberFormat="1" applyFont="1" applyFill="1" applyAlignment="1">
      <alignment horizontal="right" vertical="center"/>
    </xf>
    <xf numFmtId="0" fontId="8" fillId="9" borderId="0" xfId="0" applyFont="1" applyFill="1"/>
    <xf numFmtId="0" fontId="8" fillId="17" borderId="0" xfId="0" applyFont="1" applyFill="1"/>
    <xf numFmtId="0" fontId="0" fillId="17" borderId="0" xfId="0" applyFill="1"/>
    <xf numFmtId="0" fontId="32" fillId="0" borderId="0" xfId="0" applyFont="1"/>
    <xf numFmtId="0" fontId="30" fillId="9" borderId="0" xfId="0" applyFont="1" applyFill="1" applyAlignment="1">
      <alignment horizontal="center" vertical="center"/>
    </xf>
    <xf numFmtId="0" fontId="6" fillId="25" borderId="0" xfId="0" applyFont="1" applyFill="1" applyAlignment="1">
      <alignment horizontal="center" vertical="center"/>
    </xf>
    <xf numFmtId="0" fontId="0" fillId="13" borderId="1" xfId="0" applyFill="1" applyBorder="1" applyAlignment="1">
      <alignment horizontal="center"/>
    </xf>
    <xf numFmtId="0" fontId="0" fillId="13" borderId="6" xfId="0" applyFill="1" applyBorder="1" applyAlignment="1">
      <alignment horizontal="center"/>
    </xf>
    <xf numFmtId="0" fontId="0" fillId="6" borderId="0" xfId="0" applyFill="1" applyAlignment="1">
      <alignment horizontal="center" vertical="center"/>
    </xf>
    <xf numFmtId="0" fontId="0" fillId="6" borderId="5" xfId="0" applyFill="1" applyBorder="1" applyAlignment="1">
      <alignment horizontal="center" vertical="center"/>
    </xf>
    <xf numFmtId="9" fontId="0" fillId="0" borderId="2" xfId="2" applyFont="1" applyBorder="1" applyAlignment="1">
      <alignment horizontal="center"/>
    </xf>
    <xf numFmtId="0" fontId="0" fillId="0" borderId="3" xfId="0" applyBorder="1" applyAlignment="1">
      <alignment horizontal="center"/>
    </xf>
    <xf numFmtId="9" fontId="0" fillId="0" borderId="0" xfId="0" applyNumberFormat="1" applyAlignment="1">
      <alignment horizontal="center"/>
    </xf>
    <xf numFmtId="0" fontId="0" fillId="0" borderId="5" xfId="0" applyBorder="1" applyAlignment="1">
      <alignment horizontal="center"/>
    </xf>
    <xf numFmtId="9" fontId="0" fillId="8" borderId="0" xfId="0" applyNumberFormat="1" applyFill="1" applyAlignment="1">
      <alignment horizontal="center"/>
    </xf>
    <xf numFmtId="9" fontId="0" fillId="8" borderId="5" xfId="0" applyNumberFormat="1" applyFill="1" applyBorder="1" applyAlignment="1">
      <alignment horizontal="center"/>
    </xf>
    <xf numFmtId="9" fontId="0" fillId="8" borderId="7" xfId="2" applyFont="1" applyFill="1" applyBorder="1" applyAlignment="1">
      <alignment horizontal="center"/>
    </xf>
    <xf numFmtId="9" fontId="0" fillId="8" borderId="8" xfId="0" applyNumberFormat="1" applyFill="1" applyBorder="1" applyAlignment="1">
      <alignment horizontal="center"/>
    </xf>
    <xf numFmtId="0" fontId="0" fillId="4" borderId="0" xfId="0" applyFill="1"/>
    <xf numFmtId="0" fontId="0" fillId="4" borderId="7" xfId="0" applyFill="1" applyBorder="1"/>
    <xf numFmtId="0" fontId="0" fillId="6" borderId="0" xfId="0" applyFill="1"/>
    <xf numFmtId="0" fontId="0" fillId="0" borderId="15" xfId="0" applyBorder="1"/>
    <xf numFmtId="0" fontId="0" fillId="0" borderId="11" xfId="0" applyBorder="1"/>
    <xf numFmtId="0" fontId="0" fillId="0" borderId="2" xfId="2" applyNumberFormat="1" applyFont="1" applyBorder="1"/>
    <xf numFmtId="0" fontId="0" fillId="6" borderId="7" xfId="0" applyFill="1" applyBorder="1"/>
    <xf numFmtId="0" fontId="0" fillId="4" borderId="2" xfId="0" applyFill="1" applyBorder="1"/>
    <xf numFmtId="0" fontId="0" fillId="25" borderId="10" xfId="0" applyFill="1" applyBorder="1"/>
    <xf numFmtId="0" fontId="0" fillId="3" borderId="1" xfId="0" applyFill="1" applyBorder="1"/>
    <xf numFmtId="0" fontId="0" fillId="3" borderId="6" xfId="0" applyFill="1" applyBorder="1"/>
    <xf numFmtId="0" fontId="0" fillId="0" borderId="9" xfId="2" applyNumberFormat="1" applyFont="1" applyBorder="1"/>
    <xf numFmtId="0" fontId="0" fillId="0" borderId="44" xfId="2" applyNumberFormat="1" applyFont="1" applyBorder="1"/>
    <xf numFmtId="0" fontId="0" fillId="13" borderId="5" xfId="0" applyFill="1" applyBorder="1" applyAlignment="1">
      <alignment horizontal="left" vertical="center"/>
    </xf>
    <xf numFmtId="0" fontId="0" fillId="6" borderId="7" xfId="0" applyFill="1" applyBorder="1" applyAlignment="1">
      <alignment horizontal="left" vertical="center"/>
    </xf>
    <xf numFmtId="0" fontId="0" fillId="26" borderId="8" xfId="0" applyFill="1" applyBorder="1" applyAlignment="1">
      <alignment horizontal="center"/>
    </xf>
    <xf numFmtId="0" fontId="0" fillId="14" borderId="7" xfId="0" applyFill="1" applyBorder="1" applyAlignment="1">
      <alignment horizontal="center"/>
    </xf>
    <xf numFmtId="0" fontId="0" fillId="13" borderId="0" xfId="0" applyFill="1" applyAlignment="1">
      <alignment horizontal="center"/>
    </xf>
    <xf numFmtId="0" fontId="0" fillId="0" borderId="10" xfId="2" applyNumberFormat="1" applyFont="1" applyBorder="1"/>
    <xf numFmtId="6" fontId="0" fillId="0" borderId="0" xfId="0" applyNumberFormat="1"/>
    <xf numFmtId="0" fontId="1" fillId="3" borderId="1" xfId="0" applyFont="1" applyFill="1" applyBorder="1"/>
    <xf numFmtId="0" fontId="1" fillId="3" borderId="6" xfId="0" applyFont="1" applyFill="1" applyBorder="1"/>
    <xf numFmtId="0" fontId="0" fillId="4" borderId="3" xfId="0" applyFill="1" applyBorder="1" applyAlignment="1">
      <alignment horizontal="center" vertical="center"/>
    </xf>
    <xf numFmtId="0" fontId="0" fillId="4" borderId="8" xfId="0" applyFill="1" applyBorder="1" applyAlignment="1">
      <alignment horizontal="center" vertical="center"/>
    </xf>
    <xf numFmtId="0" fontId="0" fillId="4" borderId="11" xfId="0" applyFill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44" fontId="0" fillId="0" borderId="5" xfId="0" applyNumberFormat="1" applyBorder="1" applyAlignment="1">
      <alignment horizontal="center"/>
    </xf>
    <xf numFmtId="44" fontId="0" fillId="0" borderId="8" xfId="0" applyNumberFormat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44" fontId="0" fillId="0" borderId="3" xfId="0" applyNumberFormat="1" applyBorder="1" applyAlignment="1">
      <alignment horizontal="center"/>
    </xf>
    <xf numFmtId="44" fontId="0" fillId="0" borderId="11" xfId="0" applyNumberFormat="1" applyBorder="1"/>
    <xf numFmtId="0" fontId="1" fillId="3" borderId="14" xfId="0" applyFont="1" applyFill="1" applyBorder="1" applyAlignment="1">
      <alignment horizontal="center" vertical="center"/>
    </xf>
    <xf numFmtId="0" fontId="0" fillId="25" borderId="11" xfId="0" applyFill="1" applyBorder="1" applyAlignment="1">
      <alignment horizontal="center" vertical="center"/>
    </xf>
    <xf numFmtId="0" fontId="0" fillId="25" borderId="11" xfId="0" applyFill="1" applyBorder="1" applyAlignment="1">
      <alignment horizontal="center"/>
    </xf>
    <xf numFmtId="1" fontId="0" fillId="0" borderId="0" xfId="0" applyNumberFormat="1"/>
    <xf numFmtId="0" fontId="34" fillId="3" borderId="14" xfId="0" applyFont="1" applyFill="1" applyBorder="1"/>
    <xf numFmtId="0" fontId="4" fillId="13" borderId="27" xfId="0" applyFont="1" applyFill="1" applyBorder="1" applyAlignment="1">
      <alignment horizontal="center" vertical="center"/>
    </xf>
    <xf numFmtId="0" fontId="0" fillId="25" borderId="44" xfId="0" applyFill="1" applyBorder="1" applyAlignment="1">
      <alignment horizontal="right"/>
    </xf>
    <xf numFmtId="0" fontId="3" fillId="0" borderId="3" xfId="0" applyFont="1" applyBorder="1" applyAlignment="1">
      <alignment horizontal="left"/>
    </xf>
    <xf numFmtId="0" fontId="0" fillId="14" borderId="2" xfId="0" applyFill="1" applyBorder="1" applyAlignment="1">
      <alignment horizontal="center"/>
    </xf>
    <xf numFmtId="0" fontId="1" fillId="14" borderId="1" xfId="0" applyFont="1" applyFill="1" applyBorder="1" applyAlignment="1">
      <alignment horizontal="right" vertical="center"/>
    </xf>
    <xf numFmtId="0" fontId="0" fillId="8" borderId="2" xfId="0" applyFill="1" applyBorder="1" applyAlignment="1">
      <alignment horizontal="center" vertical="center"/>
    </xf>
    <xf numFmtId="0" fontId="1" fillId="14" borderId="6" xfId="0" applyFont="1" applyFill="1" applyBorder="1" applyAlignment="1">
      <alignment horizontal="right"/>
    </xf>
    <xf numFmtId="165" fontId="0" fillId="13" borderId="7" xfId="1" applyNumberFormat="1" applyFont="1" applyFill="1" applyBorder="1" applyAlignment="1">
      <alignment horizontal="right" vertical="center"/>
    </xf>
    <xf numFmtId="0" fontId="0" fillId="13" borderId="8" xfId="0" applyFill="1" applyBorder="1" applyAlignment="1">
      <alignment horizontal="center" vertical="center"/>
    </xf>
    <xf numFmtId="0" fontId="0" fillId="0" borderId="44" xfId="0" applyBorder="1" applyAlignment="1">
      <alignment horizontal="left"/>
    </xf>
    <xf numFmtId="0" fontId="0" fillId="0" borderId="10" xfId="0" applyBorder="1" applyAlignment="1">
      <alignment horizontal="left"/>
    </xf>
    <xf numFmtId="1" fontId="0" fillId="0" borderId="11" xfId="0" applyNumberFormat="1" applyBorder="1"/>
    <xf numFmtId="6" fontId="0" fillId="0" borderId="11" xfId="0" applyNumberFormat="1" applyBorder="1"/>
    <xf numFmtId="0" fontId="0" fillId="3" borderId="14" xfId="0" applyFill="1" applyBorder="1" applyAlignment="1">
      <alignment horizontal="left"/>
    </xf>
    <xf numFmtId="172" fontId="0" fillId="0" borderId="11" xfId="0" applyNumberFormat="1" applyBorder="1"/>
    <xf numFmtId="0" fontId="0" fillId="5" borderId="14" xfId="0" applyFill="1" applyBorder="1"/>
    <xf numFmtId="0" fontId="1" fillId="5" borderId="1" xfId="0" applyFont="1" applyFill="1" applyBorder="1" applyAlignment="1">
      <alignment horizontal="center" vertical="center"/>
    </xf>
    <xf numFmtId="0" fontId="1" fillId="5" borderId="2" xfId="0" applyFont="1" applyFill="1" applyBorder="1" applyAlignment="1">
      <alignment horizontal="center" vertical="center"/>
    </xf>
    <xf numFmtId="0" fontId="1" fillId="5" borderId="3" xfId="0" applyFont="1" applyFill="1" applyBorder="1" applyAlignment="1">
      <alignment horizontal="center" vertical="center"/>
    </xf>
    <xf numFmtId="44" fontId="0" fillId="0" borderId="14" xfId="0" applyNumberFormat="1" applyBorder="1" applyAlignment="1">
      <alignment horizontal="center" vertical="center"/>
    </xf>
    <xf numFmtId="44" fontId="0" fillId="0" borderId="15" xfId="0" applyNumberFormat="1" applyBorder="1" applyAlignment="1">
      <alignment horizontal="center" vertical="center"/>
    </xf>
    <xf numFmtId="44" fontId="0" fillId="0" borderId="11" xfId="0" applyNumberFormat="1" applyBorder="1" applyAlignment="1">
      <alignment horizontal="center" vertical="center"/>
    </xf>
    <xf numFmtId="0" fontId="17" fillId="5" borderId="3" xfId="0" applyFont="1" applyFill="1" applyBorder="1" applyAlignment="1">
      <alignment horizontal="center" vertical="center"/>
    </xf>
    <xf numFmtId="44" fontId="17" fillId="23" borderId="27" xfId="0" applyNumberFormat="1" applyFont="1" applyFill="1" applyBorder="1" applyAlignment="1">
      <alignment horizontal="center" vertical="center"/>
    </xf>
    <xf numFmtId="169" fontId="0" fillId="8" borderId="0" xfId="0" applyNumberFormat="1" applyFill="1"/>
    <xf numFmtId="0" fontId="23" fillId="25" borderId="14" xfId="0" applyFont="1" applyFill="1" applyBorder="1" applyAlignment="1">
      <alignment vertical="center"/>
    </xf>
    <xf numFmtId="0" fontId="0" fillId="8" borderId="1" xfId="0" applyFill="1" applyBorder="1"/>
    <xf numFmtId="0" fontId="0" fillId="8" borderId="2" xfId="0" applyFill="1" applyBorder="1"/>
    <xf numFmtId="0" fontId="0" fillId="8" borderId="3" xfId="0" applyFill="1" applyBorder="1"/>
    <xf numFmtId="0" fontId="0" fillId="8" borderId="4" xfId="0" applyFill="1" applyBorder="1"/>
    <xf numFmtId="0" fontId="0" fillId="8" borderId="0" xfId="0" applyFill="1"/>
    <xf numFmtId="0" fontId="0" fillId="8" borderId="5" xfId="0" applyFill="1" applyBorder="1"/>
    <xf numFmtId="173" fontId="28" fillId="2" borderId="27" xfId="0" applyNumberFormat="1" applyFont="1" applyFill="1" applyBorder="1" applyAlignment="1">
      <alignment horizontal="right"/>
    </xf>
    <xf numFmtId="0" fontId="35" fillId="20" borderId="0" xfId="0" applyFont="1" applyFill="1" applyAlignment="1">
      <alignment horizontal="left" vertical="center"/>
    </xf>
    <xf numFmtId="0" fontId="0" fillId="6" borderId="6" xfId="0" applyFill="1" applyBorder="1" applyAlignment="1">
      <alignment horizontal="left" vertical="center"/>
    </xf>
    <xf numFmtId="0" fontId="0" fillId="6" borderId="8" xfId="0" applyFill="1" applyBorder="1" applyAlignment="1">
      <alignment horizontal="left" vertical="center"/>
    </xf>
    <xf numFmtId="44" fontId="1" fillId="0" borderId="14" xfId="0" applyNumberFormat="1" applyFont="1" applyBorder="1" applyAlignment="1">
      <alignment horizontal="center" vertical="center"/>
    </xf>
    <xf numFmtId="3" fontId="0" fillId="0" borderId="0" xfId="0" applyNumberFormat="1" applyAlignment="1">
      <alignment horizontal="left" vertical="center"/>
    </xf>
    <xf numFmtId="1" fontId="0" fillId="0" borderId="0" xfId="0" applyNumberFormat="1" applyAlignment="1">
      <alignment horizontal="left" vertical="center"/>
    </xf>
    <xf numFmtId="0" fontId="31" fillId="20" borderId="0" xfId="0" applyFont="1" applyFill="1" applyAlignment="1">
      <alignment horizontal="left" vertical="center"/>
    </xf>
    <xf numFmtId="44" fontId="25" fillId="20" borderId="0" xfId="0" applyNumberFormat="1" applyFont="1" applyFill="1" applyAlignment="1">
      <alignment horizontal="right" vertical="center"/>
    </xf>
    <xf numFmtId="164" fontId="0" fillId="0" borderId="0" xfId="0" applyNumberFormat="1" applyAlignment="1">
      <alignment horizontal="left" vertical="center"/>
    </xf>
    <xf numFmtId="0" fontId="36" fillId="0" borderId="0" xfId="0" applyFont="1" applyAlignment="1">
      <alignment horizontal="center" vertical="center" wrapText="1"/>
    </xf>
    <xf numFmtId="172" fontId="0" fillId="0" borderId="0" xfId="0" applyNumberFormat="1"/>
    <xf numFmtId="164" fontId="1" fillId="0" borderId="11" xfId="0" applyNumberFormat="1" applyFont="1" applyBorder="1" applyAlignment="1">
      <alignment horizontal="center" vertical="center"/>
    </xf>
    <xf numFmtId="164" fontId="8" fillId="9" borderId="0" xfId="0" applyNumberFormat="1" applyFont="1" applyFill="1" applyAlignment="1">
      <alignment horizontal="left" vertical="center"/>
    </xf>
    <xf numFmtId="167" fontId="0" fillId="0" borderId="0" xfId="2" applyNumberFormat="1" applyFont="1"/>
    <xf numFmtId="44" fontId="0" fillId="0" borderId="0" xfId="0" applyNumberFormat="1" applyAlignment="1">
      <alignment vertical="center"/>
    </xf>
    <xf numFmtId="0" fontId="0" fillId="0" borderId="0" xfId="0" applyAlignment="1">
      <alignment wrapText="1"/>
    </xf>
    <xf numFmtId="0" fontId="37" fillId="0" borderId="0" xfId="0" applyFont="1" applyAlignment="1">
      <alignment horizontal="justify" vertical="center"/>
    </xf>
    <xf numFmtId="0" fontId="25" fillId="20" borderId="0" xfId="0" applyFont="1" applyFill="1" applyAlignment="1">
      <alignment horizontal="left" vertical="center"/>
    </xf>
    <xf numFmtId="0" fontId="1" fillId="0" borderId="12" xfId="0" applyFont="1" applyBorder="1" applyAlignment="1">
      <alignment vertical="center"/>
    </xf>
    <xf numFmtId="0" fontId="1" fillId="0" borderId="13" xfId="0" applyFont="1" applyBorder="1" applyAlignment="1">
      <alignment vertical="center"/>
    </xf>
    <xf numFmtId="0" fontId="1" fillId="0" borderId="12" xfId="0" applyFont="1" applyBorder="1" applyAlignment="1">
      <alignment vertical="center" wrapText="1"/>
    </xf>
    <xf numFmtId="0" fontId="25" fillId="20" borderId="0" xfId="0" applyFont="1" applyFill="1" applyAlignment="1">
      <alignment horizontal="left" vertical="center"/>
    </xf>
    <xf numFmtId="0" fontId="1" fillId="24" borderId="0" xfId="0" applyFont="1" applyFill="1" applyAlignment="1">
      <alignment horizontal="center" vertical="center"/>
    </xf>
    <xf numFmtId="0" fontId="1" fillId="7" borderId="0" xfId="0" applyFont="1" applyFill="1" applyAlignment="1">
      <alignment horizontal="center" vertical="center"/>
    </xf>
    <xf numFmtId="0" fontId="1" fillId="8" borderId="0" xfId="0" applyFont="1" applyFill="1" applyAlignment="1">
      <alignment horizontal="center" vertical="center"/>
    </xf>
    <xf numFmtId="0" fontId="1" fillId="4" borderId="0" xfId="0" applyFont="1" applyFill="1" applyAlignment="1">
      <alignment horizontal="center" vertical="center" textRotation="180"/>
    </xf>
    <xf numFmtId="0" fontId="17" fillId="0" borderId="4" xfId="0" applyFont="1" applyBorder="1" applyAlignment="1">
      <alignment horizontal="left" vertical="center" wrapText="1"/>
    </xf>
    <xf numFmtId="0" fontId="17" fillId="0" borderId="0" xfId="0" applyFont="1" applyAlignment="1">
      <alignment horizontal="left" vertical="center" wrapText="1"/>
    </xf>
    <xf numFmtId="0" fontId="13" fillId="4" borderId="0" xfId="0" applyFont="1" applyFill="1" applyAlignment="1">
      <alignment horizontal="center" vertical="center" textRotation="90"/>
    </xf>
    <xf numFmtId="0" fontId="4" fillId="3" borderId="1" xfId="0" applyFont="1" applyFill="1" applyBorder="1" applyAlignment="1">
      <alignment horizontal="left" vertical="center"/>
    </xf>
    <xf numFmtId="0" fontId="4" fillId="3" borderId="4" xfId="0" applyFont="1" applyFill="1" applyBorder="1" applyAlignment="1">
      <alignment horizontal="left" vertical="center"/>
    </xf>
    <xf numFmtId="0" fontId="4" fillId="3" borderId="44" xfId="0" applyFont="1" applyFill="1" applyBorder="1" applyAlignment="1">
      <alignment horizontal="center" vertical="center"/>
    </xf>
    <xf numFmtId="0" fontId="4" fillId="3" borderId="9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/>
    </xf>
    <xf numFmtId="0" fontId="4" fillId="3" borderId="5" xfId="0" applyFont="1" applyFill="1" applyBorder="1" applyAlignment="1">
      <alignment horizontal="center" vertical="center"/>
    </xf>
    <xf numFmtId="0" fontId="4" fillId="4" borderId="44" xfId="0" applyFont="1" applyFill="1" applyBorder="1" applyAlignment="1">
      <alignment horizontal="center" vertical="center" textRotation="90"/>
    </xf>
    <xf numFmtId="0" fontId="4" fillId="4" borderId="9" xfId="0" applyFont="1" applyFill="1" applyBorder="1" applyAlignment="1">
      <alignment horizontal="center" vertical="center" textRotation="90"/>
    </xf>
    <xf numFmtId="0" fontId="4" fillId="4" borderId="10" xfId="0" applyFont="1" applyFill="1" applyBorder="1" applyAlignment="1">
      <alignment horizontal="center" vertical="center" textRotation="90"/>
    </xf>
    <xf numFmtId="0" fontId="35" fillId="20" borderId="0" xfId="0" applyFont="1" applyFill="1" applyAlignment="1">
      <alignment horizontal="left" vertical="center"/>
    </xf>
    <xf numFmtId="0" fontId="13" fillId="4" borderId="0" xfId="0" applyFont="1" applyFill="1" applyAlignment="1">
      <alignment horizontal="center" vertical="center" textRotation="90" wrapText="1"/>
    </xf>
    <xf numFmtId="0" fontId="31" fillId="9" borderId="0" xfId="0" applyFont="1" applyFill="1" applyAlignment="1">
      <alignment horizontal="center" vertical="center"/>
    </xf>
    <xf numFmtId="0" fontId="0" fillId="4" borderId="24" xfId="0" applyFill="1" applyBorder="1" applyAlignment="1">
      <alignment horizontal="center" vertical="center"/>
    </xf>
    <xf numFmtId="0" fontId="1" fillId="11" borderId="0" xfId="0" applyFont="1" applyFill="1" applyAlignment="1">
      <alignment horizontal="center" vertical="center" textRotation="90"/>
    </xf>
    <xf numFmtId="0" fontId="1" fillId="11" borderId="20" xfId="0" applyFont="1" applyFill="1" applyBorder="1" applyAlignment="1">
      <alignment horizontal="center" vertical="center" textRotation="90"/>
    </xf>
    <xf numFmtId="0" fontId="9" fillId="0" borderId="23" xfId="0" applyFont="1" applyBorder="1" applyAlignment="1">
      <alignment horizontal="center" vertical="center"/>
    </xf>
    <xf numFmtId="0" fontId="1" fillId="11" borderId="24" xfId="0" applyFont="1" applyFill="1" applyBorder="1" applyAlignment="1">
      <alignment horizontal="center" vertical="center" wrapText="1"/>
    </xf>
    <xf numFmtId="0" fontId="1" fillId="11" borderId="26" xfId="0" applyFont="1" applyFill="1" applyBorder="1" applyAlignment="1">
      <alignment horizontal="center" vertical="center" wrapText="1"/>
    </xf>
    <xf numFmtId="0" fontId="11" fillId="0" borderId="25" xfId="0" applyFont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4" borderId="26" xfId="0" applyFill="1" applyBorder="1" applyAlignment="1">
      <alignment horizontal="center" vertical="center" wrapText="1"/>
    </xf>
    <xf numFmtId="0" fontId="1" fillId="11" borderId="0" xfId="0" applyFont="1" applyFill="1" applyAlignment="1">
      <alignment horizontal="center" vertical="center" wrapText="1"/>
    </xf>
    <xf numFmtId="0" fontId="4" fillId="0" borderId="25" xfId="0" applyFont="1" applyBorder="1" applyAlignment="1">
      <alignment horizontal="center" vertical="center"/>
    </xf>
    <xf numFmtId="0" fontId="12" fillId="10" borderId="0" xfId="0" applyFont="1" applyFill="1" applyAlignment="1">
      <alignment horizontal="center" vertical="center"/>
    </xf>
    <xf numFmtId="0" fontId="0" fillId="4" borderId="24" xfId="0" applyFill="1" applyBorder="1" applyAlignment="1">
      <alignment horizontal="center" vertical="center" wrapText="1"/>
    </xf>
    <xf numFmtId="0" fontId="0" fillId="0" borderId="24" xfId="0" applyBorder="1" applyAlignment="1">
      <alignment horizontal="left" vertical="center"/>
    </xf>
    <xf numFmtId="0" fontId="0" fillId="4" borderId="0" xfId="0" applyFill="1" applyAlignment="1">
      <alignment horizontal="center" vertical="center" wrapText="1"/>
    </xf>
    <xf numFmtId="0" fontId="0" fillId="0" borderId="20" xfId="0" applyBorder="1" applyAlignment="1">
      <alignment horizontal="left" vertical="center" wrapText="1"/>
    </xf>
    <xf numFmtId="0" fontId="0" fillId="4" borderId="22" xfId="0" applyFill="1" applyBorder="1" applyAlignment="1">
      <alignment horizontal="center" vertical="center" wrapText="1"/>
    </xf>
    <xf numFmtId="0" fontId="4" fillId="19" borderId="14" xfId="0" applyFont="1" applyFill="1" applyBorder="1" applyAlignment="1">
      <alignment horizontal="left"/>
    </xf>
    <xf numFmtId="0" fontId="4" fillId="19" borderId="15" xfId="0" applyFont="1" applyFill="1" applyBorder="1" applyAlignment="1">
      <alignment horizontal="left"/>
    </xf>
    <xf numFmtId="0" fontId="1" fillId="4" borderId="1" xfId="0" applyFont="1" applyFill="1" applyBorder="1" applyAlignment="1">
      <alignment horizontal="center"/>
    </xf>
    <xf numFmtId="0" fontId="1" fillId="4" borderId="2" xfId="0" applyFont="1" applyFill="1" applyBorder="1" applyAlignment="1">
      <alignment horizontal="center"/>
    </xf>
    <xf numFmtId="0" fontId="1" fillId="4" borderId="3" xfId="0" applyFont="1" applyFill="1" applyBorder="1" applyAlignment="1">
      <alignment horizontal="center"/>
    </xf>
    <xf numFmtId="165" fontId="0" fillId="0" borderId="1" xfId="1" applyNumberFormat="1" applyFont="1" applyBorder="1" applyAlignment="1">
      <alignment horizontal="center" vertical="center"/>
    </xf>
    <xf numFmtId="165" fontId="0" fillId="0" borderId="3" xfId="1" applyNumberFormat="1" applyFont="1" applyBorder="1" applyAlignment="1">
      <alignment horizontal="center" vertical="center"/>
    </xf>
    <xf numFmtId="165" fontId="0" fillId="0" borderId="6" xfId="1" applyNumberFormat="1" applyFont="1" applyBorder="1" applyAlignment="1">
      <alignment horizontal="center" vertical="center"/>
    </xf>
    <xf numFmtId="165" fontId="0" fillId="0" borderId="8" xfId="1" applyNumberFormat="1" applyFont="1" applyBorder="1" applyAlignment="1">
      <alignment horizontal="center" vertical="center"/>
    </xf>
    <xf numFmtId="0" fontId="0" fillId="4" borderId="14" xfId="0" applyFill="1" applyBorder="1" applyAlignment="1">
      <alignment horizontal="center"/>
    </xf>
    <xf numFmtId="0" fontId="0" fillId="4" borderId="15" xfId="0" applyFill="1" applyBorder="1" applyAlignment="1">
      <alignment horizontal="center"/>
    </xf>
    <xf numFmtId="0" fontId="0" fillId="4" borderId="11" xfId="0" applyFill="1" applyBorder="1" applyAlignment="1">
      <alignment horizontal="center"/>
    </xf>
    <xf numFmtId="0" fontId="4" fillId="14" borderId="0" xfId="0" applyFont="1" applyFill="1" applyAlignment="1">
      <alignment horizontal="center" vertical="center"/>
    </xf>
    <xf numFmtId="0" fontId="0" fillId="14" borderId="0" xfId="0" applyFill="1" applyAlignment="1">
      <alignment horizontal="center"/>
    </xf>
    <xf numFmtId="0" fontId="1" fillId="4" borderId="14" xfId="0" applyFont="1" applyFill="1" applyBorder="1" applyAlignment="1">
      <alignment horizontal="center"/>
    </xf>
    <xf numFmtId="0" fontId="1" fillId="4" borderId="15" xfId="0" applyFont="1" applyFill="1" applyBorder="1" applyAlignment="1">
      <alignment horizontal="center"/>
    </xf>
    <xf numFmtId="0" fontId="1" fillId="4" borderId="11" xfId="0" applyFont="1" applyFill="1" applyBorder="1" applyAlignment="1">
      <alignment horizontal="center"/>
    </xf>
    <xf numFmtId="0" fontId="1" fillId="2" borderId="19" xfId="0" applyFont="1" applyFill="1" applyBorder="1" applyAlignment="1">
      <alignment horizontal="center"/>
    </xf>
    <xf numFmtId="0" fontId="1" fillId="2" borderId="20" xfId="0" applyFont="1" applyFill="1" applyBorder="1" applyAlignment="1">
      <alignment horizontal="center"/>
    </xf>
    <xf numFmtId="0" fontId="1" fillId="2" borderId="29" xfId="0" applyFont="1" applyFill="1" applyBorder="1" applyAlignment="1">
      <alignment horizontal="center"/>
    </xf>
    <xf numFmtId="0" fontId="1" fillId="6" borderId="0" xfId="0" applyFont="1" applyFill="1" applyAlignment="1">
      <alignment horizontal="center" vertical="center" textRotation="90" wrapText="1"/>
    </xf>
    <xf numFmtId="0" fontId="1" fillId="6" borderId="0" xfId="0" applyFont="1" applyFill="1" applyAlignment="1">
      <alignment horizontal="center" vertical="center" textRotation="90"/>
    </xf>
    <xf numFmtId="0" fontId="6" fillId="9" borderId="1" xfId="0" applyFont="1" applyFill="1" applyBorder="1" applyAlignment="1">
      <alignment horizontal="center" vertical="center"/>
    </xf>
    <xf numFmtId="0" fontId="6" fillId="9" borderId="2" xfId="0" applyFont="1" applyFill="1" applyBorder="1" applyAlignment="1">
      <alignment horizontal="center" vertical="center"/>
    </xf>
    <xf numFmtId="0" fontId="6" fillId="12" borderId="30" xfId="0" applyFont="1" applyFill="1" applyBorder="1" applyAlignment="1">
      <alignment horizontal="center" vertical="center"/>
    </xf>
    <xf numFmtId="0" fontId="6" fillId="12" borderId="2" xfId="0" applyFont="1" applyFill="1" applyBorder="1" applyAlignment="1">
      <alignment horizontal="center" vertical="center"/>
    </xf>
    <xf numFmtId="0" fontId="6" fillId="12" borderId="3" xfId="0" applyFont="1" applyFill="1" applyBorder="1" applyAlignment="1">
      <alignment horizontal="center" vertical="center"/>
    </xf>
    <xf numFmtId="0" fontId="4" fillId="3" borderId="42" xfId="0" applyFont="1" applyFill="1" applyBorder="1" applyAlignment="1">
      <alignment horizontal="center" vertical="center"/>
    </xf>
    <xf numFmtId="0" fontId="4" fillId="3" borderId="43" xfId="0" applyFont="1" applyFill="1" applyBorder="1" applyAlignment="1">
      <alignment horizontal="center" vertical="center"/>
    </xf>
    <xf numFmtId="0" fontId="4" fillId="3" borderId="39" xfId="0" applyFont="1" applyFill="1" applyBorder="1" applyAlignment="1">
      <alignment horizontal="center"/>
    </xf>
    <xf numFmtId="0" fontId="4" fillId="3" borderId="40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1" fillId="6" borderId="1" xfId="0" applyFont="1" applyFill="1" applyBorder="1" applyAlignment="1">
      <alignment vertical="center"/>
    </xf>
    <xf numFmtId="0" fontId="1" fillId="6" borderId="6" xfId="0" applyFont="1" applyFill="1" applyBorder="1" applyAlignment="1">
      <alignment vertical="center"/>
    </xf>
    <xf numFmtId="0" fontId="1" fillId="6" borderId="3" xfId="0" applyFont="1" applyFill="1" applyBorder="1" applyAlignment="1">
      <alignment horizontal="center" vertical="center" wrapText="1"/>
    </xf>
    <xf numFmtId="0" fontId="1" fillId="6" borderId="8" xfId="0" applyFont="1" applyFill="1" applyBorder="1" applyAlignment="1">
      <alignment horizontal="center" vertical="center" wrapText="1"/>
    </xf>
    <xf numFmtId="9" fontId="0" fillId="13" borderId="0" xfId="0" applyNumberFormat="1" applyFill="1" applyAlignment="1">
      <alignment horizontal="center" vertical="center" textRotation="90"/>
    </xf>
    <xf numFmtId="0" fontId="0" fillId="13" borderId="0" xfId="0" applyFill="1" applyAlignment="1">
      <alignment horizontal="center" vertical="center" textRotation="90"/>
    </xf>
    <xf numFmtId="0" fontId="1" fillId="13" borderId="0" xfId="0" applyFont="1" applyFill="1" applyAlignment="1">
      <alignment horizontal="center" vertical="center" textRotation="180" wrapText="1"/>
    </xf>
    <xf numFmtId="0" fontId="4" fillId="0" borderId="0" xfId="0" applyFont="1" applyAlignment="1">
      <alignment horizontal="right" vertical="center" textRotation="90" wrapText="1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9" fontId="4" fillId="0" borderId="0" xfId="0" applyNumberFormat="1" applyFont="1" applyAlignment="1">
      <alignment horizontal="center" vertical="center" textRotation="90"/>
    </xf>
    <xf numFmtId="0" fontId="4" fillId="0" borderId="0" xfId="0" applyFont="1" applyAlignment="1">
      <alignment horizontal="center" vertical="center" textRotation="90"/>
    </xf>
    <xf numFmtId="0" fontId="4" fillId="3" borderId="1" xfId="0" applyFont="1" applyFill="1" applyBorder="1" applyAlignment="1">
      <alignment horizontal="center" vertical="center"/>
    </xf>
    <xf numFmtId="0" fontId="4" fillId="3" borderId="28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4" fillId="3" borderId="20" xfId="0" applyFont="1" applyFill="1" applyBorder="1" applyAlignment="1">
      <alignment horizontal="center" vertical="center"/>
    </xf>
    <xf numFmtId="0" fontId="0" fillId="3" borderId="2" xfId="0" applyFill="1" applyBorder="1" applyAlignment="1">
      <alignment horizontal="center"/>
    </xf>
    <xf numFmtId="0" fontId="0" fillId="3" borderId="20" xfId="0" applyFill="1" applyBorder="1" applyAlignment="1">
      <alignment horizontal="center"/>
    </xf>
    <xf numFmtId="0" fontId="4" fillId="3" borderId="2" xfId="0" applyFont="1" applyFill="1" applyBorder="1" applyAlignment="1">
      <alignment horizontal="center" vertical="center" wrapText="1"/>
    </xf>
    <xf numFmtId="0" fontId="4" fillId="3" borderId="20" xfId="0" applyFont="1" applyFill="1" applyBorder="1" applyAlignment="1">
      <alignment horizontal="center" vertical="center" wrapText="1"/>
    </xf>
    <xf numFmtId="0" fontId="4" fillId="3" borderId="29" xfId="0" applyFont="1" applyFill="1" applyBorder="1" applyAlignment="1">
      <alignment horizontal="center" vertical="center"/>
    </xf>
    <xf numFmtId="0" fontId="1" fillId="3" borderId="14" xfId="0" applyFont="1" applyFill="1" applyBorder="1" applyAlignment="1">
      <alignment horizontal="center"/>
    </xf>
    <xf numFmtId="0" fontId="1" fillId="3" borderId="11" xfId="0" applyFont="1" applyFill="1" applyBorder="1" applyAlignment="1">
      <alignment horizontal="center"/>
    </xf>
    <xf numFmtId="9" fontId="0" fillId="8" borderId="14" xfId="2" applyFont="1" applyFill="1" applyBorder="1" applyAlignment="1">
      <alignment horizontal="center"/>
    </xf>
    <xf numFmtId="9" fontId="0" fillId="8" borderId="11" xfId="2" applyFont="1" applyFill="1" applyBorder="1" applyAlignment="1">
      <alignment horizontal="center"/>
    </xf>
    <xf numFmtId="0" fontId="1" fillId="23" borderId="0" xfId="0" applyFont="1" applyFill="1" applyAlignment="1">
      <alignment horizontal="center"/>
    </xf>
    <xf numFmtId="0" fontId="0" fillId="23" borderId="7" xfId="0" applyFill="1" applyBorder="1" applyAlignment="1">
      <alignment horizontal="center"/>
    </xf>
    <xf numFmtId="0" fontId="4" fillId="14" borderId="1" xfId="0" applyFont="1" applyFill="1" applyBorder="1" applyAlignment="1">
      <alignment horizontal="center" vertical="center"/>
    </xf>
    <xf numFmtId="0" fontId="4" fillId="14" borderId="6" xfId="0" applyFont="1" applyFill="1" applyBorder="1" applyAlignment="1">
      <alignment horizontal="center" vertical="center"/>
    </xf>
    <xf numFmtId="0" fontId="0" fillId="14" borderId="2" xfId="0" applyFill="1" applyBorder="1" applyAlignment="1">
      <alignment horizontal="center"/>
    </xf>
    <xf numFmtId="0" fontId="0" fillId="14" borderId="7" xfId="0" applyFill="1" applyBorder="1" applyAlignment="1">
      <alignment horizontal="center"/>
    </xf>
    <xf numFmtId="0" fontId="0" fillId="14" borderId="3" xfId="0" applyFill="1" applyBorder="1" applyAlignment="1">
      <alignment horizontal="center"/>
    </xf>
    <xf numFmtId="0" fontId="0" fillId="14" borderId="8" xfId="0" applyFill="1" applyBorder="1" applyAlignment="1">
      <alignment horizontal="center"/>
    </xf>
    <xf numFmtId="0" fontId="0" fillId="14" borderId="14" xfId="0" applyFill="1" applyBorder="1" applyAlignment="1">
      <alignment horizontal="center"/>
    </xf>
    <xf numFmtId="0" fontId="0" fillId="14" borderId="15" xfId="0" applyFill="1" applyBorder="1" applyAlignment="1">
      <alignment horizontal="center"/>
    </xf>
    <xf numFmtId="0" fontId="0" fillId="14" borderId="11" xfId="0" applyFill="1" applyBorder="1" applyAlignment="1">
      <alignment horizontal="center"/>
    </xf>
    <xf numFmtId="0" fontId="1" fillId="3" borderId="1" xfId="0" applyFont="1" applyFill="1" applyBorder="1" applyAlignment="1">
      <alignment horizontal="center" wrapText="1"/>
    </xf>
    <xf numFmtId="0" fontId="1" fillId="3" borderId="4" xfId="0" applyFont="1" applyFill="1" applyBorder="1" applyAlignment="1">
      <alignment horizontal="center" wrapText="1"/>
    </xf>
    <xf numFmtId="0" fontId="0" fillId="14" borderId="9" xfId="0" applyFill="1" applyBorder="1" applyAlignment="1">
      <alignment horizontal="center" vertical="center" textRotation="90"/>
    </xf>
    <xf numFmtId="0" fontId="0" fillId="14" borderId="10" xfId="0" applyFill="1" applyBorder="1" applyAlignment="1">
      <alignment horizontal="center" vertical="center" textRotation="90"/>
    </xf>
    <xf numFmtId="0" fontId="1" fillId="6" borderId="14" xfId="0" applyFont="1" applyFill="1" applyBorder="1" applyAlignment="1">
      <alignment horizontal="center"/>
    </xf>
    <xf numFmtId="0" fontId="1" fillId="6" borderId="11" xfId="0" applyFont="1" applyFill="1" applyBorder="1" applyAlignment="1">
      <alignment horizontal="center"/>
    </xf>
    <xf numFmtId="0" fontId="0" fillId="13" borderId="44" xfId="0" applyFill="1" applyBorder="1" applyAlignment="1">
      <alignment horizontal="center" vertical="center"/>
    </xf>
    <xf numFmtId="0" fontId="0" fillId="13" borderId="10" xfId="0" applyFill="1" applyBorder="1" applyAlignment="1">
      <alignment horizontal="center" vertical="center"/>
    </xf>
    <xf numFmtId="0" fontId="17" fillId="3" borderId="14" xfId="0" applyFont="1" applyFill="1" applyBorder="1" applyAlignment="1">
      <alignment horizontal="center" vertical="center"/>
    </xf>
    <xf numFmtId="0" fontId="17" fillId="3" borderId="15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1" fillId="3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9" fontId="0" fillId="4" borderId="2" xfId="0" applyNumberFormat="1" applyFill="1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0" fillId="22" borderId="1" xfId="0" applyFill="1" applyBorder="1" applyAlignment="1">
      <alignment horizontal="center" vertical="center"/>
    </xf>
    <xf numFmtId="0" fontId="0" fillId="22" borderId="6" xfId="0" applyFill="1" applyBorder="1" applyAlignment="1">
      <alignment horizontal="center" vertical="center"/>
    </xf>
    <xf numFmtId="0" fontId="1" fillId="27" borderId="1" xfId="0" applyFont="1" applyFill="1" applyBorder="1" applyAlignment="1">
      <alignment horizontal="center" vertical="center"/>
    </xf>
    <xf numFmtId="0" fontId="1" fillId="27" borderId="3" xfId="0" applyFont="1" applyFill="1" applyBorder="1" applyAlignment="1">
      <alignment horizontal="center" vertical="center"/>
    </xf>
    <xf numFmtId="0" fontId="1" fillId="27" borderId="6" xfId="0" applyFont="1" applyFill="1" applyBorder="1" applyAlignment="1">
      <alignment horizontal="center" vertical="center"/>
    </xf>
    <xf numFmtId="0" fontId="1" fillId="27" borderId="8" xfId="0" applyFont="1" applyFill="1" applyBorder="1" applyAlignment="1">
      <alignment horizontal="center" vertical="center"/>
    </xf>
  </cellXfs>
  <cellStyles count="5">
    <cellStyle name="Komma" xfId="1" builtinId="3"/>
    <cellStyle name="Normal 2" xfId="3" xr:uid="{4323A225-2EF3-427B-848C-DCE3243ADD92}"/>
    <cellStyle name="Prozent" xfId="2" builtinId="5"/>
    <cellStyle name="Standard" xfId="0" builtinId="0"/>
    <cellStyle name="Währung" xfId="4" builtinId="4"/>
  </cellStyles>
  <dxfs count="2">
    <dxf>
      <fill>
        <patternFill>
          <bgColor theme="0" tint="-4.9989318521683403E-2"/>
        </patternFill>
      </fill>
    </dxf>
    <dxf>
      <fill>
        <patternFill>
          <bgColor theme="0" tint="-0.34998626667073579"/>
        </patternFill>
      </fill>
    </dxf>
  </dxfs>
  <tableStyles count="0" defaultTableStyle="TableStyleMedium2" defaultPivotStyle="PivotStyleLight16"/>
  <colors>
    <mruColors>
      <color rgb="FFD8E4F2"/>
      <color rgb="FF811896"/>
      <color rgb="FFF3F2D8"/>
      <color rgb="FFCBA7FF"/>
      <color rgb="FFF1F89A"/>
      <color rgb="FFDB93FF"/>
      <color rgb="FFF9FCD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15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_rels/chart16.xml.rels><?xml version="1.0" encoding="UTF-8" standalone="yes"?>
<Relationships xmlns="http://schemas.openxmlformats.org/package/2006/relationships"><Relationship Id="rId2" Type="http://schemas.microsoft.com/office/2011/relationships/chartColorStyle" Target="colors16.xml"/><Relationship Id="rId1" Type="http://schemas.microsoft.com/office/2011/relationships/chartStyle" Target="style16.xml"/></Relationships>
</file>

<file path=xl/charts/_rels/chart17.xml.rels><?xml version="1.0" encoding="UTF-8" standalone="yes"?>
<Relationships xmlns="http://schemas.openxmlformats.org/package/2006/relationships"><Relationship Id="rId2" Type="http://schemas.microsoft.com/office/2011/relationships/chartColorStyle" Target="colors17.xml"/><Relationship Id="rId1" Type="http://schemas.microsoft.com/office/2011/relationships/chartStyle" Target="style17.xml"/></Relationships>
</file>

<file path=xl/charts/_rels/chart18.xml.rels><?xml version="1.0" encoding="UTF-8" standalone="yes"?>
<Relationships xmlns="http://schemas.openxmlformats.org/package/2006/relationships"><Relationship Id="rId2" Type="http://schemas.microsoft.com/office/2011/relationships/chartColorStyle" Target="colors18.xml"/><Relationship Id="rId1" Type="http://schemas.microsoft.com/office/2011/relationships/chartStyle" Target="style18.xml"/></Relationships>
</file>

<file path=xl/charts/_rels/chart19.xml.rels><?xml version="1.0" encoding="UTF-8" standalone="yes"?>
<Relationships xmlns="http://schemas.openxmlformats.org/package/2006/relationships"><Relationship Id="rId2" Type="http://schemas.microsoft.com/office/2011/relationships/chartColorStyle" Target="colors19.xml"/><Relationship Id="rId1" Type="http://schemas.microsoft.com/office/2011/relationships/chartStyle" Target="style19.xml"/></Relationships>
</file>

<file path=xl/charts/_rels/chart20.xml.rels><?xml version="1.0" encoding="UTF-8" standalone="yes"?>
<Relationships xmlns="http://schemas.openxmlformats.org/package/2006/relationships"><Relationship Id="rId2" Type="http://schemas.microsoft.com/office/2011/relationships/chartColorStyle" Target="colors20.xml"/><Relationship Id="rId1" Type="http://schemas.microsoft.com/office/2011/relationships/chartStyle" Target="style20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800"/>
              <a:t>Herstellkosten</a:t>
            </a:r>
            <a:r>
              <a:rPr lang="en-US" sz="1800" baseline="0"/>
              <a:t> Antriebsstrang</a:t>
            </a:r>
            <a:endParaRPr lang="en-US" sz="180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>
        <c:manualLayout>
          <c:layoutTarget val="inner"/>
          <c:xMode val="edge"/>
          <c:yMode val="edge"/>
          <c:x val="2.0614504770406956E-2"/>
          <c:y val="0.17713567867227623"/>
          <c:w val="0.96322949373382671"/>
          <c:h val="0.75848618927375"/>
        </c:manualLayout>
      </c:layout>
      <c:ofPieChart>
        <c:ofPieType val="pie"/>
        <c:varyColors val="1"/>
        <c:ser>
          <c:idx val="0"/>
          <c:order val="0"/>
          <c:tx>
            <c:v>Kosten</c:v>
          </c:tx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2-F664-437C-A725-D16FD79BDFAD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D723-4EF6-8636-B0D49BF35AED}"/>
              </c:ext>
            </c:extLst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5-D723-4EF6-8636-B0D49BF35AED}"/>
              </c:ext>
            </c:extLst>
          </c:dPt>
          <c:dPt>
            <c:idx val="3"/>
            <c:bubble3D val="0"/>
            <c:spPr>
              <a:gradFill rotWithShape="1">
                <a:gsLst>
                  <a:gs pos="0">
                    <a:schemeClr val="accent4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7-D723-4EF6-8636-B0D49BF35AED}"/>
              </c:ext>
            </c:extLst>
          </c:dPt>
          <c:dPt>
            <c:idx val="4"/>
            <c:bubble3D val="0"/>
            <c:spPr>
              <a:gradFill rotWithShape="1">
                <a:gsLst>
                  <a:gs pos="0">
                    <a:schemeClr val="accent5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F664-437C-A725-D16FD79BDFAD}"/>
              </c:ext>
            </c:extLst>
          </c:dPt>
          <c:dPt>
            <c:idx val="5"/>
            <c:bubble3D val="0"/>
            <c:spPr>
              <a:gradFill rotWithShape="1">
                <a:gsLst>
                  <a:gs pos="0">
                    <a:schemeClr val="accent6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6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6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B-D723-4EF6-8636-B0D49BF35AED}"/>
              </c:ext>
            </c:extLst>
          </c:dPt>
          <c:dPt>
            <c:idx val="6"/>
            <c:bubble3D val="0"/>
            <c:spPr>
              <a:gradFill rotWithShape="1">
                <a:gsLst>
                  <a:gs pos="0">
                    <a:schemeClr val="accent1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D-D723-4EF6-8636-B0D49BF35AED}"/>
              </c:ext>
            </c:extLst>
          </c:dPt>
          <c:dPt>
            <c:idx val="7"/>
            <c:bubble3D val="0"/>
            <c:spPr>
              <a:gradFill rotWithShape="1">
                <a:gsLst>
                  <a:gs pos="0">
                    <a:schemeClr val="accent2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F-D723-4EF6-8636-B0D49BF35AED}"/>
              </c:ext>
            </c:extLst>
          </c:dPt>
          <c:dPt>
            <c:idx val="8"/>
            <c:bubble3D val="0"/>
            <c:spPr>
              <a:gradFill rotWithShape="1">
                <a:gsLst>
                  <a:gs pos="0">
                    <a:schemeClr val="accent3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1-D723-4EF6-8636-B0D49BF35AED}"/>
              </c:ext>
            </c:extLst>
          </c:dPt>
          <c:dLbls>
            <c:dLbl>
              <c:idx val="4"/>
              <c:layout>
                <c:manualLayout>
                  <c:x val="7.8879431753401785E-2"/>
                  <c:y val="5.1007942378429504E-2"/>
                </c:manualLayout>
              </c:layout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separator>
</c:separator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F664-437C-A725-D16FD79BDFAD}"/>
                </c:ext>
              </c:extLst>
            </c:dLbl>
            <c:dLbl>
              <c:idx val="5"/>
              <c:layout>
                <c:manualLayout>
                  <c:x val="-2.6293143917800594E-2"/>
                  <c:y val="5.6675491531588219E-2"/>
                </c:manualLayout>
              </c:layout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separator>
</c:separator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B-D723-4EF6-8636-B0D49BF35AED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de-DE"/>
              </a:p>
            </c:txPr>
            <c:dLblPos val="outEnd"/>
            <c:showLegendKey val="0"/>
            <c:showVal val="1"/>
            <c:showCatName val="1"/>
            <c:showSerName val="0"/>
            <c:showPercent val="1"/>
            <c:showBubbleSize val="0"/>
            <c:separator>
</c:separator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Überblick!$D$34:$D$41</c:f>
              <c:strCache>
                <c:ptCount val="8"/>
                <c:pt idx="0">
                  <c:v>Zellmaterial</c:v>
                </c:pt>
                <c:pt idx="1">
                  <c:v>Zellfertigung</c:v>
                </c:pt>
                <c:pt idx="2">
                  <c:v>Packmaterial</c:v>
                </c:pt>
                <c:pt idx="3">
                  <c:v>Packfertigung</c:v>
                </c:pt>
                <c:pt idx="4">
                  <c:v>Inverter</c:v>
                </c:pt>
                <c:pt idx="5">
                  <c:v>Motor(en)</c:v>
                </c:pt>
                <c:pt idx="6">
                  <c:v>Getriebe</c:v>
                </c:pt>
                <c:pt idx="7">
                  <c:v>Differenzial</c:v>
                </c:pt>
              </c:strCache>
            </c:strRef>
          </c:cat>
          <c:val>
            <c:numRef>
              <c:f>Überblick!$C$34:$C$41</c:f>
              <c:numCache>
                <c:formatCode>_("€"* #,##0.00_);_("€"* \(#,##0.00\);_("€"* "-"??_);_(@_)</c:formatCode>
                <c:ptCount val="8"/>
                <c:pt idx="0">
                  <c:v>6707.3847262086165</c:v>
                </c:pt>
                <c:pt idx="1">
                  <c:v>1631.8075433333333</c:v>
                </c:pt>
                <c:pt idx="2">
                  <c:v>2425.5</c:v>
                </c:pt>
                <c:pt idx="3">
                  <c:v>367.74478999999997</c:v>
                </c:pt>
                <c:pt idx="4">
                  <c:v>1333.2</c:v>
                </c:pt>
                <c:pt idx="5">
                  <c:v>2076.8000000000002</c:v>
                </c:pt>
                <c:pt idx="6">
                  <c:v>1892.0000000000002</c:v>
                </c:pt>
                <c:pt idx="7">
                  <c:v>66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664-437C-A725-D16FD79BDFAD}"/>
            </c:ext>
          </c:extLst>
        </c:ser>
        <c:dLbls>
          <c:dLblPos val="bestFit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gapWidth val="147"/>
        <c:splitType val="cust"/>
        <c:custSplit>
          <c:secondPiePt val="4"/>
          <c:secondPiePt val="5"/>
          <c:secondPiePt val="6"/>
          <c:secondPiePt val="7"/>
        </c:custSplit>
        <c:secondPieSize val="62"/>
        <c:serLines>
          <c:spPr>
            <a:ln w="9525" cap="flat" cmpd="sng" algn="ctr">
              <a:solidFill>
                <a:schemeClr val="tx1">
                  <a:lumMod val="35000"/>
                  <a:lumOff val="65000"/>
                </a:schemeClr>
              </a:solidFill>
              <a:round/>
            </a:ln>
            <a:effectLst/>
          </c:spPr>
        </c:serLines>
      </c:ofPie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DE"/>
              <a:t>Gesamtkostenherstellkosten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FBF4-4677-B8F5-06FA42042B5E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FBF4-4677-B8F5-06FA42042B5E}"/>
              </c:ext>
            </c:extLst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5-FBF4-4677-B8F5-06FA42042B5E}"/>
              </c:ext>
            </c:extLst>
          </c:dPt>
          <c:dPt>
            <c:idx val="3"/>
            <c:bubble3D val="0"/>
            <c:spPr>
              <a:gradFill rotWithShape="1">
                <a:gsLst>
                  <a:gs pos="0">
                    <a:schemeClr val="accent4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7-FBF4-4677-B8F5-06FA42042B5E}"/>
              </c:ext>
            </c:extLst>
          </c:dPt>
          <c:dPt>
            <c:idx val="4"/>
            <c:bubble3D val="0"/>
            <c:spPr>
              <a:gradFill rotWithShape="1">
                <a:gsLst>
                  <a:gs pos="0">
                    <a:schemeClr val="accent5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9-FBF4-4677-B8F5-06FA42042B5E}"/>
              </c:ext>
            </c:extLst>
          </c:dPt>
          <c:dPt>
            <c:idx val="5"/>
            <c:bubble3D val="0"/>
            <c:spPr>
              <a:gradFill rotWithShape="1">
                <a:gsLst>
                  <a:gs pos="0">
                    <a:schemeClr val="accent6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6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6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B-FBF4-4677-B8F5-06FA42042B5E}"/>
              </c:ext>
            </c:extLst>
          </c:dPt>
          <c:dPt>
            <c:idx val="6"/>
            <c:bubble3D val="0"/>
            <c:spPr>
              <a:gradFill rotWithShape="1">
                <a:gsLst>
                  <a:gs pos="0">
                    <a:schemeClr val="accent1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89EE-49C4-9315-B5EDE117C350}"/>
              </c:ext>
            </c:extLst>
          </c:dPt>
          <c:dLbls>
            <c:dLbl>
              <c:idx val="6"/>
              <c:layout>
                <c:manualLayout>
                  <c:x val="-0.10170848383057517"/>
                  <c:y val="-7.4334008346526182E-4"/>
                </c:manualLayout>
              </c:layout>
              <c:showLegendKey val="0"/>
              <c:showVal val="1"/>
              <c:showCatName val="0"/>
              <c:showSerName val="0"/>
              <c:showPercent val="1"/>
              <c:showBubbleSize val="0"/>
              <c:separator>
</c:separator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89EE-49C4-9315-B5EDE117C350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de-DE"/>
              </a:p>
            </c:txPr>
            <c:showLegendKey val="0"/>
            <c:showVal val="1"/>
            <c:showCatName val="0"/>
            <c:showSerName val="0"/>
            <c:showPercent val="1"/>
            <c:showBubbleSize val="0"/>
            <c:separator>
</c:separator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Überblick!$B$73:$B$79</c:f>
              <c:strCache>
                <c:ptCount val="7"/>
                <c:pt idx="0">
                  <c:v>Zellmaterial</c:v>
                </c:pt>
                <c:pt idx="1">
                  <c:v>Zellfertigung</c:v>
                </c:pt>
                <c:pt idx="2">
                  <c:v>Pack</c:v>
                </c:pt>
                <c:pt idx="3">
                  <c:v>Inverter</c:v>
                </c:pt>
                <c:pt idx="4">
                  <c:v>Motor(en)</c:v>
                </c:pt>
                <c:pt idx="5">
                  <c:v>Getriebe</c:v>
                </c:pt>
                <c:pt idx="6">
                  <c:v>Differential</c:v>
                </c:pt>
              </c:strCache>
            </c:strRef>
          </c:cat>
          <c:val>
            <c:numRef>
              <c:f>Überblick!$C$73:$C$79</c:f>
              <c:numCache>
                <c:formatCode>_-* #,##0\ "€"_-;\-* #,##0\ "€"_-;_-* "-"??\ "€"_-;_-@_-</c:formatCode>
                <c:ptCount val="7"/>
                <c:pt idx="0">
                  <c:v>6707.3847262086165</c:v>
                </c:pt>
                <c:pt idx="1">
                  <c:v>1631.8075433333333</c:v>
                </c:pt>
                <c:pt idx="2">
                  <c:v>2793.2447899999997</c:v>
                </c:pt>
                <c:pt idx="3">
                  <c:v>1333.2</c:v>
                </c:pt>
                <c:pt idx="4">
                  <c:v>2076.8000000000002</c:v>
                </c:pt>
                <c:pt idx="5">
                  <c:v>1892.0000000000002</c:v>
                </c:pt>
                <c:pt idx="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9EE-49C4-9315-B5EDE117C350}"/>
            </c:ext>
          </c:extLst>
        </c:ser>
        <c:dLbls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2232899305446396"/>
          <c:y val="0.24727773284207494"/>
          <c:w val="0.13689288194444443"/>
          <c:h val="0.41672166666666666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pieChart>
        <c:varyColors val="1"/>
        <c:ser>
          <c:idx val="0"/>
          <c:order val="0"/>
          <c:tx>
            <c:v>Materialeinzelkosten auf Zellebene</c:v>
          </c:tx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5619-4022-8898-DB5221675498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5619-4022-8898-DB5221675498}"/>
              </c:ext>
            </c:extLst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5-5619-4022-8898-DB5221675498}"/>
              </c:ext>
            </c:extLst>
          </c:dPt>
          <c:dPt>
            <c:idx val="3"/>
            <c:bubble3D val="0"/>
            <c:spPr>
              <a:gradFill rotWithShape="1">
                <a:gsLst>
                  <a:gs pos="0">
                    <a:schemeClr val="accent4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7-5619-4022-8898-DB5221675498}"/>
              </c:ext>
            </c:extLst>
          </c:dPt>
          <c:dPt>
            <c:idx val="4"/>
            <c:bubble3D val="0"/>
            <c:spPr>
              <a:gradFill rotWithShape="1">
                <a:gsLst>
                  <a:gs pos="0">
                    <a:schemeClr val="accent5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9-5619-4022-8898-DB5221675498}"/>
              </c:ext>
            </c:extLst>
          </c:dPt>
          <c:dPt>
            <c:idx val="5"/>
            <c:bubble3D val="0"/>
            <c:spPr>
              <a:gradFill rotWithShape="1">
                <a:gsLst>
                  <a:gs pos="0">
                    <a:schemeClr val="accent6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6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6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B-5619-4022-8898-DB5221675498}"/>
              </c:ext>
            </c:extLst>
          </c:dPt>
          <c:dPt>
            <c:idx val="6"/>
            <c:bubble3D val="0"/>
            <c:spPr>
              <a:gradFill rotWithShape="1">
                <a:gsLst>
                  <a:gs pos="0">
                    <a:schemeClr val="accent1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D-5619-4022-8898-DB5221675498}"/>
              </c:ext>
            </c:extLst>
          </c:dPt>
          <c:dPt>
            <c:idx val="7"/>
            <c:bubble3D val="0"/>
            <c:spPr>
              <a:gradFill rotWithShape="1">
                <a:gsLst>
                  <a:gs pos="0">
                    <a:schemeClr val="accent2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F-5619-4022-8898-DB5221675498}"/>
              </c:ext>
            </c:extLst>
          </c:dPt>
          <c:dPt>
            <c:idx val="8"/>
            <c:bubble3D val="0"/>
            <c:spPr>
              <a:gradFill rotWithShape="1">
                <a:gsLst>
                  <a:gs pos="0">
                    <a:schemeClr val="accent3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1-5619-4022-8898-DB5221675498}"/>
              </c:ext>
            </c:extLst>
          </c:dPt>
          <c:dLbls>
            <c:dLbl>
              <c:idx val="0"/>
              <c:layout>
                <c:manualLayout>
                  <c:x val="-6.1099270463682118E-2"/>
                  <c:y val="0.16705332158941141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separator>
</c:separator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5619-4022-8898-DB5221675498}"/>
                </c:ext>
              </c:extLst>
            </c:dLbl>
            <c:dLbl>
              <c:idx val="5"/>
              <c:layout>
                <c:manualLayout>
                  <c:x val="-1.8333814795742391E-3"/>
                  <c:y val="-6.2097610169601566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separator>
</c:separator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B-5619-4022-8898-DB5221675498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de-DE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eparator>
</c:separator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Batterieeinheit!$H$5:$H$13</c:f>
              <c:strCache>
                <c:ptCount val="9"/>
                <c:pt idx="0">
                  <c:v>Aktivmaterial Kathode</c:v>
                </c:pt>
                <c:pt idx="1">
                  <c:v>Aktivmaterial Anode</c:v>
                </c:pt>
                <c:pt idx="2">
                  <c:v>Binder</c:v>
                </c:pt>
                <c:pt idx="3">
                  <c:v>Lösungsmittel</c:v>
                </c:pt>
                <c:pt idx="4">
                  <c:v>Additive Kathode</c:v>
                </c:pt>
                <c:pt idx="5">
                  <c:v>Elektrolyt</c:v>
                </c:pt>
                <c:pt idx="6">
                  <c:v>Kollektoren</c:v>
                </c:pt>
                <c:pt idx="7">
                  <c:v>Separator</c:v>
                </c:pt>
                <c:pt idx="8">
                  <c:v>Gehäuse</c:v>
                </c:pt>
              </c:strCache>
            </c:strRef>
          </c:cat>
          <c:val>
            <c:numRef>
              <c:f>Batterieeinheit!$E$5:$E$13</c:f>
              <c:numCache>
                <c:formatCode>_("€"* #,##0.00_);_("€"* \(#,##0.00\);_("€"* "-"??_);_(@_)</c:formatCode>
                <c:ptCount val="9"/>
                <c:pt idx="0">
                  <c:v>3440.22541712167</c:v>
                </c:pt>
                <c:pt idx="1">
                  <c:v>538.46153846153845</c:v>
                </c:pt>
                <c:pt idx="2">
                  <c:v>143.58974358974359</c:v>
                </c:pt>
                <c:pt idx="3">
                  <c:v>190.38461538461542</c:v>
                </c:pt>
                <c:pt idx="4">
                  <c:v>34.102564102564102</c:v>
                </c:pt>
                <c:pt idx="5">
                  <c:v>582.56410256410254</c:v>
                </c:pt>
                <c:pt idx="6">
                  <c:v>240.87179487179489</c:v>
                </c:pt>
                <c:pt idx="7">
                  <c:v>328.20512820512818</c:v>
                </c:pt>
                <c:pt idx="8">
                  <c:v>200.30769230769229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2-5619-4022-8898-DB5221675498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bg1">
          <a:lumMod val="7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DE"/>
              <a:t>Antriebseinheit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pieChart>
        <c:varyColors val="1"/>
        <c:ser>
          <c:idx val="0"/>
          <c:order val="0"/>
          <c:tx>
            <c:v>Kosten</c:v>
          </c:tx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885E-409A-AAFE-B94E0360BC64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885E-409A-AAFE-B94E0360BC64}"/>
              </c:ext>
            </c:extLst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5-885E-409A-AAFE-B94E0360BC64}"/>
              </c:ext>
            </c:extLst>
          </c:dPt>
          <c:dPt>
            <c:idx val="3"/>
            <c:bubble3D val="0"/>
            <c:spPr>
              <a:gradFill rotWithShape="1">
                <a:gsLst>
                  <a:gs pos="0">
                    <a:schemeClr val="accent4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7-885E-409A-AAFE-B94E0360BC64}"/>
              </c:ext>
            </c:extLst>
          </c:dPt>
          <c:dPt>
            <c:idx val="4"/>
            <c:bubble3D val="0"/>
            <c:spPr>
              <a:gradFill rotWithShape="1">
                <a:gsLst>
                  <a:gs pos="0">
                    <a:schemeClr val="accent5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9-885E-409A-AAFE-B94E0360BC64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de-DE"/>
              </a:p>
            </c:txPr>
            <c:dLblPos val="bestFit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Antriebseinheit!$H$14:$L$14</c:f>
              <c:strCache>
                <c:ptCount val="5"/>
                <c:pt idx="0">
                  <c:v>Inverter</c:v>
                </c:pt>
                <c:pt idx="1">
                  <c:v>Motor(en)</c:v>
                </c:pt>
                <c:pt idx="2">
                  <c:v>Getriebe</c:v>
                </c:pt>
                <c:pt idx="3">
                  <c:v>Differential(e)</c:v>
                </c:pt>
                <c:pt idx="4">
                  <c:v>Antriebswelle(n)</c:v>
                </c:pt>
              </c:strCache>
            </c:strRef>
          </c:cat>
          <c:val>
            <c:numRef>
              <c:f>Antriebseinheit!$H$15:$L$15</c:f>
              <c:numCache>
                <c:formatCode>_("€"* #,##0.00_);_("€"* \(#,##0.00\);_("€"* "-"??_);_(@_)</c:formatCode>
                <c:ptCount val="5"/>
                <c:pt idx="0">
                  <c:v>1333.2</c:v>
                </c:pt>
                <c:pt idx="1">
                  <c:v>2076.8000000000002</c:v>
                </c:pt>
                <c:pt idx="2">
                  <c:v>1892.0000000000002</c:v>
                </c:pt>
                <c:pt idx="3">
                  <c:v>0</c:v>
                </c:pt>
                <c:pt idx="4">
                  <c:v>66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885E-409A-AAFE-B94E0360BC64}"/>
            </c:ext>
          </c:extLst>
        </c:ser>
        <c:dLbls>
          <c:dLblPos val="bestFit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Materialeinzelkosten auf Packebene </a:t>
            </a:r>
          </a:p>
          <a:p>
            <a:pPr>
              <a:defRPr/>
            </a:pPr>
            <a:r>
              <a:rPr lang="en-US"/>
              <a:t>(ohne Zellkosten)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pieChart>
        <c:varyColors val="1"/>
        <c:ser>
          <c:idx val="0"/>
          <c:order val="0"/>
          <c:tx>
            <c:v>Materialeinzelkosten auf Packebene (ohne Zellkosten)</c:v>
          </c:tx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53C8-4537-8310-9B07E62DB8D7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53C8-4537-8310-9B07E62DB8D7}"/>
              </c:ext>
            </c:extLst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5-53C8-4537-8310-9B07E62DB8D7}"/>
              </c:ext>
            </c:extLst>
          </c:dPt>
          <c:dPt>
            <c:idx val="3"/>
            <c:bubble3D val="0"/>
            <c:spPr>
              <a:gradFill rotWithShape="1">
                <a:gsLst>
                  <a:gs pos="0">
                    <a:schemeClr val="accent4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7-53C8-4537-8310-9B07E62DB8D7}"/>
              </c:ext>
            </c:extLst>
          </c:dPt>
          <c:dLbls>
            <c:dLbl>
              <c:idx val="2"/>
              <c:layout>
                <c:manualLayout>
                  <c:x val="-2.9902867668159038E-2"/>
                  <c:y val="5.7078501539205677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separator>
</c:separator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53C8-4537-8310-9B07E62DB8D7}"/>
                </c:ext>
              </c:extLst>
            </c:dLbl>
            <c:dLbl>
              <c:idx val="3"/>
              <c:layout>
                <c:manualLayout>
                  <c:x val="-0.10239673786488307"/>
                  <c:y val="0.1245834306865554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separator>
</c:separator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7-53C8-4537-8310-9B07E62DB8D7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de-DE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eparator>
</c:separator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Batterieeinheit!$I$44:$I$47</c:f>
              <c:strCache>
                <c:ptCount val="4"/>
                <c:pt idx="0">
                  <c:v>Gehäuse (inklusive Modulträger)</c:v>
                </c:pt>
                <c:pt idx="1">
                  <c:v>BMS</c:v>
                </c:pt>
                <c:pt idx="2">
                  <c:v>Thermomanagement</c:v>
                </c:pt>
                <c:pt idx="3">
                  <c:v>Sonstiges
(Anschlüsse, Kabel, Onboard-Charger)</c:v>
                </c:pt>
              </c:strCache>
            </c:strRef>
          </c:cat>
          <c:val>
            <c:numRef>
              <c:f>Batterieeinheit!$H$44:$H$47</c:f>
              <c:numCache>
                <c:formatCode>_("€"* #,##0.00_);_("€"* \(#,##0.00\);_("€"* "-"??_);_(@_)</c:formatCode>
                <c:ptCount val="4"/>
                <c:pt idx="0">
                  <c:v>1090</c:v>
                </c:pt>
                <c:pt idx="1">
                  <c:v>410</c:v>
                </c:pt>
                <c:pt idx="2">
                  <c:v>330</c:v>
                </c:pt>
                <c:pt idx="3">
                  <c:v>480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53C8-4537-8310-9B07E62DB8D7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pieChart>
        <c:varyColors val="1"/>
        <c:ser>
          <c:idx val="0"/>
          <c:order val="0"/>
          <c:tx>
            <c:v>Materialeinzelkosten auf Zellebene</c:v>
          </c:tx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00A1-480B-941F-47CD177082F8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5283-42A8-AC12-62422A5E13C9}"/>
              </c:ext>
            </c:extLst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5-5283-42A8-AC12-62422A5E13C9}"/>
              </c:ext>
            </c:extLst>
          </c:dPt>
          <c:dPt>
            <c:idx val="3"/>
            <c:bubble3D val="0"/>
            <c:spPr>
              <a:gradFill rotWithShape="1">
                <a:gsLst>
                  <a:gs pos="0">
                    <a:schemeClr val="accent4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7-5283-42A8-AC12-62422A5E13C9}"/>
              </c:ext>
            </c:extLst>
          </c:dPt>
          <c:dPt>
            <c:idx val="4"/>
            <c:bubble3D val="0"/>
            <c:spPr>
              <a:gradFill rotWithShape="1">
                <a:gsLst>
                  <a:gs pos="0">
                    <a:schemeClr val="accent5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9-5283-42A8-AC12-62422A5E13C9}"/>
              </c:ext>
            </c:extLst>
          </c:dPt>
          <c:dPt>
            <c:idx val="5"/>
            <c:bubble3D val="0"/>
            <c:spPr>
              <a:gradFill rotWithShape="1">
                <a:gsLst>
                  <a:gs pos="0">
                    <a:schemeClr val="accent6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6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6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2-00A1-480B-941F-47CD177082F8}"/>
              </c:ext>
            </c:extLst>
          </c:dPt>
          <c:dPt>
            <c:idx val="6"/>
            <c:bubble3D val="0"/>
            <c:spPr>
              <a:gradFill rotWithShape="1">
                <a:gsLst>
                  <a:gs pos="0">
                    <a:schemeClr val="accent1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D-5283-42A8-AC12-62422A5E13C9}"/>
              </c:ext>
            </c:extLst>
          </c:dPt>
          <c:dPt>
            <c:idx val="7"/>
            <c:bubble3D val="0"/>
            <c:spPr>
              <a:gradFill rotWithShape="1">
                <a:gsLst>
                  <a:gs pos="0">
                    <a:schemeClr val="accent2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F-5283-42A8-AC12-62422A5E13C9}"/>
              </c:ext>
            </c:extLst>
          </c:dPt>
          <c:dPt>
            <c:idx val="8"/>
            <c:bubble3D val="0"/>
            <c:spPr>
              <a:gradFill rotWithShape="1">
                <a:gsLst>
                  <a:gs pos="0">
                    <a:schemeClr val="accent3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1-5283-42A8-AC12-62422A5E13C9}"/>
              </c:ext>
            </c:extLst>
          </c:dPt>
          <c:dLbls>
            <c:dLbl>
              <c:idx val="0"/>
              <c:layout>
                <c:manualLayout>
                  <c:x val="-6.1099270463682118E-2"/>
                  <c:y val="0.16705332158941141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separator>
</c:separator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00A1-480B-941F-47CD177082F8}"/>
                </c:ext>
              </c:extLst>
            </c:dLbl>
            <c:dLbl>
              <c:idx val="5"/>
              <c:layout>
                <c:manualLayout>
                  <c:x val="-1.8333814795742391E-3"/>
                  <c:y val="-6.2097610169601566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separator>
</c:separator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00A1-480B-941F-47CD177082F8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de-DE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eparator>
</c:separator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Batterieeinheit!$H$5:$H$13</c:f>
              <c:strCache>
                <c:ptCount val="9"/>
                <c:pt idx="0">
                  <c:v>Aktivmaterial Kathode</c:v>
                </c:pt>
                <c:pt idx="1">
                  <c:v>Aktivmaterial Anode</c:v>
                </c:pt>
                <c:pt idx="2">
                  <c:v>Binder</c:v>
                </c:pt>
                <c:pt idx="3">
                  <c:v>Lösungsmittel</c:v>
                </c:pt>
                <c:pt idx="4">
                  <c:v>Additive Kathode</c:v>
                </c:pt>
                <c:pt idx="5">
                  <c:v>Elektrolyt</c:v>
                </c:pt>
                <c:pt idx="6">
                  <c:v>Kollektoren</c:v>
                </c:pt>
                <c:pt idx="7">
                  <c:v>Separator</c:v>
                </c:pt>
                <c:pt idx="8">
                  <c:v>Gehäuse</c:v>
                </c:pt>
              </c:strCache>
            </c:strRef>
          </c:cat>
          <c:val>
            <c:numRef>
              <c:f>Batterieeinheit!$E$5:$E$13</c:f>
              <c:numCache>
                <c:formatCode>_("€"* #,##0.00_);_("€"* \(#,##0.00\);_("€"* "-"??_);_(@_)</c:formatCode>
                <c:ptCount val="9"/>
                <c:pt idx="0">
                  <c:v>3440.22541712167</c:v>
                </c:pt>
                <c:pt idx="1">
                  <c:v>538.46153846153845</c:v>
                </c:pt>
                <c:pt idx="2">
                  <c:v>143.58974358974359</c:v>
                </c:pt>
                <c:pt idx="3">
                  <c:v>190.38461538461542</c:v>
                </c:pt>
                <c:pt idx="4">
                  <c:v>34.102564102564102</c:v>
                </c:pt>
                <c:pt idx="5">
                  <c:v>582.56410256410254</c:v>
                </c:pt>
                <c:pt idx="6">
                  <c:v>240.87179487179489</c:v>
                </c:pt>
                <c:pt idx="7">
                  <c:v>328.20512820512818</c:v>
                </c:pt>
                <c:pt idx="8">
                  <c:v>200.30769230769229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0A1-480B-941F-47CD177082F8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bg1">
          <a:lumMod val="50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pieChart>
        <c:varyColors val="1"/>
        <c:ser>
          <c:idx val="0"/>
          <c:order val="0"/>
          <c:tx>
            <c:v>Zellfertigungskosten</c:v>
          </c:tx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9033-4126-BC18-93B9B33532C0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9033-4126-BC18-93B9B33532C0}"/>
              </c:ext>
            </c:extLst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5-9033-4126-BC18-93B9B33532C0}"/>
              </c:ext>
            </c:extLst>
          </c:dPt>
          <c:dPt>
            <c:idx val="3"/>
            <c:bubble3D val="0"/>
            <c:spPr>
              <a:gradFill rotWithShape="1">
                <a:gsLst>
                  <a:gs pos="0">
                    <a:schemeClr val="accent4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5-87AD-4AE1-8D14-4E4DA03E8D01}"/>
              </c:ext>
            </c:extLst>
          </c:dPt>
          <c:dPt>
            <c:idx val="4"/>
            <c:bubble3D val="0"/>
            <c:spPr>
              <a:gradFill rotWithShape="1">
                <a:gsLst>
                  <a:gs pos="0">
                    <a:schemeClr val="accent5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6-87AD-4AE1-8D14-4E4DA03E8D01}"/>
              </c:ext>
            </c:extLst>
          </c:dPt>
          <c:dPt>
            <c:idx val="5"/>
            <c:bubble3D val="0"/>
            <c:spPr>
              <a:gradFill rotWithShape="1">
                <a:gsLst>
                  <a:gs pos="0">
                    <a:schemeClr val="accent6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6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6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7-87AD-4AE1-8D14-4E4DA03E8D01}"/>
              </c:ext>
            </c:extLst>
          </c:dPt>
          <c:dLbls>
            <c:dLbl>
              <c:idx val="3"/>
              <c:layout>
                <c:manualLayout>
                  <c:x val="-7.7156481120112835E-2"/>
                  <c:y val="9.0389323184676282E-2"/>
                </c:manualLayout>
              </c:layout>
              <c:dLblPos val="bestFit"/>
              <c:showLegendKey val="0"/>
              <c:showVal val="1"/>
              <c:showCatName val="1"/>
              <c:showSerName val="0"/>
              <c:showPercent val="0"/>
              <c:showBubbleSize val="0"/>
              <c:separator>
</c:separator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87AD-4AE1-8D14-4E4DA03E8D01}"/>
                </c:ext>
              </c:extLst>
            </c:dLbl>
            <c:dLbl>
              <c:idx val="4"/>
              <c:layout>
                <c:manualLayout>
                  <c:x val="-7.7156481120112835E-2"/>
                  <c:y val="-3.6155729273870539E-3"/>
                </c:manualLayout>
              </c:layout>
              <c:dLblPos val="bestFit"/>
              <c:showLegendKey val="0"/>
              <c:showVal val="1"/>
              <c:showCatName val="1"/>
              <c:showSerName val="0"/>
              <c:showPercent val="0"/>
              <c:showBubbleSize val="0"/>
              <c:separator>
</c:separator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6-87AD-4AE1-8D14-4E4DA03E8D01}"/>
                </c:ext>
              </c:extLst>
            </c:dLbl>
            <c:dLbl>
              <c:idx val="5"/>
              <c:layout>
                <c:manualLayout>
                  <c:x val="1.2345036979218054E-2"/>
                  <c:y val="1.8077864636935271E-2"/>
                </c:manualLayout>
              </c:layout>
              <c:dLblPos val="bestFit"/>
              <c:showLegendKey val="0"/>
              <c:showVal val="1"/>
              <c:showCatName val="1"/>
              <c:showSerName val="0"/>
              <c:showPercent val="0"/>
              <c:showBubbleSize val="0"/>
              <c:separator>
</c:separator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7-87AD-4AE1-8D14-4E4DA03E8D01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de-DE"/>
              </a:p>
            </c:txPr>
            <c:dLblPos val="outEnd"/>
            <c:showLegendKey val="0"/>
            <c:showVal val="1"/>
            <c:showCatName val="1"/>
            <c:showSerName val="0"/>
            <c:showPercent val="0"/>
            <c:showBubbleSize val="0"/>
            <c:separator>
</c:separator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Batterieeinheit!$I$22:$I$27</c:f>
              <c:strCache>
                <c:ptCount val="6"/>
                <c:pt idx="0">
                  <c:v>Maschinen</c:v>
                </c:pt>
                <c:pt idx="1">
                  <c:v>Lohn</c:v>
                </c:pt>
                <c:pt idx="2">
                  <c:v>Energie</c:v>
                </c:pt>
                <c:pt idx="3">
                  <c:v>Gebäude</c:v>
                </c:pt>
                <c:pt idx="4">
                  <c:v>Finanzierung</c:v>
                </c:pt>
                <c:pt idx="5">
                  <c:v>Sonstige Gemeinkosten</c:v>
                </c:pt>
              </c:strCache>
            </c:strRef>
          </c:cat>
          <c:val>
            <c:numRef>
              <c:f>Batterieeinheit!$H$22:$H$27</c:f>
              <c:numCache>
                <c:formatCode>_-* #,##0.00\ [$€-407]_-;\-* #,##0.00\ [$€-407]_-;_-* "-"??\ [$€-407]_-;_-@_-</c:formatCode>
                <c:ptCount val="6"/>
                <c:pt idx="0">
                  <c:v>408.33</c:v>
                </c:pt>
                <c:pt idx="1">
                  <c:v>388.5</c:v>
                </c:pt>
                <c:pt idx="2">
                  <c:v>668.05200000000002</c:v>
                </c:pt>
                <c:pt idx="3">
                  <c:v>1.6199999999999999E-2</c:v>
                </c:pt>
                <c:pt idx="4">
                  <c:v>20.417476666666669</c:v>
                </c:pt>
                <c:pt idx="5">
                  <c:v>146.48853333333335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87AD-4AE1-8D14-4E4DA03E8D01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bg1">
          <a:lumMod val="50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Fertigungskosten auf Packebene </a:t>
            </a:r>
          </a:p>
          <a:p>
            <a:pPr>
              <a:defRPr/>
            </a:pPr>
            <a:r>
              <a:rPr lang="en-US"/>
              <a:t>(ohne Zellkosten)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pieChart>
        <c:varyColors val="1"/>
        <c:ser>
          <c:idx val="0"/>
          <c:order val="0"/>
          <c:tx>
            <c:v>Fertigungskosten auf Packebene (ohne Zellkosten)</c:v>
          </c:tx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2-9031-4F2C-9296-B53A5FD3A237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9031-4F2C-9296-B53A5FD3A237}"/>
              </c:ext>
            </c:extLst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5-82CF-43CD-9BB9-2F7FC5BF6AB0}"/>
              </c:ext>
            </c:extLst>
          </c:dPt>
          <c:dPt>
            <c:idx val="3"/>
            <c:bubble3D val="0"/>
            <c:spPr>
              <a:gradFill rotWithShape="1">
                <a:gsLst>
                  <a:gs pos="0">
                    <a:schemeClr val="accent4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7-82CF-43CD-9BB9-2F7FC5BF6AB0}"/>
              </c:ext>
            </c:extLst>
          </c:dPt>
          <c:dPt>
            <c:idx val="4"/>
            <c:bubble3D val="0"/>
            <c:spPr>
              <a:gradFill rotWithShape="1">
                <a:gsLst>
                  <a:gs pos="0">
                    <a:schemeClr val="accent5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9-82CF-43CD-9BB9-2F7FC5BF6AB0}"/>
              </c:ext>
            </c:extLst>
          </c:dPt>
          <c:dPt>
            <c:idx val="5"/>
            <c:bubble3D val="0"/>
            <c:spPr>
              <a:gradFill rotWithShape="1">
                <a:gsLst>
                  <a:gs pos="0">
                    <a:schemeClr val="accent6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6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6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9031-4F2C-9296-B53A5FD3A237}"/>
              </c:ext>
            </c:extLst>
          </c:dPt>
          <c:dLbls>
            <c:dLbl>
              <c:idx val="0"/>
              <c:layout>
                <c:manualLayout>
                  <c:x val="3.3582249852955562E-2"/>
                  <c:y val="0.1422811016601285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separator>
</c:separator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9031-4F2C-9296-B53A5FD3A237}"/>
                </c:ext>
              </c:extLst>
            </c:dLbl>
            <c:dLbl>
              <c:idx val="1"/>
              <c:layout>
                <c:manualLayout>
                  <c:x val="8.6837751788993774E-3"/>
                  <c:y val="0.10894959771091421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separator>
</c:separator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9031-4F2C-9296-B53A5FD3A237}"/>
                </c:ext>
              </c:extLst>
            </c:dLbl>
            <c:dLbl>
              <c:idx val="5"/>
              <c:layout>
                <c:manualLayout>
                  <c:x val="-0.16645047667138632"/>
                  <c:y val="-1.6986583346991064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separator>
</c:separator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9031-4F2C-9296-B53A5FD3A237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de-DE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eparator>
</c:separator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Batterieeinheit!$I$55:$I$60</c:f>
              <c:strCache>
                <c:ptCount val="6"/>
                <c:pt idx="0">
                  <c:v>Maschinen</c:v>
                </c:pt>
                <c:pt idx="1">
                  <c:v>Lohn</c:v>
                </c:pt>
                <c:pt idx="2">
                  <c:v>Energie</c:v>
                </c:pt>
                <c:pt idx="3">
                  <c:v>Gebäude</c:v>
                </c:pt>
                <c:pt idx="4">
                  <c:v>Finanzierung</c:v>
                </c:pt>
                <c:pt idx="5">
                  <c:v>sonst. Gemeinkosten</c:v>
                </c:pt>
              </c:strCache>
            </c:strRef>
          </c:cat>
          <c:val>
            <c:numRef>
              <c:f>Batterieeinheit!$H$55:$H$60</c:f>
              <c:numCache>
                <c:formatCode>_("€"* #,##0.00_);_("€"* \(#,##0.00\);_("€"* "-"??_);_(@_)</c:formatCode>
                <c:ptCount val="6"/>
                <c:pt idx="0">
                  <c:v>70</c:v>
                </c:pt>
                <c:pt idx="1">
                  <c:v>245</c:v>
                </c:pt>
                <c:pt idx="2">
                  <c:v>16.128</c:v>
                </c:pt>
                <c:pt idx="3">
                  <c:v>3.7999999999999996E-3</c:v>
                </c:pt>
                <c:pt idx="4">
                  <c:v>3.5001900000000004</c:v>
                </c:pt>
                <c:pt idx="5">
                  <c:v>33.1128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031-4F2C-9296-B53A5FD3A237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Materialeinzelkosten auf Packebene </a:t>
            </a:r>
          </a:p>
          <a:p>
            <a:pPr>
              <a:defRPr/>
            </a:pPr>
            <a:r>
              <a:rPr lang="en-US"/>
              <a:t>(ohne Zellkosten)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pieChart>
        <c:varyColors val="1"/>
        <c:ser>
          <c:idx val="0"/>
          <c:order val="0"/>
          <c:tx>
            <c:v>Materialeinzelkosten auf Packebene (ohne Zellkosten)</c:v>
          </c:tx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AEDA-428F-814E-4A9A82A35BAD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AEDA-428F-814E-4A9A82A35BAD}"/>
              </c:ext>
            </c:extLst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D43C-4615-8F9E-10352A164087}"/>
              </c:ext>
            </c:extLst>
          </c:dPt>
          <c:dPt>
            <c:idx val="3"/>
            <c:bubble3D val="0"/>
            <c:spPr>
              <a:gradFill rotWithShape="1">
                <a:gsLst>
                  <a:gs pos="0">
                    <a:schemeClr val="accent4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2-D43C-4615-8F9E-10352A164087}"/>
              </c:ext>
            </c:extLst>
          </c:dPt>
          <c:dLbls>
            <c:dLbl>
              <c:idx val="2"/>
              <c:layout>
                <c:manualLayout>
                  <c:x val="-2.9902867668159038E-2"/>
                  <c:y val="5.7078501539205677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separator>
</c:separator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D43C-4615-8F9E-10352A164087}"/>
                </c:ext>
              </c:extLst>
            </c:dLbl>
            <c:dLbl>
              <c:idx val="3"/>
              <c:layout>
                <c:manualLayout>
                  <c:x val="-0.10239673786488307"/>
                  <c:y val="0.1245834306865554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separator>
</c:separator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D43C-4615-8F9E-10352A164087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de-DE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eparator>
</c:separator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Batterieeinheit!$I$44:$I$47</c:f>
              <c:strCache>
                <c:ptCount val="4"/>
                <c:pt idx="0">
                  <c:v>Gehäuse (inklusive Modulträger)</c:v>
                </c:pt>
                <c:pt idx="1">
                  <c:v>BMS</c:v>
                </c:pt>
                <c:pt idx="2">
                  <c:v>Thermomanagement</c:v>
                </c:pt>
                <c:pt idx="3">
                  <c:v>Sonstiges
(Anschlüsse, Kabel, Onboard-Charger)</c:v>
                </c:pt>
              </c:strCache>
            </c:strRef>
          </c:cat>
          <c:val>
            <c:numRef>
              <c:f>Batterieeinheit!$H$44:$H$47</c:f>
              <c:numCache>
                <c:formatCode>_("€"* #,##0.00_);_("€"* \(#,##0.00\);_("€"* "-"??_);_(@_)</c:formatCode>
                <c:ptCount val="4"/>
                <c:pt idx="0">
                  <c:v>1090</c:v>
                </c:pt>
                <c:pt idx="1">
                  <c:v>410</c:v>
                </c:pt>
                <c:pt idx="2">
                  <c:v>330</c:v>
                </c:pt>
                <c:pt idx="3">
                  <c:v>480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43C-4615-8F9E-10352A164087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Fertigungskosten!$G$14</c:f>
              <c:strCache>
                <c:ptCount val="1"/>
                <c:pt idx="0">
                  <c:v>Elektrodenproduktion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Fertigungskosten!$H$13:$J$13</c:f>
              <c:numCache>
                <c:formatCode>General</c:formatCode>
                <c:ptCount val="3"/>
                <c:pt idx="0">
                  <c:v>2020</c:v>
                </c:pt>
                <c:pt idx="1">
                  <c:v>2025</c:v>
                </c:pt>
                <c:pt idx="2">
                  <c:v>2030</c:v>
                </c:pt>
              </c:numCache>
            </c:numRef>
          </c:cat>
          <c:val>
            <c:numRef>
              <c:f>Fertigungskosten!$H$14:$J$14</c:f>
              <c:numCache>
                <c:formatCode>_-* #,##0_-;\-* #,##0_-;_-* "-"??_-;_-@_-</c:formatCode>
                <c:ptCount val="3"/>
                <c:pt idx="0">
                  <c:v>12</c:v>
                </c:pt>
                <c:pt idx="1">
                  <c:v>11</c:v>
                </c:pt>
                <c:pt idx="2">
                  <c:v>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FFB-4B68-AF75-7B32BE9B6393}"/>
            </c:ext>
          </c:extLst>
        </c:ser>
        <c:ser>
          <c:idx val="1"/>
          <c:order val="1"/>
          <c:tx>
            <c:strRef>
              <c:f>Fertigungskosten!$G$15</c:f>
              <c:strCache>
                <c:ptCount val="1"/>
                <c:pt idx="0">
                  <c:v>Zellassemblierung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Fertigungskosten!$H$13:$J$13</c:f>
              <c:numCache>
                <c:formatCode>General</c:formatCode>
                <c:ptCount val="3"/>
                <c:pt idx="0">
                  <c:v>2020</c:v>
                </c:pt>
                <c:pt idx="1">
                  <c:v>2025</c:v>
                </c:pt>
                <c:pt idx="2">
                  <c:v>2030</c:v>
                </c:pt>
              </c:numCache>
            </c:numRef>
          </c:cat>
          <c:val>
            <c:numRef>
              <c:f>Fertigungskosten!$H$15:$J$15</c:f>
              <c:numCache>
                <c:formatCode>_-* #,##0_-;\-* #,##0_-;_-* "-"??_-;_-@_-</c:formatCode>
                <c:ptCount val="3"/>
                <c:pt idx="0">
                  <c:v>9</c:v>
                </c:pt>
                <c:pt idx="1">
                  <c:v>7</c:v>
                </c:pt>
                <c:pt idx="2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FFB-4B68-AF75-7B32BE9B6393}"/>
            </c:ext>
          </c:extLst>
        </c:ser>
        <c:ser>
          <c:idx val="2"/>
          <c:order val="2"/>
          <c:tx>
            <c:strRef>
              <c:f>Fertigungskosten!$G$16</c:f>
              <c:strCache>
                <c:ptCount val="1"/>
                <c:pt idx="0">
                  <c:v>Zellfinishing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numRef>
              <c:f>Fertigungskosten!$H$13:$J$13</c:f>
              <c:numCache>
                <c:formatCode>General</c:formatCode>
                <c:ptCount val="3"/>
                <c:pt idx="0">
                  <c:v>2020</c:v>
                </c:pt>
                <c:pt idx="1">
                  <c:v>2025</c:v>
                </c:pt>
                <c:pt idx="2">
                  <c:v>2030</c:v>
                </c:pt>
              </c:numCache>
            </c:numRef>
          </c:cat>
          <c:val>
            <c:numRef>
              <c:f>Fertigungskosten!$H$16:$J$16</c:f>
              <c:numCache>
                <c:formatCode>_-* #,##0_-;\-* #,##0_-;_-* "-"??_-;_-@_-</c:formatCode>
                <c:ptCount val="3"/>
                <c:pt idx="0">
                  <c:v>14</c:v>
                </c:pt>
                <c:pt idx="1">
                  <c:v>11</c:v>
                </c:pt>
                <c:pt idx="2">
                  <c:v>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FFFB-4B68-AF75-7B32BE9B6393}"/>
            </c:ext>
          </c:extLst>
        </c:ser>
        <c:ser>
          <c:idx val="3"/>
          <c:order val="3"/>
          <c:tx>
            <c:strRef>
              <c:f>Fertigungskosten!$G$17</c:f>
              <c:strCache>
                <c:ptCount val="1"/>
                <c:pt idx="0">
                  <c:v>Modul- &amp; Packassemblierung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numRef>
              <c:f>Fertigungskosten!$H$13:$J$13</c:f>
              <c:numCache>
                <c:formatCode>General</c:formatCode>
                <c:ptCount val="3"/>
                <c:pt idx="0">
                  <c:v>2020</c:v>
                </c:pt>
                <c:pt idx="1">
                  <c:v>2025</c:v>
                </c:pt>
                <c:pt idx="2">
                  <c:v>2030</c:v>
                </c:pt>
              </c:numCache>
            </c:numRef>
          </c:cat>
          <c:val>
            <c:numRef>
              <c:f>Fertigungskosten!$H$17:$J$17</c:f>
              <c:numCache>
                <c:formatCode>_-* #,##0_-;\-* #,##0_-;_-* "-"??_-;_-@_-</c:formatCode>
                <c:ptCount val="3"/>
                <c:pt idx="0">
                  <c:v>6</c:v>
                </c:pt>
                <c:pt idx="1">
                  <c:v>4</c:v>
                </c:pt>
                <c:pt idx="2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FFFB-4B68-AF75-7B32BE9B639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714126576"/>
        <c:axId val="1250759984"/>
      </c:barChart>
      <c:catAx>
        <c:axId val="171412657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250759984"/>
        <c:crosses val="autoZero"/>
        <c:auto val="1"/>
        <c:lblAlgn val="ctr"/>
        <c:lblOffset val="100"/>
        <c:noMultiLvlLbl val="0"/>
      </c:catAx>
      <c:valAx>
        <c:axId val="12507599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Investitionen (Mio. €/ GWh)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_-* #,##0_-;\-* #,##0_-;_-* &quot;-&quot;??_-;_-@_-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71412657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v>Strom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dLbl>
              <c:idx val="1"/>
              <c:layout>
                <c:manualLayout>
                  <c:x val="-4.7523470025040353E-17"/>
                  <c:y val="9.150030602169278E-3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A-8C4B-4D3E-A911-A96DE518A41E}"/>
                </c:ext>
              </c:extLst>
            </c:dLbl>
            <c:dLbl>
              <c:idx val="4"/>
              <c:layout>
                <c:manualLayout>
                  <c:x val="-4.7523470025040353E-17"/>
                  <c:y val="9.150030602169278E-3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9-8C4B-4D3E-A911-A96DE518A41E}"/>
                </c:ext>
              </c:extLst>
            </c:dLbl>
            <c:dLbl>
              <c:idx val="8"/>
              <c:layout>
                <c:manualLayout>
                  <c:x val="-4.7523470025040353E-17"/>
                  <c:y val="1.3725045903253833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C-8C4B-4D3E-A911-A96DE518A41E}"/>
                </c:ext>
              </c:extLst>
            </c:dLbl>
            <c:dLbl>
              <c:idx val="11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8C4B-4D3E-A911-A96DE518A41E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de-DE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(Fertigungskosten!$C$47:$C$51,Fertigungskosten!$C$53:$C$57,Fertigungskosten!$C$59:$C$61)</c:f>
              <c:strCache>
                <c:ptCount val="13"/>
                <c:pt idx="0">
                  <c:v>Mixing</c:v>
                </c:pt>
                <c:pt idx="1">
                  <c:v>Coating and drying</c:v>
                </c:pt>
                <c:pt idx="2">
                  <c:v>Calandaring</c:v>
                </c:pt>
                <c:pt idx="3">
                  <c:v>Slittting</c:v>
                </c:pt>
                <c:pt idx="4">
                  <c:v>Vacuum drying</c:v>
                </c:pt>
                <c:pt idx="5">
                  <c:v>Winding/ Stacking</c:v>
                </c:pt>
                <c:pt idx="6">
                  <c:v>Assembly</c:v>
                </c:pt>
                <c:pt idx="7">
                  <c:v>Washing</c:v>
                </c:pt>
                <c:pt idx="8">
                  <c:v>Drying rooms</c:v>
                </c:pt>
                <c:pt idx="9">
                  <c:v>Handling</c:v>
                </c:pt>
                <c:pt idx="10">
                  <c:v>Formation</c:v>
                </c:pt>
                <c:pt idx="11">
                  <c:v>Ageing</c:v>
                </c:pt>
                <c:pt idx="12">
                  <c:v>Testing</c:v>
                </c:pt>
              </c:strCache>
            </c:strRef>
          </c:cat>
          <c:val>
            <c:numRef>
              <c:f>(Fertigungskosten!$D$47:$D$51,Fertigungskosten!$D$53:$D$57,Fertigungskosten!$D$59:$D$61)</c:f>
              <c:numCache>
                <c:formatCode>General</c:formatCode>
                <c:ptCount val="13"/>
                <c:pt idx="0">
                  <c:v>0.13</c:v>
                </c:pt>
                <c:pt idx="1">
                  <c:v>0.92</c:v>
                </c:pt>
                <c:pt idx="2">
                  <c:v>0.53</c:v>
                </c:pt>
                <c:pt idx="3">
                  <c:v>0.16</c:v>
                </c:pt>
                <c:pt idx="4">
                  <c:v>0.4</c:v>
                </c:pt>
                <c:pt idx="5">
                  <c:v>0.25</c:v>
                </c:pt>
                <c:pt idx="6">
                  <c:v>1.59</c:v>
                </c:pt>
                <c:pt idx="7">
                  <c:v>1.98</c:v>
                </c:pt>
                <c:pt idx="8">
                  <c:v>1.62</c:v>
                </c:pt>
                <c:pt idx="9">
                  <c:v>1.98</c:v>
                </c:pt>
                <c:pt idx="10">
                  <c:v>9.92</c:v>
                </c:pt>
                <c:pt idx="11">
                  <c:v>0</c:v>
                </c:pt>
                <c:pt idx="12">
                  <c:v>0.99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C4B-4D3E-A911-A96DE518A41E}"/>
            </c:ext>
          </c:extLst>
        </c:ser>
        <c:ser>
          <c:idx val="1"/>
          <c:order val="1"/>
          <c:tx>
            <c:v>Gas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dLbl>
              <c:idx val="0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B-8C4B-4D3E-A911-A96DE518A41E}"/>
                </c:ext>
              </c:extLst>
            </c:dLbl>
            <c:dLbl>
              <c:idx val="2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8-8C4B-4D3E-A911-A96DE518A41E}"/>
                </c:ext>
              </c:extLst>
            </c:dLbl>
            <c:dLbl>
              <c:idx val="3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7-8C4B-4D3E-A911-A96DE518A41E}"/>
                </c:ext>
              </c:extLst>
            </c:dLbl>
            <c:dLbl>
              <c:idx val="5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6-8C4B-4D3E-A911-A96DE518A41E}"/>
                </c:ext>
              </c:extLst>
            </c:dLbl>
            <c:dLbl>
              <c:idx val="6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8C4B-4D3E-A911-A96DE518A41E}"/>
                </c:ext>
              </c:extLst>
            </c:dLbl>
            <c:dLbl>
              <c:idx val="7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8C4B-4D3E-A911-A96DE518A41E}"/>
                </c:ext>
              </c:extLst>
            </c:dLbl>
            <c:dLbl>
              <c:idx val="9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8C4B-4D3E-A911-A96DE518A41E}"/>
                </c:ext>
              </c:extLst>
            </c:dLbl>
            <c:dLbl>
              <c:idx val="12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D-8C4B-4D3E-A911-A96DE518A41E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de-DE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(Fertigungskosten!$C$47:$C$51,Fertigungskosten!$C$53:$C$57,Fertigungskosten!$C$59:$C$61)</c:f>
              <c:strCache>
                <c:ptCount val="13"/>
                <c:pt idx="0">
                  <c:v>Mixing</c:v>
                </c:pt>
                <c:pt idx="1">
                  <c:v>Coating and drying</c:v>
                </c:pt>
                <c:pt idx="2">
                  <c:v>Calandaring</c:v>
                </c:pt>
                <c:pt idx="3">
                  <c:v>Slittting</c:v>
                </c:pt>
                <c:pt idx="4">
                  <c:v>Vacuum drying</c:v>
                </c:pt>
                <c:pt idx="5">
                  <c:v>Winding/ Stacking</c:v>
                </c:pt>
                <c:pt idx="6">
                  <c:v>Assembly</c:v>
                </c:pt>
                <c:pt idx="7">
                  <c:v>Washing</c:v>
                </c:pt>
                <c:pt idx="8">
                  <c:v>Drying rooms</c:v>
                </c:pt>
                <c:pt idx="9">
                  <c:v>Handling</c:v>
                </c:pt>
                <c:pt idx="10">
                  <c:v>Formation</c:v>
                </c:pt>
                <c:pt idx="11">
                  <c:v>Ageing</c:v>
                </c:pt>
                <c:pt idx="12">
                  <c:v>Testing</c:v>
                </c:pt>
              </c:strCache>
            </c:strRef>
          </c:cat>
          <c:val>
            <c:numRef>
              <c:f>(Fertigungskosten!$E$47:$E$51,Fertigungskosten!$E$53:$E$57,Fertigungskosten!$E$59:$E$61)</c:f>
              <c:numCache>
                <c:formatCode>General</c:formatCode>
                <c:ptCount val="13"/>
                <c:pt idx="0">
                  <c:v>0</c:v>
                </c:pt>
                <c:pt idx="1">
                  <c:v>10.1</c:v>
                </c:pt>
                <c:pt idx="2">
                  <c:v>0</c:v>
                </c:pt>
                <c:pt idx="3">
                  <c:v>0</c:v>
                </c:pt>
                <c:pt idx="4">
                  <c:v>1.57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9.06</c:v>
                </c:pt>
                <c:pt idx="9">
                  <c:v>0</c:v>
                </c:pt>
                <c:pt idx="10">
                  <c:v>0.25</c:v>
                </c:pt>
                <c:pt idx="11">
                  <c:v>0.4</c:v>
                </c:pt>
                <c:pt idx="1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C4B-4D3E-A911-A96DE518A41E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82"/>
        <c:axId val="1742716464"/>
        <c:axId val="1742724784"/>
      </c:barChart>
      <c:catAx>
        <c:axId val="1742716464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742724784"/>
        <c:crosses val="autoZero"/>
        <c:auto val="1"/>
        <c:lblAlgn val="ctr"/>
        <c:lblOffset val="100"/>
        <c:noMultiLvlLbl val="0"/>
      </c:catAx>
      <c:valAx>
        <c:axId val="174272478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/>
                  <a:t>Energieverbrauch (kWh/ kWh Zellkapazität)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742716464"/>
        <c:crosses val="autoZero"/>
        <c:crossBetween val="between"/>
      </c:valAx>
      <c:spPr>
        <a:noFill/>
        <a:ln w="25400"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DE"/>
              <a:t>Grav. Energiedichte nach Zellchemie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Materialkosten!$N$59</c:f>
              <c:strCache>
                <c:ptCount val="1"/>
                <c:pt idx="0">
                  <c:v>Natrium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Materialkosten!$O$59</c:f>
              <c:numCache>
                <c:formatCode>General</c:formatCode>
                <c:ptCount val="1"/>
                <c:pt idx="0">
                  <c:v>160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3B8-4654-A6D5-1FDFB9EC0818}"/>
            </c:ext>
          </c:extLst>
        </c:ser>
        <c:ser>
          <c:idx val="1"/>
          <c:order val="1"/>
          <c:tx>
            <c:strRef>
              <c:f>Materialkosten!$N$60</c:f>
              <c:strCache>
                <c:ptCount val="1"/>
                <c:pt idx="0">
                  <c:v>LFP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Materialkosten!$O$60</c:f>
              <c:numCache>
                <c:formatCode>General</c:formatCode>
                <c:ptCount val="1"/>
                <c:pt idx="0">
                  <c:v>180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3B8-4654-A6D5-1FDFB9EC0818}"/>
            </c:ext>
          </c:extLst>
        </c:ser>
        <c:ser>
          <c:idx val="2"/>
          <c:order val="2"/>
          <c:tx>
            <c:strRef>
              <c:f>Materialkosten!$N$61</c:f>
              <c:strCache>
                <c:ptCount val="1"/>
                <c:pt idx="0">
                  <c:v>LMO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val>
            <c:numRef>
              <c:f>Materialkosten!$O$61</c:f>
              <c:numCache>
                <c:formatCode>General</c:formatCode>
                <c:ptCount val="1"/>
                <c:pt idx="0">
                  <c:v>170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63B8-4654-A6D5-1FDFB9EC0818}"/>
            </c:ext>
          </c:extLst>
        </c:ser>
        <c:ser>
          <c:idx val="3"/>
          <c:order val="3"/>
          <c:tx>
            <c:strRef>
              <c:f>Materialkosten!$N$62</c:f>
              <c:strCache>
                <c:ptCount val="1"/>
                <c:pt idx="0">
                  <c:v>NMC-111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val>
            <c:numRef>
              <c:f>Materialkosten!$O$62</c:f>
              <c:numCache>
                <c:formatCode>General</c:formatCode>
                <c:ptCount val="1"/>
                <c:pt idx="0">
                  <c:v>262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63B8-4654-A6D5-1FDFB9EC0818}"/>
            </c:ext>
          </c:extLst>
        </c:ser>
        <c:ser>
          <c:idx val="4"/>
          <c:order val="4"/>
          <c:tx>
            <c:strRef>
              <c:f>Materialkosten!$N$63</c:f>
              <c:strCache>
                <c:ptCount val="1"/>
                <c:pt idx="0">
                  <c:v>NMC-532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val>
            <c:numRef>
              <c:f>Materialkosten!$O$63</c:f>
              <c:numCache>
                <c:formatCode>General</c:formatCode>
                <c:ptCount val="1"/>
                <c:pt idx="0">
                  <c:v>269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63B8-4654-A6D5-1FDFB9EC0818}"/>
            </c:ext>
          </c:extLst>
        </c:ser>
        <c:ser>
          <c:idx val="5"/>
          <c:order val="5"/>
          <c:tx>
            <c:strRef>
              <c:f>Materialkosten!$N$64</c:f>
              <c:strCache>
                <c:ptCount val="1"/>
                <c:pt idx="0">
                  <c:v>NMC-622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val>
            <c:numRef>
              <c:f>Materialkosten!$O$64</c:f>
              <c:numCache>
                <c:formatCode>General</c:formatCode>
                <c:ptCount val="1"/>
                <c:pt idx="0">
                  <c:v>273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63B8-4654-A6D5-1FDFB9EC0818}"/>
            </c:ext>
          </c:extLst>
        </c:ser>
        <c:ser>
          <c:idx val="6"/>
          <c:order val="6"/>
          <c:tx>
            <c:strRef>
              <c:f>Materialkosten!$N$66</c:f>
              <c:strCache>
                <c:ptCount val="1"/>
                <c:pt idx="0">
                  <c:v>NMC-811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val>
            <c:numRef>
              <c:f>Materialkosten!$O$66</c:f>
              <c:numCache>
                <c:formatCode>General</c:formatCode>
                <c:ptCount val="1"/>
                <c:pt idx="0">
                  <c:v>280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63B8-4654-A6D5-1FDFB9EC0818}"/>
            </c:ext>
          </c:extLst>
        </c:ser>
        <c:ser>
          <c:idx val="7"/>
          <c:order val="7"/>
          <c:tx>
            <c:strRef>
              <c:f>Materialkosten!$N$67</c:f>
              <c:strCache>
                <c:ptCount val="1"/>
                <c:pt idx="0">
                  <c:v>NCA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val>
            <c:numRef>
              <c:f>Materialkosten!$O$67</c:f>
              <c:numCache>
                <c:formatCode>General</c:formatCode>
                <c:ptCount val="1"/>
                <c:pt idx="0">
                  <c:v>280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63B8-4654-A6D5-1FDFB9EC081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74"/>
        <c:overlap val="-32"/>
        <c:axId val="707956335"/>
        <c:axId val="707955503"/>
      </c:barChart>
      <c:catAx>
        <c:axId val="707956335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707955503"/>
        <c:crosses val="autoZero"/>
        <c:auto val="1"/>
        <c:lblAlgn val="ctr"/>
        <c:lblOffset val="100"/>
        <c:noMultiLvlLbl val="0"/>
      </c:catAx>
      <c:valAx>
        <c:axId val="707955503"/>
        <c:scaling>
          <c:orientation val="minMax"/>
          <c:max val="3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/>
                  <a:t>Wh/ kg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70795633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17604493231943297"/>
          <c:y val="0.93047101522982345"/>
          <c:w val="0.73728664293322921"/>
          <c:h val="5.1291968173773399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bg1">
          <a:lumMod val="50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DE"/>
              <a:t>Preis Elektrodenmaterialien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Materialkosten!$I$17</c:f>
              <c:strCache>
                <c:ptCount val="1"/>
                <c:pt idx="0">
                  <c:v>NMC-111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Materialkosten!$J$17</c:f>
              <c:numCache>
                <c:formatCode>0.00</c:formatCode>
                <c:ptCount val="1"/>
                <c:pt idx="0">
                  <c:v>43.542435551869517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643-4D61-A120-64119C361EF5}"/>
            </c:ext>
          </c:extLst>
        </c:ser>
        <c:ser>
          <c:idx val="1"/>
          <c:order val="1"/>
          <c:tx>
            <c:strRef>
              <c:f>Materialkosten!$I$18</c:f>
              <c:strCache>
                <c:ptCount val="1"/>
                <c:pt idx="0">
                  <c:v>NMC-532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Materialkosten!$J$18</c:f>
              <c:numCache>
                <c:formatCode>0.00</c:formatCode>
                <c:ptCount val="1"/>
                <c:pt idx="0">
                  <c:v>39.768759127111537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643-4D61-A120-64119C361EF5}"/>
            </c:ext>
          </c:extLst>
        </c:ser>
        <c:ser>
          <c:idx val="2"/>
          <c:order val="2"/>
          <c:tx>
            <c:strRef>
              <c:f>Materialkosten!$I$19</c:f>
              <c:strCache>
                <c:ptCount val="1"/>
                <c:pt idx="0">
                  <c:v>NMC-622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val>
            <c:numRef>
              <c:f>Materialkosten!$J$19</c:f>
              <c:numCache>
                <c:formatCode>0.00</c:formatCode>
                <c:ptCount val="1"/>
                <c:pt idx="0">
                  <c:v>40.657209475074282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643-4D61-A120-64119C361EF5}"/>
            </c:ext>
          </c:extLst>
        </c:ser>
        <c:ser>
          <c:idx val="3"/>
          <c:order val="3"/>
          <c:tx>
            <c:strRef>
              <c:f>Materialkosten!$I$21</c:f>
              <c:strCache>
                <c:ptCount val="1"/>
                <c:pt idx="0">
                  <c:v>NMC-811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val>
            <c:numRef>
              <c:f>Materialkosten!$J$21</c:f>
              <c:numCache>
                <c:formatCode>0.00</c:formatCode>
                <c:ptCount val="1"/>
                <c:pt idx="0">
                  <c:v>38.511508136391207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2643-4D61-A120-64119C361EF5}"/>
            </c:ext>
          </c:extLst>
        </c:ser>
        <c:ser>
          <c:idx val="4"/>
          <c:order val="4"/>
          <c:tx>
            <c:strRef>
              <c:f>Materialkosten!$I$22</c:f>
              <c:strCache>
                <c:ptCount val="1"/>
                <c:pt idx="0">
                  <c:v>NCA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val>
            <c:numRef>
              <c:f>Materialkosten!$J$22</c:f>
              <c:numCache>
                <c:formatCode>0.00</c:formatCode>
                <c:ptCount val="1"/>
                <c:pt idx="0">
                  <c:v>40.694672696332759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2643-4D61-A120-64119C361EF5}"/>
            </c:ext>
          </c:extLst>
        </c:ser>
        <c:ser>
          <c:idx val="5"/>
          <c:order val="5"/>
          <c:tx>
            <c:strRef>
              <c:f>Materialkosten!$I$23</c:f>
              <c:strCache>
                <c:ptCount val="1"/>
                <c:pt idx="0">
                  <c:v>LFP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val>
            <c:numRef>
              <c:f>Materialkosten!$J$23</c:f>
              <c:numCache>
                <c:formatCode>0.00</c:formatCode>
                <c:ptCount val="1"/>
                <c:pt idx="0">
                  <c:v>19.069155679513187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2643-4D61-A120-64119C361EF5}"/>
            </c:ext>
          </c:extLst>
        </c:ser>
        <c:ser>
          <c:idx val="6"/>
          <c:order val="6"/>
          <c:tx>
            <c:strRef>
              <c:f>Materialkosten!$I$24</c:f>
              <c:strCache>
                <c:ptCount val="1"/>
                <c:pt idx="0">
                  <c:v>LMO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val>
            <c:numRef>
              <c:f>Materialkosten!$J$24</c:f>
              <c:numCache>
                <c:formatCode>0.00</c:formatCode>
                <c:ptCount val="1"/>
                <c:pt idx="0">
                  <c:v>22.263714350641976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2643-4D61-A120-64119C361EF5}"/>
            </c:ext>
          </c:extLst>
        </c:ser>
        <c:ser>
          <c:idx val="7"/>
          <c:order val="7"/>
          <c:tx>
            <c:strRef>
              <c:f>Materialkosten!$I$25</c:f>
              <c:strCache>
                <c:ptCount val="1"/>
                <c:pt idx="0">
                  <c:v>Natrium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val>
            <c:numRef>
              <c:f>Materialkosten!$J$25</c:f>
              <c:numCache>
                <c:formatCode>0.00</c:formatCode>
                <c:ptCount val="1"/>
                <c:pt idx="0">
                  <c:v>13.946204718191689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2643-4D61-A120-64119C361EF5}"/>
            </c:ext>
          </c:extLst>
        </c:ser>
        <c:ser>
          <c:idx val="8"/>
          <c:order val="8"/>
          <c:tx>
            <c:strRef>
              <c:f>Materialkosten!$I$26</c:f>
              <c:strCache>
                <c:ptCount val="1"/>
                <c:pt idx="0">
                  <c:v>Graphit</c:v>
                </c:pt>
              </c:strCache>
            </c:strRef>
          </c:tx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</c:spPr>
          <c:invertIfNegative val="0"/>
          <c:val>
            <c:numRef>
              <c:f>Materialkosten!$J$26</c:f>
              <c:numCache>
                <c:formatCode>General</c:formatCode>
                <c:ptCount val="1"/>
                <c:pt idx="0">
                  <c:v>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2643-4D61-A120-64119C361EF5}"/>
            </c:ext>
          </c:extLst>
        </c:ser>
        <c:ser>
          <c:idx val="9"/>
          <c:order val="9"/>
          <c:tx>
            <c:strRef>
              <c:f>Materialkosten!$I$27</c:f>
              <c:strCache>
                <c:ptCount val="1"/>
                <c:pt idx="0">
                  <c:v>Hard Carbon</c:v>
                </c:pt>
              </c:strCache>
            </c:strRef>
          </c:tx>
          <c:spPr>
            <a:solidFill>
              <a:schemeClr val="accent4">
                <a:lumMod val="60000"/>
              </a:schemeClr>
            </a:solidFill>
            <a:ln>
              <a:noFill/>
            </a:ln>
            <a:effectLst/>
          </c:spPr>
          <c:invertIfNegative val="0"/>
          <c:val>
            <c:numRef>
              <c:f>Materialkosten!$J$27</c:f>
              <c:numCache>
                <c:formatCode>General</c:formatCode>
                <c:ptCount val="1"/>
                <c:pt idx="0">
                  <c:v>15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7C6-48BF-80A8-B9D82C09C64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84190319"/>
        <c:axId val="384187407"/>
      </c:barChart>
      <c:catAx>
        <c:axId val="384190319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384187407"/>
        <c:crosses val="autoZero"/>
        <c:auto val="1"/>
        <c:lblAlgn val="ctr"/>
        <c:lblOffset val="100"/>
        <c:noMultiLvlLbl val="0"/>
      </c:catAx>
      <c:valAx>
        <c:axId val="38418740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/>
                  <a:t>€/ kg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38419031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bg1">
          <a:lumMod val="50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Materialkosten!$H$60</c:f>
          <c:strCache>
            <c:ptCount val="1"/>
            <c:pt idx="0">
              <c:v>Anteilige Materialkosten auf Zellebene 
für NMC-622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35AB-4D19-954B-2BD9423606D7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2-1A7B-4FC4-AF13-2236F2939BAD}"/>
              </c:ext>
            </c:extLst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1A7B-4FC4-AF13-2236F2939BAD}"/>
              </c:ext>
            </c:extLst>
          </c:dPt>
          <c:dPt>
            <c:idx val="3"/>
            <c:bubble3D val="0"/>
            <c:spPr>
              <a:gradFill rotWithShape="1">
                <a:gsLst>
                  <a:gs pos="0">
                    <a:schemeClr val="accent4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4-1A7B-4FC4-AF13-2236F2939BAD}"/>
              </c:ext>
            </c:extLst>
          </c:dPt>
          <c:dPt>
            <c:idx val="4"/>
            <c:bubble3D val="0"/>
            <c:spPr>
              <a:gradFill rotWithShape="1">
                <a:gsLst>
                  <a:gs pos="0">
                    <a:schemeClr val="accent5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7-1A7B-4FC4-AF13-2236F2939BAD}"/>
              </c:ext>
            </c:extLst>
          </c:dPt>
          <c:dPt>
            <c:idx val="5"/>
            <c:bubble3D val="0"/>
            <c:spPr>
              <a:gradFill rotWithShape="1">
                <a:gsLst>
                  <a:gs pos="0">
                    <a:schemeClr val="accent6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6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6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6-1A7B-4FC4-AF13-2236F2939BAD}"/>
              </c:ext>
            </c:extLst>
          </c:dPt>
          <c:dPt>
            <c:idx val="6"/>
            <c:bubble3D val="0"/>
            <c:spPr>
              <a:gradFill rotWithShape="1">
                <a:gsLst>
                  <a:gs pos="0">
                    <a:schemeClr val="accent1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5-1A7B-4FC4-AF13-2236F2939BAD}"/>
              </c:ext>
            </c:extLst>
          </c:dPt>
          <c:dPt>
            <c:idx val="7"/>
            <c:bubble3D val="0"/>
            <c:spPr>
              <a:gradFill rotWithShape="1">
                <a:gsLst>
                  <a:gs pos="0">
                    <a:schemeClr val="accent2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8-1A7B-4FC4-AF13-2236F2939BAD}"/>
              </c:ext>
            </c:extLst>
          </c:dPt>
          <c:dPt>
            <c:idx val="8"/>
            <c:bubble3D val="0"/>
            <c:spPr>
              <a:gradFill rotWithShape="1">
                <a:gsLst>
                  <a:gs pos="0">
                    <a:schemeClr val="accent3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A-1A7B-4FC4-AF13-2236F2939BAD}"/>
              </c:ext>
            </c:extLst>
          </c:dPt>
          <c:dPt>
            <c:idx val="9"/>
            <c:bubble3D val="0"/>
            <c:spPr>
              <a:gradFill rotWithShape="1">
                <a:gsLst>
                  <a:gs pos="0">
                    <a:schemeClr val="accent4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9-1A7B-4FC4-AF13-2236F2939BAD}"/>
              </c:ext>
            </c:extLst>
          </c:dPt>
          <c:dPt>
            <c:idx val="10"/>
            <c:bubble3D val="0"/>
            <c:spPr>
              <a:gradFill rotWithShape="1">
                <a:gsLst>
                  <a:gs pos="0">
                    <a:schemeClr val="accent5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1A7B-4FC4-AF13-2236F2939BAD}"/>
              </c:ext>
            </c:extLst>
          </c:dPt>
          <c:dLbls>
            <c:dLbl>
              <c:idx val="0"/>
              <c:layout>
                <c:manualLayout>
                  <c:x val="5.7431220808259999E-2"/>
                  <c:y val="2.0969601343111145E-2"/>
                </c:manualLayout>
              </c:layout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35AB-4D19-954B-2BD9423606D7}"/>
                </c:ext>
              </c:extLst>
            </c:dLbl>
            <c:dLbl>
              <c:idx val="1"/>
              <c:layout>
                <c:manualLayout>
                  <c:x val="9.1068897637795382E-2"/>
                  <c:y val="-4.2170842323539931E-2"/>
                </c:manualLayout>
              </c:layout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1A7B-4FC4-AF13-2236F2939BAD}"/>
                </c:ext>
              </c:extLst>
            </c:dLbl>
            <c:dLbl>
              <c:idx val="2"/>
              <c:layout>
                <c:manualLayout>
                  <c:x val="-1.1111111111111124E-2"/>
                  <c:y val="3.5650623885918005E-2"/>
                </c:manualLayout>
              </c:layout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1A7B-4FC4-AF13-2236F2939BAD}"/>
                </c:ext>
              </c:extLst>
            </c:dLbl>
            <c:dLbl>
              <c:idx val="3"/>
              <c:layout>
                <c:manualLayout>
                  <c:x val="1.5472372938140884E-2"/>
                  <c:y val="-1.5269655858458797E-16"/>
                </c:manualLayout>
              </c:layout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1A7B-4FC4-AF13-2236F2939BAD}"/>
                </c:ext>
              </c:extLst>
            </c:dLbl>
            <c:dLbl>
              <c:idx val="4"/>
              <c:layout>
                <c:manualLayout>
                  <c:x val="-4.0683290620417832E-2"/>
                  <c:y val="2.6118955163094117E-2"/>
                </c:manualLayout>
              </c:layout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7-1A7B-4FC4-AF13-2236F2939BAD}"/>
                </c:ext>
              </c:extLst>
            </c:dLbl>
            <c:dLbl>
              <c:idx val="5"/>
              <c:layout>
                <c:manualLayout>
                  <c:x val="-0.1078579291560247"/>
                  <c:y val="-3.4483369217985657E-2"/>
                </c:manualLayout>
              </c:layout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6-1A7B-4FC4-AF13-2236F2939BAD}"/>
                </c:ext>
              </c:extLst>
            </c:dLbl>
            <c:dLbl>
              <c:idx val="6"/>
              <c:layout>
                <c:manualLayout>
                  <c:x val="-3.0555555555555555E-2"/>
                  <c:y val="-7.6170327243085353E-2"/>
                </c:manualLayout>
              </c:layout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1A7B-4FC4-AF13-2236F2939BAD}"/>
                </c:ext>
              </c:extLst>
            </c:dLbl>
            <c:dLbl>
              <c:idx val="7"/>
              <c:layout>
                <c:manualLayout>
                  <c:x val="-2.5462668816039986E-17"/>
                  <c:y val="-2.4955436720142634E-2"/>
                </c:manualLayout>
              </c:layout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8-1A7B-4FC4-AF13-2236F2939BAD}"/>
                </c:ext>
              </c:extLst>
            </c:dLbl>
            <c:dLbl>
              <c:idx val="8"/>
              <c:layout>
                <c:manualLayout>
                  <c:x val="-6.1111111111111109E-2"/>
                  <c:y val="0"/>
                </c:manualLayout>
              </c:layout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A-1A7B-4FC4-AF13-2236F2939BAD}"/>
                </c:ext>
              </c:extLst>
            </c:dLbl>
            <c:dLbl>
              <c:idx val="9"/>
              <c:layout>
                <c:manualLayout>
                  <c:x val="-1.4645671346957955E-3"/>
                  <c:y val="-4.1644997058617522E-3"/>
                </c:manualLayout>
              </c:layout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9-1A7B-4FC4-AF13-2236F2939BAD}"/>
                </c:ext>
              </c:extLst>
            </c:dLbl>
            <c:dLbl>
              <c:idx val="10"/>
              <c:layout>
                <c:manualLayout>
                  <c:x val="0.23476532552462909"/>
                  <c:y val="1.1040842920973534E-3"/>
                </c:manualLayout>
              </c:layout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1A7B-4FC4-AF13-2236F2939BAD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de-DE"/>
              </a:p>
            </c:txPr>
            <c:dLblPos val="outEnd"/>
            <c:showLegendKey val="0"/>
            <c:showVal val="0"/>
            <c:showCatName val="1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</c:ext>
            </c:extLst>
          </c:dLbls>
          <c:cat>
            <c:strRef>
              <c:f>Materialkosten!$B$59:$B$69</c:f>
              <c:strCache>
                <c:ptCount val="11"/>
                <c:pt idx="0">
                  <c:v>Aktivmaterial Kathode</c:v>
                </c:pt>
                <c:pt idx="1">
                  <c:v>Carbon black</c:v>
                </c:pt>
                <c:pt idx="2">
                  <c:v>Binder: PVDF</c:v>
                </c:pt>
                <c:pt idx="3">
                  <c:v>Aktivmaterial Anode</c:v>
                </c:pt>
                <c:pt idx="4">
                  <c:v>Binder: CMC</c:v>
                </c:pt>
                <c:pt idx="5">
                  <c:v>Anodefolie</c:v>
                </c:pt>
                <c:pt idx="6">
                  <c:v>Kathodenfolie</c:v>
                </c:pt>
                <c:pt idx="7">
                  <c:v>Electrolyt</c:v>
                </c:pt>
                <c:pt idx="8">
                  <c:v>Separator</c:v>
                </c:pt>
                <c:pt idx="9">
                  <c:v>Gehäuse</c:v>
                </c:pt>
                <c:pt idx="10">
                  <c:v>Lösungsmittel Kathode</c:v>
                </c:pt>
              </c:strCache>
            </c:strRef>
          </c:cat>
          <c:val>
            <c:numRef>
              <c:f>Materialkosten!$F$59:$F$69</c:f>
              <c:numCache>
                <c:formatCode>0.00</c:formatCode>
                <c:ptCount val="11"/>
                <c:pt idx="0">
                  <c:v>49.146077387452429</c:v>
                </c:pt>
                <c:pt idx="1">
                  <c:v>0.48717948717948717</c:v>
                </c:pt>
                <c:pt idx="2">
                  <c:v>1.5384615384615383</c:v>
                </c:pt>
                <c:pt idx="3">
                  <c:v>7.6923076923076916</c:v>
                </c:pt>
                <c:pt idx="4">
                  <c:v>0.51282051282051289</c:v>
                </c:pt>
                <c:pt idx="5">
                  <c:v>2.6432234432234436</c:v>
                </c:pt>
                <c:pt idx="6">
                  <c:v>0.79780219780219785</c:v>
                </c:pt>
                <c:pt idx="7">
                  <c:v>8.3223443223443212</c:v>
                </c:pt>
                <c:pt idx="8">
                  <c:v>4.688644688644688</c:v>
                </c:pt>
                <c:pt idx="9">
                  <c:v>2.8615384615384611</c:v>
                </c:pt>
                <c:pt idx="10">
                  <c:v>2.7197802197802203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A7B-4FC4-AF13-2236F2939BA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DE"/>
              <a:t>Gemittelte Massenanteile auf Zellniveau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1857-418F-97D3-67E3763DD7DC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1857-418F-97D3-67E3763DD7DC}"/>
              </c:ext>
            </c:extLst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5-1857-418F-97D3-67E3763DD7DC}"/>
              </c:ext>
            </c:extLst>
          </c:dPt>
          <c:dPt>
            <c:idx val="3"/>
            <c:bubble3D val="0"/>
            <c:spPr>
              <a:gradFill rotWithShape="1">
                <a:gsLst>
                  <a:gs pos="0">
                    <a:schemeClr val="accent4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7-1857-418F-97D3-67E3763DD7DC}"/>
              </c:ext>
            </c:extLst>
          </c:dPt>
          <c:dPt>
            <c:idx val="4"/>
            <c:bubble3D val="0"/>
            <c:spPr>
              <a:gradFill rotWithShape="1">
                <a:gsLst>
                  <a:gs pos="0">
                    <a:schemeClr val="accent5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9-1857-418F-97D3-67E3763DD7DC}"/>
              </c:ext>
            </c:extLst>
          </c:dPt>
          <c:dPt>
            <c:idx val="5"/>
            <c:bubble3D val="0"/>
            <c:spPr>
              <a:gradFill rotWithShape="1">
                <a:gsLst>
                  <a:gs pos="0">
                    <a:schemeClr val="accent6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6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6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B-1857-418F-97D3-67E3763DD7DC}"/>
              </c:ext>
            </c:extLst>
          </c:dPt>
          <c:dPt>
            <c:idx val="6"/>
            <c:bubble3D val="0"/>
            <c:spPr>
              <a:gradFill rotWithShape="1">
                <a:gsLst>
                  <a:gs pos="0">
                    <a:schemeClr val="accent1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D-1857-418F-97D3-67E3763DD7DC}"/>
              </c:ext>
            </c:extLst>
          </c:dPt>
          <c:dPt>
            <c:idx val="7"/>
            <c:bubble3D val="0"/>
            <c:spPr>
              <a:gradFill rotWithShape="1">
                <a:gsLst>
                  <a:gs pos="0">
                    <a:schemeClr val="accent2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F-1857-418F-97D3-67E3763DD7DC}"/>
              </c:ext>
            </c:extLst>
          </c:dPt>
          <c:dPt>
            <c:idx val="8"/>
            <c:bubble3D val="0"/>
            <c:spPr>
              <a:gradFill rotWithShape="1">
                <a:gsLst>
                  <a:gs pos="0">
                    <a:schemeClr val="accent3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1-1857-418F-97D3-67E3763DD7DC}"/>
              </c:ext>
            </c:extLst>
          </c:dPt>
          <c:dPt>
            <c:idx val="9"/>
            <c:bubble3D val="0"/>
            <c:spPr>
              <a:gradFill rotWithShape="1">
                <a:gsLst>
                  <a:gs pos="0">
                    <a:schemeClr val="accent4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3-1857-418F-97D3-67E3763DD7DC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de-DE"/>
              </a:p>
            </c:txPr>
            <c:showLegendKey val="0"/>
            <c:showVal val="0"/>
            <c:showCatName val="1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Materialkosten!$B$59:$B$68</c:f>
              <c:strCache>
                <c:ptCount val="10"/>
                <c:pt idx="0">
                  <c:v>Aktivmaterial Kathode</c:v>
                </c:pt>
                <c:pt idx="1">
                  <c:v>Carbon black</c:v>
                </c:pt>
                <c:pt idx="2">
                  <c:v>Binder: PVDF</c:v>
                </c:pt>
                <c:pt idx="3">
                  <c:v>Aktivmaterial Anode</c:v>
                </c:pt>
                <c:pt idx="4">
                  <c:v>Binder: CMC</c:v>
                </c:pt>
                <c:pt idx="5">
                  <c:v>Anodefolie</c:v>
                </c:pt>
                <c:pt idx="6">
                  <c:v>Kathodenfolie</c:v>
                </c:pt>
                <c:pt idx="7">
                  <c:v>Electrolyt</c:v>
                </c:pt>
                <c:pt idx="8">
                  <c:v>Separator</c:v>
                </c:pt>
                <c:pt idx="9">
                  <c:v>Gehäuse</c:v>
                </c:pt>
              </c:strCache>
            </c:strRef>
          </c:cat>
          <c:val>
            <c:numRef>
              <c:f>Materialkosten!$C$59:$C$68</c:f>
              <c:numCache>
                <c:formatCode>0.0%</c:formatCode>
                <c:ptCount val="10"/>
                <c:pt idx="0">
                  <c:v>0.33</c:v>
                </c:pt>
                <c:pt idx="1">
                  <c:v>1.9E-2</c:v>
                </c:pt>
                <c:pt idx="2">
                  <c:v>2.8000000000000001E-2</c:v>
                </c:pt>
                <c:pt idx="3">
                  <c:v>0.21</c:v>
                </c:pt>
                <c:pt idx="4">
                  <c:v>1.4E-2</c:v>
                </c:pt>
                <c:pt idx="5">
                  <c:v>8.2000000000000003E-2</c:v>
                </c:pt>
                <c:pt idx="6">
                  <c:v>6.6000000000000003E-2</c:v>
                </c:pt>
                <c:pt idx="7">
                  <c:v>0.14199999999999999</c:v>
                </c:pt>
                <c:pt idx="8">
                  <c:v>1.6E-2</c:v>
                </c:pt>
                <c:pt idx="9">
                  <c:v>9.2999999999999999E-2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543-4D2C-BB9A-DB66A75CE832}"/>
            </c:ext>
          </c:extLst>
        </c:ser>
        <c:dLbls>
          <c:showLegendKey val="0"/>
          <c:showVal val="0"/>
          <c:showCatName val="1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21381253312675827"/>
          <c:y val="0.10559067032985306"/>
          <c:w val="0.72460417770891938"/>
          <c:h val="0.68215268244645177"/>
        </c:manualLayout>
      </c:layout>
      <c:lineChart>
        <c:grouping val="standard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Antriebseinheit!$B$21:$B$27</c:f>
              <c:numCache>
                <c:formatCode>General</c:formatCode>
                <c:ptCount val="7"/>
                <c:pt idx="0">
                  <c:v>0</c:v>
                </c:pt>
                <c:pt idx="1">
                  <c:v>50</c:v>
                </c:pt>
                <c:pt idx="2">
                  <c:v>100</c:v>
                </c:pt>
                <c:pt idx="3">
                  <c:v>150</c:v>
                </c:pt>
                <c:pt idx="4">
                  <c:v>200</c:v>
                </c:pt>
                <c:pt idx="5">
                  <c:v>250</c:v>
                </c:pt>
                <c:pt idx="6">
                  <c:v>300</c:v>
                </c:pt>
              </c:numCache>
            </c:numRef>
          </c:cat>
          <c:val>
            <c:numRef>
              <c:f>Antriebseinheit!$C$21:$C$27</c:f>
              <c:numCache>
                <c:formatCode>"€"#,##0_);[Red]\("€"#,##0\)</c:formatCode>
                <c:ptCount val="7"/>
                <c:pt idx="0">
                  <c:v>96</c:v>
                </c:pt>
                <c:pt idx="1">
                  <c:v>351</c:v>
                </c:pt>
                <c:pt idx="2">
                  <c:v>606</c:v>
                </c:pt>
                <c:pt idx="3">
                  <c:v>861</c:v>
                </c:pt>
                <c:pt idx="4">
                  <c:v>1116</c:v>
                </c:pt>
                <c:pt idx="5">
                  <c:v>1371</c:v>
                </c:pt>
                <c:pt idx="6">
                  <c:v>1626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280D-4871-81B6-755BF02C05E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0965520"/>
        <c:axId val="100963856"/>
      </c:lineChart>
      <c:catAx>
        <c:axId val="10096552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Leistung (kW)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00963856"/>
        <c:crosses val="autoZero"/>
        <c:auto val="1"/>
        <c:lblAlgn val="ctr"/>
        <c:lblOffset val="100"/>
        <c:tickLblSkip val="1"/>
        <c:tickMarkSkip val="5"/>
        <c:noMultiLvlLbl val="0"/>
      </c:catAx>
      <c:valAx>
        <c:axId val="1009638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/>
                  <a:t>Kosten (€)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#,##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00965520"/>
        <c:crossesAt val="0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8070752917679228"/>
          <c:y val="8.0246704011769365E-2"/>
          <c:w val="0.77561074332638247"/>
          <c:h val="0.68367790339708046"/>
        </c:manualLayout>
      </c:layout>
      <c:lineChart>
        <c:grouping val="standard"/>
        <c:varyColors val="0"/>
        <c:ser>
          <c:idx val="0"/>
          <c:order val="0"/>
          <c:tx>
            <c:v>ASM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Antriebseinheit!$B$32:$B$38</c:f>
              <c:numCache>
                <c:formatCode>General</c:formatCode>
                <c:ptCount val="7"/>
                <c:pt idx="0">
                  <c:v>0</c:v>
                </c:pt>
                <c:pt idx="1">
                  <c:v>50</c:v>
                </c:pt>
                <c:pt idx="2">
                  <c:v>100</c:v>
                </c:pt>
                <c:pt idx="3">
                  <c:v>150</c:v>
                </c:pt>
                <c:pt idx="4">
                  <c:v>200</c:v>
                </c:pt>
                <c:pt idx="5">
                  <c:v>250</c:v>
                </c:pt>
                <c:pt idx="6">
                  <c:v>300</c:v>
                </c:pt>
              </c:numCache>
            </c:numRef>
          </c:cat>
          <c:val>
            <c:numRef>
              <c:f>Antriebseinheit!$C$32:$C$38</c:f>
              <c:numCache>
                <c:formatCode>_("€"* #,##0.00_);_("€"* \(#,##0.00\);_("€"* "-"??_);_(@_)</c:formatCode>
                <c:ptCount val="7"/>
                <c:pt idx="0">
                  <c:v>414</c:v>
                </c:pt>
                <c:pt idx="1">
                  <c:v>654</c:v>
                </c:pt>
                <c:pt idx="2">
                  <c:v>894</c:v>
                </c:pt>
                <c:pt idx="3">
                  <c:v>1134</c:v>
                </c:pt>
                <c:pt idx="4">
                  <c:v>1374</c:v>
                </c:pt>
                <c:pt idx="5">
                  <c:v>1614</c:v>
                </c:pt>
                <c:pt idx="6">
                  <c:v>1854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B0A-4BFD-ACC2-4464E1735F3E}"/>
            </c:ext>
          </c:extLst>
        </c:ser>
        <c:ser>
          <c:idx val="1"/>
          <c:order val="1"/>
          <c:tx>
            <c:v>PSM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Antriebseinheit!$B$32:$B$38</c:f>
              <c:numCache>
                <c:formatCode>General</c:formatCode>
                <c:ptCount val="7"/>
                <c:pt idx="0">
                  <c:v>0</c:v>
                </c:pt>
                <c:pt idx="1">
                  <c:v>50</c:v>
                </c:pt>
                <c:pt idx="2">
                  <c:v>100</c:v>
                </c:pt>
                <c:pt idx="3">
                  <c:v>150</c:v>
                </c:pt>
                <c:pt idx="4">
                  <c:v>200</c:v>
                </c:pt>
                <c:pt idx="5">
                  <c:v>250</c:v>
                </c:pt>
                <c:pt idx="6">
                  <c:v>300</c:v>
                </c:pt>
              </c:numCache>
            </c:numRef>
          </c:cat>
          <c:val>
            <c:numRef>
              <c:f>Antriebseinheit!$D$32:$D$38</c:f>
              <c:numCache>
                <c:formatCode>_("€"* #,##0.00_);_("€"* \(#,##0.00\);_("€"* "-"??_);_(@_)</c:formatCode>
                <c:ptCount val="7"/>
                <c:pt idx="0">
                  <c:v>414</c:v>
                </c:pt>
                <c:pt idx="1">
                  <c:v>679</c:v>
                </c:pt>
                <c:pt idx="2">
                  <c:v>944</c:v>
                </c:pt>
                <c:pt idx="3">
                  <c:v>1209</c:v>
                </c:pt>
                <c:pt idx="4">
                  <c:v>1474</c:v>
                </c:pt>
                <c:pt idx="5">
                  <c:v>1739</c:v>
                </c:pt>
                <c:pt idx="6">
                  <c:v>2004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CB0A-4BFD-ACC2-4464E1735F3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711839568"/>
        <c:axId val="1711839984"/>
      </c:lineChart>
      <c:catAx>
        <c:axId val="171183956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/>
                  <a:t>Leistung (kW)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711839984"/>
        <c:crosses val="autoZero"/>
        <c:auto val="0"/>
        <c:lblAlgn val="ctr"/>
        <c:lblOffset val="100"/>
        <c:noMultiLvlLbl val="0"/>
      </c:catAx>
      <c:valAx>
        <c:axId val="1711839984"/>
        <c:scaling>
          <c:orientation val="minMax"/>
          <c:max val="21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/>
                  <a:t>Kosten (€)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#,##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711839568"/>
        <c:crossesAt val="0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5006622591502974"/>
          <c:y val="0.10552107425963607"/>
          <c:w val="0.80062495674531509"/>
          <c:h val="0.69230439572020863"/>
        </c:manualLayout>
      </c:layout>
      <c:lineChart>
        <c:grouping val="standard"/>
        <c:varyColors val="0"/>
        <c:ser>
          <c:idx val="0"/>
          <c:order val="0"/>
          <c:tx>
            <c:v>Kosten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Antriebseinheit!$B$44:$B$50</c:f>
              <c:numCache>
                <c:formatCode>General</c:formatCode>
                <c:ptCount val="7"/>
                <c:pt idx="0">
                  <c:v>0</c:v>
                </c:pt>
                <c:pt idx="1">
                  <c:v>50</c:v>
                </c:pt>
                <c:pt idx="2">
                  <c:v>100</c:v>
                </c:pt>
                <c:pt idx="3">
                  <c:v>150</c:v>
                </c:pt>
                <c:pt idx="4">
                  <c:v>200</c:v>
                </c:pt>
                <c:pt idx="5">
                  <c:v>250</c:v>
                </c:pt>
                <c:pt idx="6">
                  <c:v>300</c:v>
                </c:pt>
              </c:numCache>
            </c:numRef>
          </c:cat>
          <c:val>
            <c:numRef>
              <c:f>Antriebseinheit!$C$44:$C$50</c:f>
              <c:numCache>
                <c:formatCode>0</c:formatCode>
                <c:ptCount val="7"/>
                <c:pt idx="0">
                  <c:v>510</c:v>
                </c:pt>
                <c:pt idx="1">
                  <c:v>685</c:v>
                </c:pt>
                <c:pt idx="2">
                  <c:v>860</c:v>
                </c:pt>
                <c:pt idx="3">
                  <c:v>1035</c:v>
                </c:pt>
                <c:pt idx="4">
                  <c:v>1210</c:v>
                </c:pt>
                <c:pt idx="5">
                  <c:v>1385</c:v>
                </c:pt>
                <c:pt idx="6">
                  <c:v>1560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711-4F55-AB2E-0DD311EC99A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44392096"/>
        <c:axId val="769125440"/>
      </c:lineChart>
      <c:catAx>
        <c:axId val="74439209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/>
                  <a:t>Leistung (kW)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769125440"/>
        <c:crosses val="autoZero"/>
        <c:auto val="1"/>
        <c:lblAlgn val="ctr"/>
        <c:lblOffset val="100"/>
        <c:noMultiLvlLbl val="0"/>
      </c:catAx>
      <c:valAx>
        <c:axId val="7691254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/>
                  <a:t>Kosten (€)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74439209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6064238234079306"/>
          <c:y val="7.7916674335630681E-2"/>
          <c:w val="0.7817340579430011"/>
          <c:h val="0.7208932139986759"/>
        </c:manualLayout>
      </c:layout>
      <c:lineChart>
        <c:grouping val="standard"/>
        <c:varyColors val="0"/>
        <c:ser>
          <c:idx val="0"/>
          <c:order val="0"/>
          <c:tx>
            <c:v>Kosten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Antriebseinheit!$B$54:$B$60</c:f>
              <c:numCache>
                <c:formatCode>General</c:formatCode>
                <c:ptCount val="7"/>
                <c:pt idx="0">
                  <c:v>0</c:v>
                </c:pt>
                <c:pt idx="1">
                  <c:v>50</c:v>
                </c:pt>
                <c:pt idx="2">
                  <c:v>100</c:v>
                </c:pt>
                <c:pt idx="3">
                  <c:v>150</c:v>
                </c:pt>
                <c:pt idx="4">
                  <c:v>200</c:v>
                </c:pt>
                <c:pt idx="5">
                  <c:v>250</c:v>
                </c:pt>
                <c:pt idx="6">
                  <c:v>300</c:v>
                </c:pt>
              </c:numCache>
            </c:numRef>
          </c:cat>
          <c:val>
            <c:numRef>
              <c:f>Antriebseinheit!$C$54:$C$60</c:f>
              <c:numCache>
                <c:formatCode>0</c:formatCode>
                <c:ptCount val="7"/>
                <c:pt idx="0">
                  <c:v>200</c:v>
                </c:pt>
                <c:pt idx="1">
                  <c:v>250</c:v>
                </c:pt>
                <c:pt idx="2">
                  <c:v>300</c:v>
                </c:pt>
                <c:pt idx="3">
                  <c:v>350</c:v>
                </c:pt>
                <c:pt idx="4">
                  <c:v>400</c:v>
                </c:pt>
                <c:pt idx="5">
                  <c:v>450</c:v>
                </c:pt>
                <c:pt idx="6">
                  <c:v>500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C0A-4B4E-9126-41558E154B1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65937472"/>
        <c:axId val="665940800"/>
      </c:lineChart>
      <c:catAx>
        <c:axId val="66593747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/>
                  <a:t>Leistung (kW)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665940800"/>
        <c:crosses val="autoZero"/>
        <c:auto val="1"/>
        <c:lblAlgn val="ctr"/>
        <c:lblOffset val="100"/>
        <c:noMultiLvlLbl val="0"/>
      </c:catAx>
      <c:valAx>
        <c:axId val="6659408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/>
                  <a:t>Kosten (€)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66593747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pieChart>
        <c:varyColors val="1"/>
        <c:ser>
          <c:idx val="0"/>
          <c:order val="0"/>
          <c:tx>
            <c:v>Kosten</c:v>
          </c:tx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19AB-4052-9656-0B91A20DF876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19AB-4052-9656-0B91A20DF876}"/>
              </c:ext>
            </c:extLst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5-19AB-4052-9656-0B91A20DF876}"/>
              </c:ext>
            </c:extLst>
          </c:dPt>
          <c:dPt>
            <c:idx val="3"/>
            <c:bubble3D val="0"/>
            <c:spPr>
              <a:gradFill rotWithShape="1">
                <a:gsLst>
                  <a:gs pos="0">
                    <a:schemeClr val="accent4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7-19AB-4052-9656-0B91A20DF876}"/>
              </c:ext>
            </c:extLst>
          </c:dPt>
          <c:dPt>
            <c:idx val="4"/>
            <c:bubble3D val="0"/>
            <c:spPr>
              <a:gradFill rotWithShape="1">
                <a:gsLst>
                  <a:gs pos="0">
                    <a:schemeClr val="accent5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9-19AB-4052-9656-0B91A20DF876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de-DE"/>
              </a:p>
            </c:txPr>
            <c:dLblPos val="bestFit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Antriebseinheit!$H$14:$L$14</c:f>
              <c:strCache>
                <c:ptCount val="5"/>
                <c:pt idx="0">
                  <c:v>Inverter</c:v>
                </c:pt>
                <c:pt idx="1">
                  <c:v>Motor(en)</c:v>
                </c:pt>
                <c:pt idx="2">
                  <c:v>Getriebe</c:v>
                </c:pt>
                <c:pt idx="3">
                  <c:v>Differential(e)</c:v>
                </c:pt>
                <c:pt idx="4">
                  <c:v>Antriebswelle(n)</c:v>
                </c:pt>
              </c:strCache>
            </c:strRef>
          </c:cat>
          <c:val>
            <c:numRef>
              <c:f>Antriebseinheit!$H$15:$L$15</c:f>
              <c:numCache>
                <c:formatCode>_("€"* #,##0.00_);_("€"* \(#,##0.00\);_("€"* "-"??_);_(@_)</c:formatCode>
                <c:ptCount val="5"/>
                <c:pt idx="0">
                  <c:v>1333.2</c:v>
                </c:pt>
                <c:pt idx="1">
                  <c:v>2076.8000000000002</c:v>
                </c:pt>
                <c:pt idx="2">
                  <c:v>1892.0000000000002</c:v>
                </c:pt>
                <c:pt idx="3">
                  <c:v>0</c:v>
                </c:pt>
                <c:pt idx="4">
                  <c:v>66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8A7-47A3-B261-B78CE03CAE6B}"/>
            </c:ext>
          </c:extLst>
        </c:ser>
        <c:dLbls>
          <c:dLblPos val="bestFit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44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344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344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344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344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6.xml><?xml version="1.0" encoding="utf-8"?>
<cs:chartStyle xmlns:cs="http://schemas.microsoft.com/office/drawing/2012/chartStyle" xmlns:a="http://schemas.openxmlformats.org/drawingml/2006/main" id="344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7.xml><?xml version="1.0" encoding="utf-8"?>
<cs:chartStyle xmlns:cs="http://schemas.microsoft.com/office/drawing/2012/chartStyle" xmlns:a="http://schemas.openxmlformats.org/drawingml/2006/main" id="344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8.xml><?xml version="1.0" encoding="utf-8"?>
<cs:chartStyle xmlns:cs="http://schemas.microsoft.com/office/drawing/2012/chartStyle" xmlns:a="http://schemas.openxmlformats.org/drawingml/2006/main" id="344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9.xml><?xml version="1.0" encoding="utf-8"?>
<cs:chartStyle xmlns:cs="http://schemas.microsoft.com/office/drawing/2012/chartStyle" xmlns:a="http://schemas.openxmlformats.org/drawingml/2006/main" id="344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10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344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15.xml><?xml version="1.0" encoding="utf-8"?>
<cs:chartStyle xmlns:cs="http://schemas.microsoft.com/office/drawing/2012/chartStyle" xmlns:a="http://schemas.openxmlformats.org/drawingml/2006/main" id="344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16.xml><?xml version="1.0" encoding="utf-8"?>
<cs:chartStyle xmlns:cs="http://schemas.microsoft.com/office/drawing/2012/chartStyle" xmlns:a="http://schemas.openxmlformats.org/drawingml/2006/main" id="34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17.xml><?xml version="1.0" encoding="utf-8"?>
<cs:chartStyle xmlns:cs="http://schemas.microsoft.com/office/drawing/2012/chartStyle" xmlns:a="http://schemas.openxmlformats.org/drawingml/2006/main" id="34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18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9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0.xml><?xml version="1.0" encoding="utf-8"?>
<cs:chartStyle xmlns:cs="http://schemas.microsoft.com/office/drawing/2012/chartStyle" xmlns:a="http://schemas.openxmlformats.org/drawingml/2006/main" id="344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trlProps/ctrlProp1.xml><?xml version="1.0" encoding="utf-8"?>
<formControlPr xmlns="http://schemas.microsoft.com/office/spreadsheetml/2009/9/main" objectType="Scroll" dx="39" fmlaLink="$C$12" horiz="1" max="735" page="10" val="200"/>
</file>

<file path=xl/ctrlProps/ctrlProp2.xml><?xml version="1.0" encoding="utf-8"?>
<formControlPr xmlns="http://schemas.microsoft.com/office/spreadsheetml/2009/9/main" objectType="Scroll" dx="39" fmlaLink="$C$15" horiz="1" max="150" min="10" page="10" val="70"/>
</file>

<file path=xl/ctrlProps/ctrlProp3.xml><?xml version="1.0" encoding="utf-8"?>
<formControlPr xmlns="http://schemas.microsoft.com/office/spreadsheetml/2009/9/main" objectType="Scroll" dx="39" fmlaLink="$C$19" horiz="1" max="300" page="10" val="300"/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8.xml"/><Relationship Id="rId2" Type="http://schemas.openxmlformats.org/officeDocument/2006/relationships/chart" Target="../charts/chart7.xml"/><Relationship Id="rId1" Type="http://schemas.openxmlformats.org/officeDocument/2006/relationships/chart" Target="../charts/chart6.xml"/><Relationship Id="rId4" Type="http://schemas.openxmlformats.org/officeDocument/2006/relationships/chart" Target="../charts/chart9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1.xml"/><Relationship Id="rId1" Type="http://schemas.openxmlformats.org/officeDocument/2006/relationships/chart" Target="../charts/chart10.xml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4.xml"/><Relationship Id="rId2" Type="http://schemas.openxmlformats.org/officeDocument/2006/relationships/chart" Target="../charts/chart13.xml"/><Relationship Id="rId1" Type="http://schemas.openxmlformats.org/officeDocument/2006/relationships/chart" Target="../charts/chart12.xml"/><Relationship Id="rId5" Type="http://schemas.openxmlformats.org/officeDocument/2006/relationships/image" Target="../media/image1.png"/><Relationship Id="rId4" Type="http://schemas.openxmlformats.org/officeDocument/2006/relationships/chart" Target="../charts/chart15.xml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8.xml"/><Relationship Id="rId2" Type="http://schemas.openxmlformats.org/officeDocument/2006/relationships/chart" Target="../charts/chart17.xml"/><Relationship Id="rId1" Type="http://schemas.openxmlformats.org/officeDocument/2006/relationships/chart" Target="../charts/chart16.xml"/><Relationship Id="rId5" Type="http://schemas.openxmlformats.org/officeDocument/2006/relationships/chart" Target="../charts/chart20.xml"/><Relationship Id="rId4" Type="http://schemas.openxmlformats.org/officeDocument/2006/relationships/chart" Target="../charts/chart19.xml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9525</xdr:colOff>
          <xdr:row>11</xdr:row>
          <xdr:rowOff>9525</xdr:rowOff>
        </xdr:from>
        <xdr:to>
          <xdr:col>4</xdr:col>
          <xdr:colOff>561</xdr:colOff>
          <xdr:row>11</xdr:row>
          <xdr:rowOff>219075</xdr:rowOff>
        </xdr:to>
        <xdr:sp macro="" textlink="">
          <xdr:nvSpPr>
            <xdr:cNvPr id="5122" name="Scroll Bar 2" hidden="1">
              <a:extLst>
                <a:ext uri="{63B3BB69-23CF-44E3-9099-C40C66FF867C}">
                  <a14:compatExt spid="_x0000_s5122"/>
                </a:ext>
                <a:ext uri="{FF2B5EF4-FFF2-40B4-BE49-F238E27FC236}">
                  <a16:creationId xmlns:a16="http://schemas.microsoft.com/office/drawing/2014/main" id="{00000000-0008-0000-0000-000002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</xdr:colOff>
          <xdr:row>14</xdr:row>
          <xdr:rowOff>9525</xdr:rowOff>
        </xdr:from>
        <xdr:to>
          <xdr:col>4</xdr:col>
          <xdr:colOff>561</xdr:colOff>
          <xdr:row>14</xdr:row>
          <xdr:rowOff>209550</xdr:rowOff>
        </xdr:to>
        <xdr:sp macro="" textlink="">
          <xdr:nvSpPr>
            <xdr:cNvPr id="5123" name="Scroll Bar 3" hidden="1">
              <a:extLst>
                <a:ext uri="{63B3BB69-23CF-44E3-9099-C40C66FF867C}">
                  <a14:compatExt spid="_x0000_s5123"/>
                </a:ext>
                <a:ext uri="{FF2B5EF4-FFF2-40B4-BE49-F238E27FC236}">
                  <a16:creationId xmlns:a16="http://schemas.microsoft.com/office/drawing/2014/main" id="{00000000-0008-0000-0000-000003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9525</xdr:colOff>
          <xdr:row>18</xdr:row>
          <xdr:rowOff>9525</xdr:rowOff>
        </xdr:from>
        <xdr:to>
          <xdr:col>4</xdr:col>
          <xdr:colOff>561</xdr:colOff>
          <xdr:row>19</xdr:row>
          <xdr:rowOff>0</xdr:rowOff>
        </xdr:to>
        <xdr:sp macro="" textlink="">
          <xdr:nvSpPr>
            <xdr:cNvPr id="5126" name="Scroll Bar 6" hidden="1">
              <a:extLst>
                <a:ext uri="{63B3BB69-23CF-44E3-9099-C40C66FF867C}">
                  <a14:compatExt spid="_x0000_s5126"/>
                </a:ext>
                <a:ext uri="{FF2B5EF4-FFF2-40B4-BE49-F238E27FC236}">
                  <a16:creationId xmlns:a16="http://schemas.microsoft.com/office/drawing/2014/main" id="{00000000-0008-0000-0000-000006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>
    <xdr:from>
      <xdr:col>0</xdr:col>
      <xdr:colOff>815647</xdr:colOff>
      <xdr:row>31</xdr:row>
      <xdr:rowOff>5473</xdr:rowOff>
    </xdr:from>
    <xdr:to>
      <xdr:col>9</xdr:col>
      <xdr:colOff>1013113</xdr:colOff>
      <xdr:row>57</xdr:row>
      <xdr:rowOff>16422</xdr:rowOff>
    </xdr:to>
    <xdr:graphicFrame macro="">
      <xdr:nvGraphicFramePr>
        <xdr:cNvPr id="2" name="Diagramm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798676</xdr:colOff>
      <xdr:row>60</xdr:row>
      <xdr:rowOff>147803</xdr:rowOff>
    </xdr:from>
    <xdr:to>
      <xdr:col>4</xdr:col>
      <xdr:colOff>70470</xdr:colOff>
      <xdr:row>80</xdr:row>
      <xdr:rowOff>161921</xdr:rowOff>
    </xdr:to>
    <xdr:graphicFrame macro="">
      <xdr:nvGraphicFramePr>
        <xdr:cNvPr id="4" name="Diagramm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4</xdr:col>
      <xdr:colOff>651420</xdr:colOff>
      <xdr:row>60</xdr:row>
      <xdr:rowOff>147803</xdr:rowOff>
    </xdr:from>
    <xdr:to>
      <xdr:col>9</xdr:col>
      <xdr:colOff>1060611</xdr:colOff>
      <xdr:row>80</xdr:row>
      <xdr:rowOff>161921</xdr:rowOff>
    </xdr:to>
    <xdr:graphicFrame macro="">
      <xdr:nvGraphicFramePr>
        <xdr:cNvPr id="5" name="Diagramm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4</xdr:col>
      <xdr:colOff>651420</xdr:colOff>
      <xdr:row>82</xdr:row>
      <xdr:rowOff>153274</xdr:rowOff>
    </xdr:from>
    <xdr:to>
      <xdr:col>9</xdr:col>
      <xdr:colOff>1060611</xdr:colOff>
      <xdr:row>102</xdr:row>
      <xdr:rowOff>167391</xdr:rowOff>
    </xdr:to>
    <xdr:graphicFrame macro="">
      <xdr:nvGraphicFramePr>
        <xdr:cNvPr id="6" name="Diagramm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0</xdr:col>
      <xdr:colOff>798676</xdr:colOff>
      <xdr:row>82</xdr:row>
      <xdr:rowOff>153274</xdr:rowOff>
    </xdr:from>
    <xdr:to>
      <xdr:col>4</xdr:col>
      <xdr:colOff>70470</xdr:colOff>
      <xdr:row>102</xdr:row>
      <xdr:rowOff>167391</xdr:rowOff>
    </xdr:to>
    <xdr:graphicFrame macro="">
      <xdr:nvGraphicFramePr>
        <xdr:cNvPr id="7" name="Diagramm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481505</xdr:colOff>
      <xdr:row>3</xdr:row>
      <xdr:rowOff>16956</xdr:rowOff>
    </xdr:from>
    <xdr:to>
      <xdr:col>12</xdr:col>
      <xdr:colOff>319366</xdr:colOff>
      <xdr:row>17</xdr:row>
      <xdr:rowOff>2248</xdr:rowOff>
    </xdr:to>
    <xdr:graphicFrame macro="">
      <xdr:nvGraphicFramePr>
        <xdr:cNvPr id="4" name="Diagramm 3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524930</xdr:colOff>
      <xdr:row>20</xdr:row>
      <xdr:rowOff>43544</xdr:rowOff>
    </xdr:from>
    <xdr:to>
      <xdr:col>12</xdr:col>
      <xdr:colOff>299266</xdr:colOff>
      <xdr:row>35</xdr:row>
      <xdr:rowOff>34598</xdr:rowOff>
    </xdr:to>
    <xdr:graphicFrame macro="">
      <xdr:nvGraphicFramePr>
        <xdr:cNvPr id="5" name="Diagramm 4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6</xdr:col>
      <xdr:colOff>165285</xdr:colOff>
      <xdr:row>53</xdr:row>
      <xdr:rowOff>12327</xdr:rowOff>
    </xdr:from>
    <xdr:to>
      <xdr:col>12</xdr:col>
      <xdr:colOff>5602</xdr:colOff>
      <xdr:row>65</xdr:row>
      <xdr:rowOff>0</xdr:rowOff>
    </xdr:to>
    <xdr:graphicFrame macro="">
      <xdr:nvGraphicFramePr>
        <xdr:cNvPr id="2" name="Diagramm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6</xdr:col>
      <xdr:colOff>160736</xdr:colOff>
      <xdr:row>42</xdr:row>
      <xdr:rowOff>1120</xdr:rowOff>
    </xdr:from>
    <xdr:to>
      <xdr:col>12</xdr:col>
      <xdr:colOff>1</xdr:colOff>
      <xdr:row>49</xdr:row>
      <xdr:rowOff>196103</xdr:rowOff>
    </xdr:to>
    <xdr:graphicFrame macro="">
      <xdr:nvGraphicFramePr>
        <xdr:cNvPr id="6" name="Diagramm 5">
          <a:extLst>
            <a:ext uri="{FF2B5EF4-FFF2-40B4-BE49-F238E27FC236}">
              <a16:creationId xmlns:a16="http://schemas.microsoft.com/office/drawing/2014/main" id="{00000000-0008-0000-0100-000006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1473573</xdr:colOff>
      <xdr:row>90</xdr:row>
      <xdr:rowOff>5602</xdr:rowOff>
    </xdr:from>
    <xdr:to>
      <xdr:col>3</xdr:col>
      <xdr:colOff>22411</xdr:colOff>
      <xdr:row>91</xdr:row>
      <xdr:rowOff>246529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" name="Rechteck 5">
              <a:extLst>
                <a:ext uri="{FF2B5EF4-FFF2-40B4-BE49-F238E27FC236}">
                  <a16:creationId xmlns:a16="http://schemas.microsoft.com/office/drawing/2014/main" id="{00000000-0008-0000-0200-000006000000}"/>
                </a:ext>
              </a:extLst>
            </xdr:cNvPr>
            <xdr:cNvSpPr/>
          </xdr:nvSpPr>
          <xdr:spPr>
            <a:xfrm>
              <a:off x="2235573" y="17582029"/>
              <a:ext cx="1613647" cy="487456"/>
            </a:xfrm>
            <a:prstGeom prst="rect">
              <a:avLst/>
            </a:prstGeom>
            <a:noFill/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l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de-DE" sz="1100" b="0" i="1">
                        <a:latin typeface="Cambria Math" panose="02040503050406030204" pitchFamily="18" charset="0"/>
                      </a:rPr>
                      <m:t>𝐶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=</m:t>
                    </m:r>
                    <m:sSub>
                      <m:sSubPr>
                        <m:ctrlPr>
                          <a:rPr lang="de-DE" sz="11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𝐶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0</m:t>
                        </m:r>
                      </m:sub>
                    </m:sSub>
                    <m:r>
                      <a:rPr lang="de-DE" sz="1100" b="0" i="1">
                        <a:latin typeface="Cambria Math" panose="02040503050406030204" pitchFamily="18" charset="0"/>
                      </a:rPr>
                      <m:t> </m:t>
                    </m:r>
                    <m:sSup>
                      <m:sSupPr>
                        <m:ctrlPr>
                          <a:rPr lang="de-DE" sz="1100" b="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d>
                          <m:dPr>
                            <m:ctrlPr>
                              <a:rPr lang="de-DE" sz="1100" b="0" i="1">
                                <a:latin typeface="Cambria Math" panose="02040503050406030204" pitchFamily="18" charset="0"/>
                              </a:rPr>
                            </m:ctrlPr>
                          </m:dPr>
                          <m:e>
                            <m:f>
                              <m:fPr>
                                <m:ctrlPr>
                                  <a:rPr lang="de-DE" sz="1100" b="0" i="1">
                                    <a:latin typeface="Cambria Math" panose="02040503050406030204" pitchFamily="18" charset="0"/>
                                  </a:rPr>
                                </m:ctrlPr>
                              </m:fPr>
                              <m:num>
                                <m:r>
                                  <a:rPr lang="de-DE" sz="1100" b="0" i="1">
                                    <a:latin typeface="Cambria Math" panose="02040503050406030204" pitchFamily="18" charset="0"/>
                                  </a:rPr>
                                  <m:t>𝑝</m:t>
                                </m:r>
                              </m:num>
                              <m:den>
                                <m:sSub>
                                  <m:sSubPr>
                                    <m:ctrlPr>
                                      <a:rPr lang="de-DE" sz="1100" b="0" i="1">
                                        <a:latin typeface="Cambria Math" panose="02040503050406030204" pitchFamily="18" charset="0"/>
                                      </a:rPr>
                                    </m:ctrlPr>
                                  </m:sSubPr>
                                  <m:e>
                                    <m:r>
                                      <a:rPr lang="de-DE" sz="1100" b="0" i="1">
                                        <a:latin typeface="Cambria Math" panose="02040503050406030204" pitchFamily="18" charset="0"/>
                                      </a:rPr>
                                      <m:t>𝑝</m:t>
                                    </m:r>
                                  </m:e>
                                  <m:sub>
                                    <m:r>
                                      <a:rPr lang="de-DE" sz="1100" b="0" i="1">
                                        <a:latin typeface="Cambria Math" panose="02040503050406030204" pitchFamily="18" charset="0"/>
                                      </a:rPr>
                                      <m:t>0</m:t>
                                    </m:r>
                                  </m:sub>
                                </m:sSub>
                              </m:den>
                            </m:f>
                          </m:e>
                        </m:d>
                      </m:e>
                      <m:sup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𝑏</m:t>
                        </m:r>
                      </m:sup>
                    </m:sSup>
                  </m:oMath>
                </m:oMathPara>
              </a14:m>
              <a:endParaRPr lang="de-DE" sz="1100"/>
            </a:p>
          </xdr:txBody>
        </xdr:sp>
      </mc:Choice>
      <mc:Fallback xmlns="">
        <xdr:sp macro="" textlink="">
          <xdr:nvSpPr>
            <xdr:cNvPr id="6" name="Rechteck 5">
              <a:extLst>
                <a:ext uri="{FF2B5EF4-FFF2-40B4-BE49-F238E27FC236}">
                  <a16:creationId xmlns:a16="http://schemas.microsoft.com/office/drawing/2014/main" id="{D4C7FAEA-4A17-FF60-D484-5442060ED001}"/>
                </a:ext>
              </a:extLst>
            </xdr:cNvPr>
            <xdr:cNvSpPr/>
          </xdr:nvSpPr>
          <xdr:spPr>
            <a:xfrm>
              <a:off x="2235573" y="17582029"/>
              <a:ext cx="1613647" cy="487456"/>
            </a:xfrm>
            <a:prstGeom prst="rect">
              <a:avLst/>
            </a:prstGeom>
            <a:noFill/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l"/>
              <a:r>
                <a:rPr lang="de-DE" sz="1100" b="0" i="0">
                  <a:latin typeface="Cambria Math" panose="02040503050406030204" pitchFamily="18" charset="0"/>
                </a:rPr>
                <a:t>𝐶=𝐶_0  (𝑝/𝑝_0 )^𝑏</a:t>
              </a:r>
              <a:endParaRPr lang="de-DE" sz="1100"/>
            </a:p>
          </xdr:txBody>
        </xdr:sp>
      </mc:Fallback>
    </mc:AlternateContent>
    <xdr:clientData/>
  </xdr:twoCellAnchor>
  <xdr:twoCellAnchor>
    <xdr:from>
      <xdr:col>5</xdr:col>
      <xdr:colOff>479914</xdr:colOff>
      <xdr:row>11</xdr:row>
      <xdr:rowOff>9067</xdr:rowOff>
    </xdr:from>
    <xdr:to>
      <xdr:col>10</xdr:col>
      <xdr:colOff>42131</xdr:colOff>
      <xdr:row>25</xdr:row>
      <xdr:rowOff>68781</xdr:rowOff>
    </xdr:to>
    <xdr:graphicFrame macro="">
      <xdr:nvGraphicFramePr>
        <xdr:cNvPr id="4" name="Diagramm 3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454583</xdr:colOff>
      <xdr:row>46</xdr:row>
      <xdr:rowOff>176422</xdr:rowOff>
    </xdr:from>
    <xdr:to>
      <xdr:col>10</xdr:col>
      <xdr:colOff>338267</xdr:colOff>
      <xdr:row>61</xdr:row>
      <xdr:rowOff>175151</xdr:rowOff>
    </xdr:to>
    <xdr:graphicFrame macro="">
      <xdr:nvGraphicFramePr>
        <xdr:cNvPr id="5" name="Diagramm 4">
          <a:extLst>
            <a:ext uri="{FF2B5EF4-FFF2-40B4-BE49-F238E27FC236}">
              <a16:creationId xmlns:a16="http://schemas.microsoft.com/office/drawing/2014/main" id="{00000000-0008-0000-0200-000005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635430</xdr:colOff>
      <xdr:row>56</xdr:row>
      <xdr:rowOff>33095</xdr:rowOff>
    </xdr:from>
    <xdr:to>
      <xdr:col>21</xdr:col>
      <xdr:colOff>423661</xdr:colOff>
      <xdr:row>69</xdr:row>
      <xdr:rowOff>12370</xdr:rowOff>
    </xdr:to>
    <xdr:graphicFrame macro="">
      <xdr:nvGraphicFramePr>
        <xdr:cNvPr id="9" name="Diagramm 8">
          <a:extLst>
            <a:ext uri="{FF2B5EF4-FFF2-40B4-BE49-F238E27FC236}">
              <a16:creationId xmlns:a16="http://schemas.microsoft.com/office/drawing/2014/main" id="{00000000-0008-0000-0300-000009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616163</xdr:colOff>
      <xdr:row>15</xdr:row>
      <xdr:rowOff>9526</xdr:rowOff>
    </xdr:from>
    <xdr:to>
      <xdr:col>17</xdr:col>
      <xdr:colOff>187778</xdr:colOff>
      <xdr:row>29</xdr:row>
      <xdr:rowOff>43768</xdr:rowOff>
    </xdr:to>
    <xdr:graphicFrame macro="">
      <xdr:nvGraphicFramePr>
        <xdr:cNvPr id="10" name="Diagramm 9">
          <a:extLst>
            <a:ext uri="{FF2B5EF4-FFF2-40B4-BE49-F238E27FC236}">
              <a16:creationId xmlns:a16="http://schemas.microsoft.com/office/drawing/2014/main" id="{00000000-0008-0000-0300-00000A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6</xdr:col>
      <xdr:colOff>335386</xdr:colOff>
      <xdr:row>69</xdr:row>
      <xdr:rowOff>261603</xdr:rowOff>
    </xdr:from>
    <xdr:to>
      <xdr:col>12</xdr:col>
      <xdr:colOff>442711</xdr:colOff>
      <xdr:row>87</xdr:row>
      <xdr:rowOff>107325</xdr:rowOff>
    </xdr:to>
    <xdr:graphicFrame macro="">
      <xdr:nvGraphicFramePr>
        <xdr:cNvPr id="12" name="Diagramm 11" descr="rbbrbrbrb">
          <a:extLst>
            <a:ext uri="{FF2B5EF4-FFF2-40B4-BE49-F238E27FC236}">
              <a16:creationId xmlns:a16="http://schemas.microsoft.com/office/drawing/2014/main" id="{00000000-0008-0000-0300-00000C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6</xdr:col>
      <xdr:colOff>324010</xdr:colOff>
      <xdr:row>56</xdr:row>
      <xdr:rowOff>1099</xdr:rowOff>
    </xdr:from>
    <xdr:to>
      <xdr:col>12</xdr:col>
      <xdr:colOff>452537</xdr:colOff>
      <xdr:row>68</xdr:row>
      <xdr:rowOff>222147</xdr:rowOff>
    </xdr:to>
    <xdr:graphicFrame macro="">
      <xdr:nvGraphicFramePr>
        <xdr:cNvPr id="7" name="Diagramm 6">
          <a:extLst>
            <a:ext uri="{FF2B5EF4-FFF2-40B4-BE49-F238E27FC236}">
              <a16:creationId xmlns:a16="http://schemas.microsoft.com/office/drawing/2014/main" id="{00000000-0008-0000-0300-000007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14</xdr:col>
      <xdr:colOff>0</xdr:colOff>
      <xdr:row>158</xdr:row>
      <xdr:rowOff>0</xdr:rowOff>
    </xdr:from>
    <xdr:to>
      <xdr:col>24</xdr:col>
      <xdr:colOff>283083</xdr:colOff>
      <xdr:row>203</xdr:row>
      <xdr:rowOff>67256</xdr:rowOff>
    </xdr:to>
    <xdr:grpSp>
      <xdr:nvGrpSpPr>
        <xdr:cNvPr id="25" name="Gruppieren 24">
          <a:extLst>
            <a:ext uri="{FF2B5EF4-FFF2-40B4-BE49-F238E27FC236}">
              <a16:creationId xmlns:a16="http://schemas.microsoft.com/office/drawing/2014/main" id="{00000000-0008-0000-0300-000019000000}"/>
            </a:ext>
          </a:extLst>
        </xdr:cNvPr>
        <xdr:cNvGrpSpPr/>
      </xdr:nvGrpSpPr>
      <xdr:grpSpPr>
        <a:xfrm>
          <a:off x="13795375" y="32353250"/>
          <a:ext cx="10030333" cy="8639756"/>
          <a:chOff x="13607143" y="30588857"/>
          <a:chExt cx="10447619" cy="8333596"/>
        </a:xfrm>
      </xdr:grpSpPr>
      <xdr:pic>
        <xdr:nvPicPr>
          <xdr:cNvPr id="23" name="Grafik 22">
            <a:extLst>
              <a:ext uri="{FF2B5EF4-FFF2-40B4-BE49-F238E27FC236}">
                <a16:creationId xmlns:a16="http://schemas.microsoft.com/office/drawing/2014/main" id="{00000000-0008-0000-0300-000017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/>
          <a:stretch>
            <a:fillRect/>
          </a:stretch>
        </xdr:blipFill>
        <xdr:spPr>
          <a:xfrm>
            <a:off x="13607143" y="30588857"/>
            <a:ext cx="10447619" cy="8114286"/>
          </a:xfrm>
          <a:prstGeom prst="rect">
            <a:avLst/>
          </a:prstGeom>
        </xdr:spPr>
      </xdr:pic>
      <xdr:sp macro="" textlink="">
        <xdr:nvSpPr>
          <xdr:cNvPr id="24" name="Textfeld 23">
            <a:extLst>
              <a:ext uri="{FF2B5EF4-FFF2-40B4-BE49-F238E27FC236}">
                <a16:creationId xmlns:a16="http://schemas.microsoft.com/office/drawing/2014/main" id="{00000000-0008-0000-0300-000018000000}"/>
              </a:ext>
            </a:extLst>
          </xdr:cNvPr>
          <xdr:cNvSpPr txBox="1"/>
        </xdr:nvSpPr>
        <xdr:spPr>
          <a:xfrm>
            <a:off x="16144875" y="38657893"/>
            <a:ext cx="5203027" cy="26456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lang="de-DE"/>
              <a:t>Performance and cost of materials for lithium-based rechargeable automotive batteries</a:t>
            </a:r>
            <a:endParaRPr lang="de-DE" sz="1100"/>
          </a:p>
        </xdr:txBody>
      </xdr:sp>
    </xdr:grp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114398</xdr:colOff>
      <xdr:row>63</xdr:row>
      <xdr:rowOff>185159</xdr:rowOff>
    </xdr:from>
    <xdr:to>
      <xdr:col>6</xdr:col>
      <xdr:colOff>416</xdr:colOff>
      <xdr:row>65</xdr:row>
      <xdr:rowOff>221297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Rechteck 1">
              <a:extLst>
                <a:ext uri="{FF2B5EF4-FFF2-40B4-BE49-F238E27FC236}">
                  <a16:creationId xmlns:a16="http://schemas.microsoft.com/office/drawing/2014/main" id="{00000000-0008-0000-0400-000002000000}"/>
                </a:ext>
              </a:extLst>
            </xdr:cNvPr>
            <xdr:cNvSpPr/>
          </xdr:nvSpPr>
          <xdr:spPr>
            <a:xfrm>
              <a:off x="1706434" y="12520034"/>
              <a:ext cx="2627857" cy="437549"/>
            </a:xfrm>
            <a:prstGeom prst="rect">
              <a:avLst/>
            </a:prstGeom>
            <a:noFill/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l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de-DE" sz="1100" b="0" i="1">
                        <a:solidFill>
                          <a:schemeClr val="tx1"/>
                        </a:solidFill>
                        <a:latin typeface="Cambria Math" panose="02040503050406030204" pitchFamily="18" charset="0"/>
                      </a:rPr>
                      <m:t>𝐶</m:t>
                    </m:r>
                    <m:r>
                      <a:rPr lang="de-DE" sz="1100" b="0" i="1">
                        <a:solidFill>
                          <a:schemeClr val="tx1"/>
                        </a:solidFill>
                        <a:latin typeface="Cambria Math" panose="02040503050406030204" pitchFamily="18" charset="0"/>
                      </a:rPr>
                      <m:t>=</m:t>
                    </m:r>
                    <m:sSub>
                      <m:sSubPr>
                        <m:ctrlPr>
                          <a:rPr lang="de-DE" sz="1100" b="0" i="1">
                            <a:solidFill>
                              <a:schemeClr val="tx1"/>
                            </a:solidFill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solidFill>
                              <a:schemeClr val="tx1"/>
                            </a:solidFill>
                            <a:latin typeface="Cambria Math" panose="02040503050406030204" pitchFamily="18" charset="0"/>
                          </a:rPr>
                          <m:t>𝐶</m:t>
                        </m:r>
                      </m:e>
                      <m:sub>
                        <m:r>
                          <a:rPr lang="de-DE" sz="1100" b="0" i="1">
                            <a:solidFill>
                              <a:schemeClr val="tx1"/>
                            </a:solidFill>
                            <a:latin typeface="Cambria Math" panose="02040503050406030204" pitchFamily="18" charset="0"/>
                          </a:rPr>
                          <m:t>0</m:t>
                        </m:r>
                      </m:sub>
                    </m:sSub>
                    <m:r>
                      <a:rPr lang="de-DE" sz="1100" b="0" i="1">
                        <a:solidFill>
                          <a:schemeClr val="tx1"/>
                        </a:solidFill>
                        <a:latin typeface="Cambria Math" panose="02040503050406030204" pitchFamily="18" charset="0"/>
                      </a:rPr>
                      <m:t> </m:t>
                    </m:r>
                    <m:sSup>
                      <m:sSupPr>
                        <m:ctrlPr>
                          <a:rPr lang="de-DE" sz="1100" b="0" i="1">
                            <a:solidFill>
                              <a:schemeClr val="tx1"/>
                            </a:solidFill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d>
                          <m:dPr>
                            <m:ctrlPr>
                              <a:rPr lang="de-DE" sz="1100" b="0" i="1">
                                <a:solidFill>
                                  <a:schemeClr val="tx1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dPr>
                          <m:e>
                            <m:f>
                              <m:fPr>
                                <m:ctrlPr>
                                  <a:rPr lang="de-DE" sz="1100" b="0" i="1">
                                    <a:solidFill>
                                      <a:schemeClr val="tx1"/>
                                    </a:solidFill>
                                    <a:latin typeface="Cambria Math" panose="02040503050406030204" pitchFamily="18" charset="0"/>
                                  </a:rPr>
                                </m:ctrlPr>
                              </m:fPr>
                              <m:num>
                                <m:r>
                                  <a:rPr lang="de-DE" sz="1100" b="0" i="1">
                                    <a:solidFill>
                                      <a:schemeClr val="tx1"/>
                                    </a:solidFill>
                                    <a:latin typeface="Cambria Math" panose="02040503050406030204" pitchFamily="18" charset="0"/>
                                  </a:rPr>
                                  <m:t>𝑝</m:t>
                                </m:r>
                              </m:num>
                              <m:den>
                                <m:sSub>
                                  <m:sSubPr>
                                    <m:ctrlPr>
                                      <a:rPr lang="de-DE" sz="1100" b="0" i="1">
                                        <a:solidFill>
                                          <a:schemeClr val="tx1"/>
                                        </a:solidFill>
                                        <a:latin typeface="Cambria Math" panose="02040503050406030204" pitchFamily="18" charset="0"/>
                                      </a:rPr>
                                    </m:ctrlPr>
                                  </m:sSubPr>
                                  <m:e>
                                    <m:r>
                                      <a:rPr lang="de-DE" sz="1100" b="0" i="1">
                                        <a:solidFill>
                                          <a:schemeClr val="tx1"/>
                                        </a:solidFill>
                                        <a:latin typeface="Cambria Math" panose="02040503050406030204" pitchFamily="18" charset="0"/>
                                      </a:rPr>
                                      <m:t>𝑝</m:t>
                                    </m:r>
                                  </m:e>
                                  <m:sub>
                                    <m:r>
                                      <a:rPr lang="de-DE" sz="1100" b="0" i="1">
                                        <a:solidFill>
                                          <a:schemeClr val="tx1"/>
                                        </a:solidFill>
                                        <a:latin typeface="Cambria Math" panose="02040503050406030204" pitchFamily="18" charset="0"/>
                                      </a:rPr>
                                      <m:t>0</m:t>
                                    </m:r>
                                  </m:sub>
                                </m:sSub>
                              </m:den>
                            </m:f>
                          </m:e>
                        </m:d>
                      </m:e>
                      <m:sup>
                        <m:r>
                          <a:rPr lang="de-DE" sz="1100" b="0" i="1">
                            <a:solidFill>
                              <a:schemeClr val="tx1"/>
                            </a:solidFill>
                            <a:latin typeface="Cambria Math" panose="02040503050406030204" pitchFamily="18" charset="0"/>
                          </a:rPr>
                          <m:t>𝑏</m:t>
                        </m:r>
                      </m:sup>
                    </m:sSup>
                  </m:oMath>
                </m:oMathPara>
              </a14:m>
              <a:endParaRPr lang="de-DE" sz="1100">
                <a:solidFill>
                  <a:schemeClr val="tx1"/>
                </a:solidFill>
              </a:endParaRPr>
            </a:p>
          </xdr:txBody>
        </xdr:sp>
      </mc:Choice>
      <mc:Fallback xmlns="">
        <xdr:sp macro="" textlink="">
          <xdr:nvSpPr>
            <xdr:cNvPr id="2" name="Rechteck 1">
              <a:extLst>
                <a:ext uri="{FF2B5EF4-FFF2-40B4-BE49-F238E27FC236}">
                  <a16:creationId xmlns:a16="http://schemas.microsoft.com/office/drawing/2014/main" id="{00000000-0008-0000-0200-000002000000}"/>
                </a:ext>
              </a:extLst>
            </xdr:cNvPr>
            <xdr:cNvSpPr/>
          </xdr:nvSpPr>
          <xdr:spPr>
            <a:xfrm>
              <a:off x="1706434" y="12520034"/>
              <a:ext cx="2627857" cy="437549"/>
            </a:xfrm>
            <a:prstGeom prst="rect">
              <a:avLst/>
            </a:prstGeom>
            <a:noFill/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l"/>
              <a:r>
                <a:rPr lang="de-DE" sz="1100" b="0" i="0">
                  <a:solidFill>
                    <a:schemeClr val="tx1"/>
                  </a:solidFill>
                  <a:latin typeface="Cambria Math" panose="02040503050406030204" pitchFamily="18" charset="0"/>
                </a:rPr>
                <a:t>𝐶=𝐶_0  (𝑝/𝑝_0 )^𝑏</a:t>
              </a:r>
              <a:endParaRPr lang="de-DE" sz="1100">
                <a:solidFill>
                  <a:schemeClr val="tx1"/>
                </a:solidFill>
              </a:endParaRPr>
            </a:p>
          </xdr:txBody>
        </xdr:sp>
      </mc:Fallback>
    </mc:AlternateContent>
    <xdr:clientData/>
  </xdr:twoCellAnchor>
  <xdr:twoCellAnchor>
    <xdr:from>
      <xdr:col>0</xdr:col>
      <xdr:colOff>144451</xdr:colOff>
      <xdr:row>18</xdr:row>
      <xdr:rowOff>22536</xdr:rowOff>
    </xdr:from>
    <xdr:to>
      <xdr:col>4</xdr:col>
      <xdr:colOff>642544</xdr:colOff>
      <xdr:row>27</xdr:row>
      <xdr:rowOff>176249</xdr:rowOff>
    </xdr:to>
    <xdr:graphicFrame macro="">
      <xdr:nvGraphicFramePr>
        <xdr:cNvPr id="3" name="Diagramm 2">
          <a:extLst>
            <a:ext uri="{FF2B5EF4-FFF2-40B4-BE49-F238E27FC236}">
              <a16:creationId xmlns:a16="http://schemas.microsoft.com/office/drawing/2014/main" id="{00000000-0008-0000-04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142765</xdr:colOff>
      <xdr:row>29</xdr:row>
      <xdr:rowOff>76563</xdr:rowOff>
    </xdr:from>
    <xdr:to>
      <xdr:col>4</xdr:col>
      <xdr:colOff>646648</xdr:colOff>
      <xdr:row>39</xdr:row>
      <xdr:rowOff>94463</xdr:rowOff>
    </xdr:to>
    <xdr:graphicFrame macro="">
      <xdr:nvGraphicFramePr>
        <xdr:cNvPr id="5" name="Diagramm 4">
          <a:extLst>
            <a:ext uri="{FF2B5EF4-FFF2-40B4-BE49-F238E27FC236}">
              <a16:creationId xmlns:a16="http://schemas.microsoft.com/office/drawing/2014/main" id="{00000000-0008-0000-0400-000005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149938</xdr:colOff>
      <xdr:row>41</xdr:row>
      <xdr:rowOff>35075</xdr:rowOff>
    </xdr:from>
    <xdr:to>
      <xdr:col>4</xdr:col>
      <xdr:colOff>653209</xdr:colOff>
      <xdr:row>50</xdr:row>
      <xdr:rowOff>155947</xdr:rowOff>
    </xdr:to>
    <xdr:graphicFrame macro="">
      <xdr:nvGraphicFramePr>
        <xdr:cNvPr id="6" name="Diagramm 5">
          <a:extLst>
            <a:ext uri="{FF2B5EF4-FFF2-40B4-BE49-F238E27FC236}">
              <a16:creationId xmlns:a16="http://schemas.microsoft.com/office/drawing/2014/main" id="{00000000-0008-0000-0400-000006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0</xdr:col>
      <xdr:colOff>188573</xdr:colOff>
      <xdr:row>52</xdr:row>
      <xdr:rowOff>28014</xdr:rowOff>
    </xdr:from>
    <xdr:to>
      <xdr:col>4</xdr:col>
      <xdr:colOff>664824</xdr:colOff>
      <xdr:row>61</xdr:row>
      <xdr:rowOff>153904</xdr:rowOff>
    </xdr:to>
    <xdr:graphicFrame macro="">
      <xdr:nvGraphicFramePr>
        <xdr:cNvPr id="7" name="Diagramm 6">
          <a:extLst>
            <a:ext uri="{FF2B5EF4-FFF2-40B4-BE49-F238E27FC236}">
              <a16:creationId xmlns:a16="http://schemas.microsoft.com/office/drawing/2014/main" id="{00000000-0008-0000-0400-000007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0</xdr:col>
      <xdr:colOff>200305</xdr:colOff>
      <xdr:row>4</xdr:row>
      <xdr:rowOff>94502</xdr:rowOff>
    </xdr:from>
    <xdr:to>
      <xdr:col>4</xdr:col>
      <xdr:colOff>406214</xdr:colOff>
      <xdr:row>16</xdr:row>
      <xdr:rowOff>70037</xdr:rowOff>
    </xdr:to>
    <xdr:graphicFrame macro="">
      <xdr:nvGraphicFramePr>
        <xdr:cNvPr id="8" name="Diagramm 7">
          <a:extLst>
            <a:ext uri="{FF2B5EF4-FFF2-40B4-BE49-F238E27FC236}">
              <a16:creationId xmlns:a16="http://schemas.microsoft.com/office/drawing/2014/main" id="{00000000-0008-0000-0400-000008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3.xml"/><Relationship Id="rId5" Type="http://schemas.openxmlformats.org/officeDocument/2006/relationships/ctrlProp" Target="../ctrlProps/ctrlProp2.xml"/><Relationship Id="rId4" Type="http://schemas.openxmlformats.org/officeDocument/2006/relationships/ctrlProp" Target="../ctrlProps/ctrlProp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Tabelle1">
    <tabColor theme="4" tint="0.59999389629810485"/>
  </sheetPr>
  <dimension ref="A1:P79"/>
  <sheetViews>
    <sheetView showGridLines="0" tabSelected="1" zoomScale="85" zoomScaleNormal="85" workbookViewId="0">
      <selection activeCell="P25" sqref="P25"/>
    </sheetView>
  </sheetViews>
  <sheetFormatPr baseColWidth="10" defaultRowHeight="15" x14ac:dyDescent="0.25"/>
  <cols>
    <col min="1" max="1" width="11.5703125" customWidth="1"/>
    <col min="2" max="2" width="33" customWidth="1"/>
    <col min="3" max="3" width="18.5703125" customWidth="1"/>
    <col min="4" max="4" width="27.5703125" customWidth="1"/>
    <col min="6" max="6" width="11.85546875" customWidth="1"/>
    <col min="7" max="7" width="19.140625" customWidth="1"/>
    <col min="8" max="8" width="14" customWidth="1"/>
    <col min="9" max="9" width="19.140625" customWidth="1"/>
    <col min="10" max="10" width="20.28515625" customWidth="1"/>
  </cols>
  <sheetData>
    <row r="1" spans="1:16" ht="22.9" customHeight="1" x14ac:dyDescent="0.25">
      <c r="A1" s="418" t="s">
        <v>229</v>
      </c>
      <c r="B1" s="419"/>
      <c r="C1" s="419"/>
      <c r="D1" s="419"/>
      <c r="E1" s="419"/>
      <c r="F1" s="419"/>
      <c r="G1" s="419"/>
      <c r="H1" s="419"/>
      <c r="I1" s="419"/>
      <c r="J1" s="419"/>
      <c r="K1" s="419"/>
    </row>
    <row r="3" spans="1:16" ht="22.5" customHeight="1" x14ac:dyDescent="0.25">
      <c r="A3" s="415" t="s">
        <v>224</v>
      </c>
      <c r="B3" s="415"/>
      <c r="C3" s="415"/>
      <c r="D3" s="415"/>
      <c r="E3" s="417" t="s">
        <v>227</v>
      </c>
    </row>
    <row r="4" spans="1:16" ht="22.5" customHeight="1" x14ac:dyDescent="0.25">
      <c r="A4" s="414" t="s">
        <v>225</v>
      </c>
      <c r="B4" s="414"/>
      <c r="C4" s="414"/>
      <c r="D4" s="414"/>
      <c r="E4" s="417"/>
    </row>
    <row r="5" spans="1:16" ht="21.75" customHeight="1" x14ac:dyDescent="0.25">
      <c r="A5" s="416" t="s">
        <v>226</v>
      </c>
      <c r="B5" s="416"/>
      <c r="C5" s="416"/>
      <c r="D5" s="416"/>
      <c r="E5" s="417"/>
    </row>
    <row r="6" spans="1:16" x14ac:dyDescent="0.25">
      <c r="L6" s="13"/>
      <c r="M6" s="13"/>
      <c r="N6" s="13"/>
      <c r="O6" s="13"/>
      <c r="P6" s="13"/>
    </row>
    <row r="7" spans="1:16" ht="23.25" x14ac:dyDescent="0.25">
      <c r="A7" s="430" t="s">
        <v>17</v>
      </c>
      <c r="B7" s="430"/>
      <c r="C7" s="175"/>
      <c r="D7" s="175"/>
      <c r="E7" s="175"/>
      <c r="F7" s="175"/>
      <c r="G7" s="175"/>
      <c r="H7" s="175"/>
      <c r="I7" s="175"/>
      <c r="J7" s="175"/>
      <c r="L7" s="13"/>
      <c r="M7" s="13"/>
      <c r="N7" s="13"/>
      <c r="O7" s="13"/>
      <c r="P7" s="13"/>
    </row>
    <row r="8" spans="1:16" ht="14.45" customHeight="1" x14ac:dyDescent="0.25">
      <c r="A8" s="5"/>
      <c r="B8" s="5"/>
      <c r="L8" s="13"/>
      <c r="M8" s="13"/>
      <c r="N8" s="13"/>
      <c r="O8" s="13"/>
      <c r="P8" s="13"/>
    </row>
    <row r="9" spans="1:16" ht="15.75" thickBot="1" x14ac:dyDescent="0.3">
      <c r="K9" s="407"/>
      <c r="L9" s="13"/>
      <c r="M9" s="13"/>
      <c r="N9" s="13"/>
      <c r="O9" s="13"/>
      <c r="P9" s="13"/>
    </row>
    <row r="10" spans="1:16" ht="16.149999999999999" customHeight="1" thickBot="1" x14ac:dyDescent="0.3">
      <c r="B10" s="421" t="s">
        <v>16</v>
      </c>
      <c r="C10" s="423" t="s">
        <v>0</v>
      </c>
      <c r="D10" s="425" t="s">
        <v>7</v>
      </c>
      <c r="F10" s="427" t="s">
        <v>228</v>
      </c>
      <c r="G10" s="4"/>
      <c r="H10" s="4" t="s">
        <v>297</v>
      </c>
      <c r="I10" s="4" t="s">
        <v>299</v>
      </c>
      <c r="J10" s="4" t="s">
        <v>298</v>
      </c>
      <c r="L10" s="18"/>
      <c r="M10" s="18"/>
      <c r="N10" s="18"/>
      <c r="O10" s="18"/>
      <c r="P10" s="18"/>
    </row>
    <row r="11" spans="1:16" ht="18" customHeight="1" thickTop="1" thickBot="1" x14ac:dyDescent="0.3">
      <c r="B11" s="422"/>
      <c r="C11" s="424"/>
      <c r="D11" s="426"/>
      <c r="F11" s="428"/>
      <c r="G11" s="2"/>
      <c r="H11" s="2" t="s">
        <v>9</v>
      </c>
      <c r="I11" s="2" t="s">
        <v>13</v>
      </c>
      <c r="J11" s="2" t="s">
        <v>235</v>
      </c>
    </row>
    <row r="12" spans="1:16" ht="18" customHeight="1" x14ac:dyDescent="0.25">
      <c r="A12" s="420" t="s">
        <v>18</v>
      </c>
      <c r="B12" s="263" t="s">
        <v>1</v>
      </c>
      <c r="C12" s="259">
        <v>200</v>
      </c>
      <c r="D12" s="361" t="s">
        <v>15</v>
      </c>
      <c r="F12" s="428"/>
      <c r="G12" s="2"/>
      <c r="H12" s="2" t="s">
        <v>10</v>
      </c>
      <c r="I12" s="2" t="s">
        <v>304</v>
      </c>
      <c r="J12" s="2" t="s">
        <v>236</v>
      </c>
    </row>
    <row r="13" spans="1:16" ht="18" customHeight="1" x14ac:dyDescent="0.25">
      <c r="A13" s="420"/>
      <c r="B13" s="247" t="s">
        <v>3</v>
      </c>
      <c r="C13" s="260">
        <v>2</v>
      </c>
      <c r="D13" s="11"/>
      <c r="F13" s="428"/>
      <c r="G13" s="2"/>
      <c r="H13" s="2"/>
      <c r="I13" s="2" t="s">
        <v>14</v>
      </c>
      <c r="J13" s="2"/>
      <c r="L13" s="408"/>
    </row>
    <row r="14" spans="1:16" ht="18" customHeight="1" x14ac:dyDescent="0.25">
      <c r="A14" s="420"/>
      <c r="B14" s="1" t="s">
        <v>4</v>
      </c>
      <c r="C14" s="260" t="s">
        <v>9</v>
      </c>
      <c r="D14" s="11"/>
      <c r="F14" s="428"/>
      <c r="G14" s="2"/>
      <c r="H14" s="2"/>
      <c r="I14" s="2"/>
      <c r="J14" s="2"/>
    </row>
    <row r="15" spans="1:16" ht="18" customHeight="1" thickBot="1" x14ac:dyDescent="0.3">
      <c r="A15" s="420"/>
      <c r="B15" s="247" t="s">
        <v>2</v>
      </c>
      <c r="C15" s="260">
        <v>70</v>
      </c>
      <c r="D15" s="11"/>
      <c r="F15" s="428"/>
      <c r="G15" s="1"/>
      <c r="H15" s="3"/>
      <c r="I15" s="3"/>
      <c r="J15" s="3"/>
    </row>
    <row r="16" spans="1:16" ht="15.75" thickBot="1" x14ac:dyDescent="0.3">
      <c r="A16" s="420"/>
      <c r="B16" s="1" t="s">
        <v>142</v>
      </c>
      <c r="C16" s="260" t="s">
        <v>301</v>
      </c>
      <c r="D16" s="11"/>
      <c r="F16" s="428"/>
      <c r="G16" s="410" t="s">
        <v>3</v>
      </c>
      <c r="H16" s="411" t="s">
        <v>295</v>
      </c>
      <c r="I16" s="410" t="s">
        <v>296</v>
      </c>
      <c r="J16" s="412" t="s">
        <v>300</v>
      </c>
    </row>
    <row r="17" spans="1:10" ht="18" customHeight="1" thickTop="1" x14ac:dyDescent="0.25">
      <c r="A17" s="420"/>
      <c r="B17" s="247" t="s">
        <v>6</v>
      </c>
      <c r="C17" s="260" t="s">
        <v>94</v>
      </c>
      <c r="D17" s="11"/>
      <c r="F17" s="428"/>
      <c r="G17" s="10">
        <v>1</v>
      </c>
      <c r="H17" s="8" t="s">
        <v>301</v>
      </c>
      <c r="I17" s="7" t="s">
        <v>92</v>
      </c>
      <c r="J17" s="9">
        <v>4</v>
      </c>
    </row>
    <row r="18" spans="1:10" ht="12.75" customHeight="1" x14ac:dyDescent="0.25">
      <c r="B18" s="1"/>
      <c r="C18" s="258"/>
      <c r="D18" s="11"/>
      <c r="F18" s="428"/>
      <c r="G18" s="10">
        <v>2</v>
      </c>
      <c r="H18" s="8" t="s">
        <v>302</v>
      </c>
      <c r="I18" s="7" t="s">
        <v>93</v>
      </c>
      <c r="J18" s="9">
        <v>6</v>
      </c>
    </row>
    <row r="19" spans="1:10" ht="18.75" customHeight="1" x14ac:dyDescent="0.25">
      <c r="A19" s="431" t="s">
        <v>19</v>
      </c>
      <c r="B19" s="248" t="s">
        <v>65</v>
      </c>
      <c r="C19" s="261">
        <v>100000</v>
      </c>
      <c r="D19" s="11"/>
      <c r="F19" s="428"/>
      <c r="G19" s="10" t="s">
        <v>20</v>
      </c>
      <c r="H19" s="8" t="s">
        <v>8</v>
      </c>
      <c r="I19" s="7" t="s">
        <v>94</v>
      </c>
      <c r="J19" s="9">
        <v>8</v>
      </c>
    </row>
    <row r="20" spans="1:10" ht="21" customHeight="1" x14ac:dyDescent="0.25">
      <c r="A20" s="431"/>
      <c r="B20" s="6" t="s">
        <v>303</v>
      </c>
      <c r="C20" s="260">
        <v>6</v>
      </c>
      <c r="D20" s="11"/>
      <c r="F20" s="428"/>
      <c r="G20" s="10" t="s">
        <v>249</v>
      </c>
      <c r="H20" s="8"/>
      <c r="I20" s="7" t="s">
        <v>305</v>
      </c>
      <c r="J20" s="2"/>
    </row>
    <row r="21" spans="1:10" ht="19.5" customHeight="1" x14ac:dyDescent="0.25">
      <c r="A21" s="431"/>
      <c r="B21" s="248" t="s">
        <v>299</v>
      </c>
      <c r="C21" s="260" t="s">
        <v>304</v>
      </c>
      <c r="D21" s="11"/>
      <c r="F21" s="428"/>
      <c r="G21" s="10" t="s">
        <v>250</v>
      </c>
      <c r="H21" s="2"/>
      <c r="I21" s="7" t="s">
        <v>95</v>
      </c>
      <c r="J21" s="2"/>
    </row>
    <row r="22" spans="1:10" ht="19.149999999999999" customHeight="1" thickBot="1" x14ac:dyDescent="0.3">
      <c r="A22" s="431"/>
      <c r="B22" s="231" t="s">
        <v>298</v>
      </c>
      <c r="C22" s="262" t="s">
        <v>236</v>
      </c>
      <c r="D22" s="285"/>
      <c r="F22" s="428"/>
      <c r="G22" s="2"/>
      <c r="I22" s="7" t="s">
        <v>11</v>
      </c>
      <c r="J22" s="90"/>
    </row>
    <row r="23" spans="1:10" ht="18.600000000000001" customHeight="1" x14ac:dyDescent="0.25">
      <c r="F23" s="428"/>
      <c r="G23" s="2"/>
      <c r="I23" s="7" t="s">
        <v>12</v>
      </c>
      <c r="J23" s="90"/>
    </row>
    <row r="24" spans="1:10" ht="18.600000000000001" customHeight="1" x14ac:dyDescent="0.25">
      <c r="F24" s="428"/>
      <c r="G24" s="2"/>
      <c r="I24" s="7" t="s">
        <v>26</v>
      </c>
      <c r="J24" s="90"/>
    </row>
    <row r="25" spans="1:10" ht="17.45" customHeight="1" thickBot="1" x14ac:dyDescent="0.3">
      <c r="F25" s="429"/>
      <c r="G25" s="3"/>
      <c r="H25" s="12"/>
      <c r="I25" s="231" t="s">
        <v>99</v>
      </c>
      <c r="J25" s="3"/>
    </row>
    <row r="27" spans="1:10" ht="39.75" customHeight="1" x14ac:dyDescent="0.25">
      <c r="A27" s="413" t="s">
        <v>222</v>
      </c>
      <c r="B27" s="413"/>
      <c r="C27" s="246"/>
      <c r="D27" s="246"/>
      <c r="E27" s="246"/>
      <c r="F27" s="398" t="s">
        <v>292</v>
      </c>
      <c r="G27" s="392"/>
      <c r="H27" s="392"/>
      <c r="I27" s="246"/>
      <c r="J27" s="399">
        <f>Batterieeinheit!D73+Antriebseinheit!M15</f>
        <v>16500.43705954195</v>
      </c>
    </row>
    <row r="29" spans="1:10" ht="39.75" customHeight="1" x14ac:dyDescent="0.25">
      <c r="A29" s="409"/>
      <c r="B29" s="409"/>
      <c r="C29" s="246"/>
      <c r="D29" s="246"/>
      <c r="E29" s="246"/>
      <c r="F29" s="398" t="s">
        <v>214</v>
      </c>
      <c r="G29" s="392"/>
      <c r="H29" s="392"/>
      <c r="I29" s="246"/>
      <c r="J29" s="399">
        <f>Batterieeinheit!D73</f>
        <v>11132.43705954195</v>
      </c>
    </row>
    <row r="34" spans="3:12" x14ac:dyDescent="0.25">
      <c r="C34" s="225">
        <f>Batterieeinheit!E17</f>
        <v>6707.3847262086165</v>
      </c>
      <c r="D34" t="s">
        <v>287</v>
      </c>
    </row>
    <row r="35" spans="3:12" x14ac:dyDescent="0.25">
      <c r="C35" s="225">
        <f>Batterieeinheit!E35</f>
        <v>1631.8075433333333</v>
      </c>
      <c r="D35" t="s">
        <v>207</v>
      </c>
      <c r="L35" s="225"/>
    </row>
    <row r="36" spans="3:12" x14ac:dyDescent="0.25">
      <c r="C36" s="225">
        <f>Batterieeinheit!E50</f>
        <v>2425.5</v>
      </c>
      <c r="D36" t="s">
        <v>288</v>
      </c>
    </row>
    <row r="37" spans="3:12" x14ac:dyDescent="0.25">
      <c r="C37" s="225">
        <f>Batterieeinheit!E65</f>
        <v>367.74478999999997</v>
      </c>
      <c r="D37" t="s">
        <v>289</v>
      </c>
    </row>
    <row r="38" spans="3:12" x14ac:dyDescent="0.25">
      <c r="C38" s="225">
        <f>Antriebseinheit!H15</f>
        <v>1333.2</v>
      </c>
      <c r="D38" t="s">
        <v>273</v>
      </c>
    </row>
    <row r="39" spans="3:12" x14ac:dyDescent="0.25">
      <c r="C39" s="225">
        <f>Antriebseinheit!I15</f>
        <v>2076.8000000000002</v>
      </c>
      <c r="D39" t="s">
        <v>280</v>
      </c>
    </row>
    <row r="40" spans="3:12" x14ac:dyDescent="0.25">
      <c r="C40" s="225">
        <f>Antriebseinheit!J15</f>
        <v>1892.0000000000002</v>
      </c>
      <c r="D40" t="s">
        <v>246</v>
      </c>
    </row>
    <row r="41" spans="3:12" x14ac:dyDescent="0.25">
      <c r="C41" s="225">
        <f>Antriebseinheit!K15+Antriebseinheit!L15</f>
        <v>66</v>
      </c>
      <c r="D41" t="s">
        <v>290</v>
      </c>
    </row>
    <row r="42" spans="3:12" x14ac:dyDescent="0.25">
      <c r="C42" s="225">
        <f>SUM(C34:C41)</f>
        <v>16500.43705954195</v>
      </c>
      <c r="D42" t="s">
        <v>286</v>
      </c>
    </row>
    <row r="71" spans="2:4" x14ac:dyDescent="0.25">
      <c r="B71" s="401"/>
    </row>
    <row r="73" spans="2:4" x14ac:dyDescent="0.25">
      <c r="B73" t="s">
        <v>287</v>
      </c>
      <c r="C73" s="402">
        <f>Batterieeinheit!E17</f>
        <v>6707.3847262086165</v>
      </c>
    </row>
    <row r="74" spans="2:4" x14ac:dyDescent="0.25">
      <c r="B74" t="s">
        <v>207</v>
      </c>
      <c r="C74" s="402">
        <f>Batterieeinheit!E35</f>
        <v>1631.8075433333333</v>
      </c>
    </row>
    <row r="75" spans="2:4" x14ac:dyDescent="0.25">
      <c r="B75" t="s">
        <v>293</v>
      </c>
      <c r="C75" s="402">
        <f>Batterieeinheit!E68</f>
        <v>2793.2447899999997</v>
      </c>
    </row>
    <row r="76" spans="2:4" x14ac:dyDescent="0.25">
      <c r="B76" t="s">
        <v>273</v>
      </c>
      <c r="C76" s="402">
        <f>Antriebseinheit!H15</f>
        <v>1333.2</v>
      </c>
    </row>
    <row r="77" spans="2:4" x14ac:dyDescent="0.25">
      <c r="B77" t="s">
        <v>280</v>
      </c>
      <c r="C77" s="402">
        <f>Antriebseinheit!I15</f>
        <v>2076.8000000000002</v>
      </c>
    </row>
    <row r="78" spans="2:4" x14ac:dyDescent="0.25">
      <c r="B78" t="s">
        <v>246</v>
      </c>
      <c r="C78" s="402">
        <f>Antriebseinheit!J15</f>
        <v>1892.0000000000002</v>
      </c>
    </row>
    <row r="79" spans="2:4" x14ac:dyDescent="0.25">
      <c r="B79" t="s">
        <v>247</v>
      </c>
      <c r="C79" s="402" cm="1">
        <f t="array" ref="C79:D79">Antriebseinheit!K15:L15</f>
        <v>0</v>
      </c>
      <c r="D79">
        <v>66</v>
      </c>
    </row>
  </sheetData>
  <mergeCells count="13">
    <mergeCell ref="A1:K1"/>
    <mergeCell ref="A12:A17"/>
    <mergeCell ref="B10:B11"/>
    <mergeCell ref="C10:C11"/>
    <mergeCell ref="D10:D11"/>
    <mergeCell ref="F10:F25"/>
    <mergeCell ref="A7:B7"/>
    <mergeCell ref="A19:A22"/>
    <mergeCell ref="A27:B27"/>
    <mergeCell ref="A4:D4"/>
    <mergeCell ref="A3:D3"/>
    <mergeCell ref="A5:D5"/>
    <mergeCell ref="E3:E5"/>
  </mergeCells>
  <dataValidations count="10">
    <dataValidation type="whole" allowBlank="1" showInputMessage="1" showErrorMessage="1" sqref="C12" xr:uid="{C2549345-2D8B-4466-BD09-9D7CB1E66995}">
      <formula1>0</formula1>
      <formula2>735</formula2>
    </dataValidation>
    <dataValidation type="list" allowBlank="1" showInputMessage="1" showErrorMessage="1" sqref="C13" xr:uid="{61ABB97E-0FF5-4626-8E2F-F411027B1EAF}">
      <formula1>Liste_Anzahl_Motoren</formula1>
    </dataValidation>
    <dataValidation type="list" allowBlank="1" showInputMessage="1" showErrorMessage="1" sqref="C14" xr:uid="{00C4F433-551D-454C-8F44-24CF2520AD7C}">
      <formula1>Liste_Motortyp</formula1>
    </dataValidation>
    <dataValidation type="whole" allowBlank="1" showInputMessage="1" showErrorMessage="1" sqref="C15" xr:uid="{FFA8DDB6-EBB6-4C10-9776-24219421268D}">
      <formula1>0</formula1>
      <formula2>150</formula2>
    </dataValidation>
    <dataValidation type="list" allowBlank="1" showInputMessage="1" showErrorMessage="1" sqref="C16" xr:uid="{FC5F140F-5E2D-4F51-BB3A-01B95446D805}">
      <formula1>Liste_Zelltyp</formula1>
    </dataValidation>
    <dataValidation type="list" allowBlank="1" showInputMessage="1" showErrorMessage="1" sqref="C17" xr:uid="{CD8C75D4-F15A-475E-BC33-754DA56CEC5A}">
      <formula1>Liste_Zellchemie</formula1>
    </dataValidation>
    <dataValidation type="list" allowBlank="1" showInputMessage="1" showErrorMessage="1" sqref="C20" xr:uid="{CF3AC52E-B9CF-4621-8C5B-4C772AD570AB}">
      <formula1>Liste_Abschreibezeitraum</formula1>
    </dataValidation>
    <dataValidation type="list" allowBlank="1" showInputMessage="1" showErrorMessage="1" sqref="C21" xr:uid="{766F346F-6195-4073-BF69-928DBCFA650C}">
      <formula1>Liste_Produktionsstandort</formula1>
    </dataValidation>
    <dataValidation type="whole" allowBlank="1" showInputMessage="1" showErrorMessage="1" sqref="C19" xr:uid="{9FB15479-21B9-49C3-A2B7-20E7CFA01A2A}">
      <formula1>0</formula1>
      <formula2>300</formula2>
    </dataValidation>
    <dataValidation type="list" allowBlank="1" showInputMessage="1" showErrorMessage="1" sqref="C22" xr:uid="{02C77DFD-9AA6-46BC-8E19-B3EF51B246DC}">
      <formula1>Liste_Skalierungsfaktor</formula1>
    </dataValidation>
  </dataValidations>
  <pageMargins left="0.7" right="0.7" top="0.78740157499999996" bottom="0.78740157499999996" header="0.3" footer="0.3"/>
  <pageSetup paperSize="9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5122" r:id="rId4" name="Scroll Bar 2">
              <controlPr defaultSize="0" autoPict="0" altText="">
                <anchor moveWithCells="1">
                  <from>
                    <xdr:col>3</xdr:col>
                    <xdr:colOff>9525</xdr:colOff>
                    <xdr:row>11</xdr:row>
                    <xdr:rowOff>9525</xdr:rowOff>
                  </from>
                  <to>
                    <xdr:col>4</xdr:col>
                    <xdr:colOff>0</xdr:colOff>
                    <xdr:row>12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23" r:id="rId5" name="Scroll Bar 3">
              <controlPr defaultSize="0" autoPict="0">
                <anchor moveWithCells="1">
                  <from>
                    <xdr:col>3</xdr:col>
                    <xdr:colOff>19050</xdr:colOff>
                    <xdr:row>14</xdr:row>
                    <xdr:rowOff>9525</xdr:rowOff>
                  </from>
                  <to>
                    <xdr:col>4</xdr:col>
                    <xdr:colOff>0</xdr:colOff>
                    <xdr:row>14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26" r:id="rId6" name="Scroll Bar 6">
              <controlPr defaultSize="0" autoPict="0">
                <anchor moveWithCells="1">
                  <from>
                    <xdr:col>3</xdr:col>
                    <xdr:colOff>9525</xdr:colOff>
                    <xdr:row>18</xdr:row>
                    <xdr:rowOff>9525</xdr:rowOff>
                  </from>
                  <to>
                    <xdr:col>4</xdr:col>
                    <xdr:colOff>0</xdr:colOff>
                    <xdr:row>19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9D4402-5562-4BB3-A3DA-D1B8EBCC0E5B}">
  <sheetPr codeName="Tabelle2">
    <tabColor theme="9" tint="0.39997558519241921"/>
  </sheetPr>
  <dimension ref="A2:T83"/>
  <sheetViews>
    <sheetView showGridLines="0" topLeftCell="A16" zoomScale="70" zoomScaleNormal="70" workbookViewId="0">
      <selection activeCell="U25" sqref="U25"/>
    </sheetView>
  </sheetViews>
  <sheetFormatPr baseColWidth="10" defaultColWidth="10.7109375" defaultRowHeight="15" x14ac:dyDescent="0.25"/>
  <cols>
    <col min="1" max="1" width="5.28515625" style="19" customWidth="1"/>
    <col min="2" max="2" width="12" style="19" customWidth="1"/>
    <col min="3" max="3" width="27.5703125" style="19" customWidth="1"/>
    <col min="4" max="4" width="24" style="19" customWidth="1"/>
    <col min="5" max="5" width="14" style="19" customWidth="1"/>
    <col min="6" max="6" width="16.140625" style="19" customWidth="1"/>
    <col min="7" max="17" width="10.7109375" style="19"/>
    <col min="18" max="20" width="11.7109375" style="19" bestFit="1" customWidth="1"/>
    <col min="21" max="16384" width="10.7109375" style="19"/>
  </cols>
  <sheetData>
    <row r="2" spans="1:20" ht="23.25" x14ac:dyDescent="0.25">
      <c r="A2" s="278" t="s">
        <v>21</v>
      </c>
      <c r="B2" s="21"/>
      <c r="C2" s="21"/>
      <c r="D2" s="21"/>
      <c r="E2" s="21"/>
      <c r="F2" s="21"/>
      <c r="G2" s="21"/>
      <c r="H2" s="21"/>
      <c r="I2" s="21"/>
      <c r="J2" s="21"/>
      <c r="K2" s="21"/>
      <c r="L2" s="21"/>
    </row>
    <row r="4" spans="1:20" ht="18" customHeight="1" x14ac:dyDescent="0.25">
      <c r="B4" s="200" t="str">
        <f>Überblick!C17</f>
        <v>NMC-622</v>
      </c>
      <c r="C4" s="180" t="s">
        <v>43</v>
      </c>
      <c r="D4" s="180" t="s">
        <v>25</v>
      </c>
      <c r="E4" s="181" t="s">
        <v>46</v>
      </c>
      <c r="F4" s="181" t="s">
        <v>44</v>
      </c>
    </row>
    <row r="5" spans="1:20" ht="21" customHeight="1" x14ac:dyDescent="0.25">
      <c r="B5" s="434" t="s">
        <v>45</v>
      </c>
      <c r="C5" s="19" t="s">
        <v>71</v>
      </c>
      <c r="D5" s="19" t="str">
        <f>Materialkosten!V38</f>
        <v>NMC-622</v>
      </c>
      <c r="E5" s="111">
        <f>Überblick!$C$15*F5</f>
        <v>3440.22541712167</v>
      </c>
      <c r="F5" s="33">
        <f>Materialkosten!F59</f>
        <v>49.146077387452429</v>
      </c>
      <c r="H5" s="19" t="s">
        <v>71</v>
      </c>
      <c r="J5" s="33"/>
    </row>
    <row r="6" spans="1:20" ht="21" customHeight="1" x14ac:dyDescent="0.25">
      <c r="B6" s="434"/>
      <c r="C6" s="19" t="s">
        <v>70</v>
      </c>
      <c r="D6" s="19" t="str">
        <f>Materialkosten!V43</f>
        <v>Graphit</v>
      </c>
      <c r="E6" s="111">
        <f>Überblick!$C$15*F6</f>
        <v>538.46153846153845</v>
      </c>
      <c r="F6" s="33">
        <f>Materialkosten!F62</f>
        <v>7.6923076923076916</v>
      </c>
      <c r="H6" s="19" t="s">
        <v>70</v>
      </c>
      <c r="J6" s="33"/>
    </row>
    <row r="7" spans="1:20" ht="28.5" customHeight="1" x14ac:dyDescent="0.25">
      <c r="B7" s="434"/>
      <c r="C7" s="19" t="s">
        <v>140</v>
      </c>
      <c r="D7" s="19" t="str">
        <f>Materialkosten!V40&amp;" / "&amp;Materialkosten!V44</f>
        <v>PVDF / CMC</v>
      </c>
      <c r="E7" s="111">
        <f>Überblick!$C$15*F7</f>
        <v>143.58974358974359</v>
      </c>
      <c r="F7" s="33">
        <f>Materialkosten!F61+Materialkosten!F63</f>
        <v>2.0512820512820511</v>
      </c>
      <c r="H7" s="19" t="s">
        <v>102</v>
      </c>
      <c r="J7" s="33"/>
      <c r="Q7" s="396"/>
    </row>
    <row r="8" spans="1:20" ht="21" customHeight="1" x14ac:dyDescent="0.25">
      <c r="B8" s="434"/>
      <c r="C8" s="19" t="s">
        <v>139</v>
      </c>
      <c r="D8" s="19" t="str">
        <f>Materialkosten!V41&amp;" / "&amp;Materialkosten!V45</f>
        <v>NMP / Water</v>
      </c>
      <c r="E8" s="111">
        <f>Überblick!$C$15*F8</f>
        <v>190.38461538461542</v>
      </c>
      <c r="F8" s="33">
        <f>Materialkosten!F69</f>
        <v>2.7197802197802203</v>
      </c>
      <c r="H8" s="19" t="s">
        <v>193</v>
      </c>
      <c r="J8" s="33"/>
    </row>
    <row r="9" spans="1:20" ht="21" customHeight="1" x14ac:dyDescent="0.25">
      <c r="B9" s="434"/>
      <c r="C9" s="19" t="s">
        <v>136</v>
      </c>
      <c r="D9" s="19" t="str">
        <f>Materialkosten!V39</f>
        <v>Carbon black</v>
      </c>
      <c r="E9" s="111">
        <f>Überblick!$C$15*F9</f>
        <v>34.102564102564102</v>
      </c>
      <c r="F9" s="33">
        <f>Materialkosten!F60</f>
        <v>0.48717948717948717</v>
      </c>
      <c r="H9" s="19" t="s">
        <v>199</v>
      </c>
      <c r="J9" s="33"/>
    </row>
    <row r="10" spans="1:20" ht="20.25" customHeight="1" x14ac:dyDescent="0.25">
      <c r="B10" s="434"/>
      <c r="C10" s="19" t="s">
        <v>22</v>
      </c>
      <c r="D10" s="19" t="str">
        <f>Materialkosten!V50</f>
        <v>EC mit LiPF6</v>
      </c>
      <c r="E10" s="111">
        <f>Überblick!$C$15*F10</f>
        <v>582.56410256410254</v>
      </c>
      <c r="F10" s="33">
        <f>Materialkosten!F66</f>
        <v>8.3223443223443212</v>
      </c>
      <c r="H10" s="19" t="s">
        <v>22</v>
      </c>
      <c r="J10" s="33"/>
      <c r="R10" s="397"/>
      <c r="S10" s="397"/>
      <c r="T10" s="397"/>
    </row>
    <row r="11" spans="1:20" ht="21.75" customHeight="1" x14ac:dyDescent="0.25">
      <c r="B11" s="434"/>
      <c r="C11" s="19" t="s">
        <v>141</v>
      </c>
      <c r="D11" s="19" t="str">
        <f>Materialkosten!V47&amp;" / "&amp;Materialkosten!V48</f>
        <v>Aluminium / Kupfer</v>
      </c>
      <c r="E11" s="111">
        <f>Überblick!$C$15*F11</f>
        <v>240.87179487179489</v>
      </c>
      <c r="F11" s="33">
        <f>Materialkosten!F64+Materialkosten!F65</f>
        <v>3.4410256410256412</v>
      </c>
      <c r="H11" s="19" t="s">
        <v>200</v>
      </c>
      <c r="J11" s="33"/>
      <c r="R11" s="397"/>
      <c r="S11" s="397"/>
      <c r="T11" s="397"/>
    </row>
    <row r="12" spans="1:20" ht="18.75" customHeight="1" x14ac:dyDescent="0.25">
      <c r="B12" s="434"/>
      <c r="C12" s="19" t="s">
        <v>23</v>
      </c>
      <c r="D12" s="19" t="str">
        <f>Materialkosten!V49</f>
        <v>PE</v>
      </c>
      <c r="E12" s="111">
        <f>Überblick!$C$15*F12</f>
        <v>328.20512820512818</v>
      </c>
      <c r="F12" s="33">
        <f>Materialkosten!F67</f>
        <v>4.688644688644688</v>
      </c>
      <c r="H12" s="19" t="s">
        <v>23</v>
      </c>
      <c r="J12" s="33"/>
      <c r="R12" s="397"/>
      <c r="S12" s="397"/>
      <c r="T12" s="397"/>
    </row>
    <row r="13" spans="1:20" ht="18.75" customHeight="1" x14ac:dyDescent="0.25">
      <c r="B13" s="435"/>
      <c r="C13" s="22" t="s">
        <v>42</v>
      </c>
      <c r="D13" s="22" t="str">
        <f>Materialkosten!V51</f>
        <v>PP/ Aluminium</v>
      </c>
      <c r="E13" s="111">
        <f>Überblick!$C$15*F13</f>
        <v>200.30769230769229</v>
      </c>
      <c r="F13" s="34">
        <f>Materialkosten!F68</f>
        <v>2.8615384615384611</v>
      </c>
      <c r="H13" s="19" t="s">
        <v>42</v>
      </c>
      <c r="J13" s="34"/>
      <c r="R13" s="397"/>
      <c r="S13" s="397"/>
      <c r="T13" s="397"/>
    </row>
    <row r="14" spans="1:20" ht="18" customHeight="1" x14ac:dyDescent="0.25">
      <c r="B14" s="436" t="s">
        <v>57</v>
      </c>
      <c r="C14" s="436"/>
      <c r="D14" s="436"/>
      <c r="E14" s="110">
        <f>SUM(E5:E13)</f>
        <v>5698.7125966088497</v>
      </c>
      <c r="F14" s="35">
        <f>SUM(F5:F13)</f>
        <v>81.410179951554994</v>
      </c>
      <c r="G14"/>
      <c r="H14"/>
      <c r="R14" s="397"/>
      <c r="S14" s="397"/>
      <c r="T14" s="397"/>
    </row>
    <row r="15" spans="1:20" ht="18" customHeight="1" x14ac:dyDescent="0.25">
      <c r="B15" s="437" t="s">
        <v>47</v>
      </c>
      <c r="C15" s="433" t="s">
        <v>60</v>
      </c>
      <c r="D15" s="433"/>
      <c r="E15" s="112">
        <f>Materialkosten!$S$28*Batterieeinheit!E14</f>
        <v>398.90988176261953</v>
      </c>
      <c r="F15" s="108">
        <f>Materialkosten!$S$28*Batterieeinheit!F14</f>
        <v>5.6987125966088499</v>
      </c>
      <c r="G15"/>
      <c r="H15"/>
      <c r="P15"/>
      <c r="Q15"/>
      <c r="R15" s="397"/>
      <c r="S15" s="397"/>
      <c r="T15" s="397"/>
    </row>
    <row r="16" spans="1:20" ht="20.25" customHeight="1" thickBot="1" x14ac:dyDescent="0.3">
      <c r="B16" s="438"/>
      <c r="C16" s="441" t="s">
        <v>75</v>
      </c>
      <c r="D16" s="441"/>
      <c r="E16" s="113">
        <f>Fertigungskosten!$B$85*(E14+E15)</f>
        <v>609.76224783714702</v>
      </c>
      <c r="F16" s="109">
        <f>Fertigungskosten!$B$85*(F14+F15)*Fertigungskosten!I91</f>
        <v>8.7108892548163848</v>
      </c>
    </row>
    <row r="17" spans="2:11" ht="26.65" customHeight="1" thickTop="1" thickBot="1" x14ac:dyDescent="0.3">
      <c r="B17" s="439" t="s">
        <v>58</v>
      </c>
      <c r="C17" s="439"/>
      <c r="D17" s="439"/>
      <c r="E17" s="114">
        <f>SUM(E14:E16)</f>
        <v>6707.3847262086165</v>
      </c>
      <c r="F17" s="221">
        <f>SUM(F14:F16)</f>
        <v>95.819781802980231</v>
      </c>
    </row>
    <row r="18" spans="2:11" ht="21.4" customHeight="1" x14ac:dyDescent="0.25">
      <c r="B18" s="23"/>
      <c r="F18" s="400"/>
    </row>
    <row r="19" spans="2:11" ht="21.4" customHeight="1" x14ac:dyDescent="0.25">
      <c r="B19" s="23"/>
    </row>
    <row r="20" spans="2:11" x14ac:dyDescent="0.25">
      <c r="I20"/>
      <c r="J20"/>
      <c r="K20"/>
    </row>
    <row r="21" spans="2:11" ht="18" customHeight="1" x14ac:dyDescent="0.25">
      <c r="B21" s="200" t="str">
        <f>B4</f>
        <v>NMC-622</v>
      </c>
      <c r="C21" s="180" t="s">
        <v>55</v>
      </c>
      <c r="D21" s="180" t="s">
        <v>50</v>
      </c>
      <c r="E21" s="181" t="s">
        <v>46</v>
      </c>
      <c r="F21" s="181" t="s">
        <v>44</v>
      </c>
    </row>
    <row r="22" spans="2:11" x14ac:dyDescent="0.25">
      <c r="B22" s="434" t="s">
        <v>53</v>
      </c>
      <c r="C22" s="440" t="s">
        <v>48</v>
      </c>
      <c r="D22" s="243" t="s">
        <v>52</v>
      </c>
      <c r="E22" s="160">
        <f>Überblick!$C$15*F22</f>
        <v>140</v>
      </c>
      <c r="F22" s="159">
        <f>Fertigungskosten!E18*Fertigungskosten!I91</f>
        <v>2</v>
      </c>
      <c r="H22" s="198">
        <f>ROUND(SUM(E22,E25,E28),2)</f>
        <v>408.33</v>
      </c>
      <c r="I22" s="19" t="s">
        <v>52</v>
      </c>
      <c r="J22" s="198">
        <f>ROUND(SUM(F22,F25,F28),2)</f>
        <v>5.83</v>
      </c>
    </row>
    <row r="23" spans="2:11" x14ac:dyDescent="0.25">
      <c r="B23" s="434"/>
      <c r="C23" s="440"/>
      <c r="D23" s="244" t="s">
        <v>51</v>
      </c>
      <c r="E23" s="160">
        <f>Überblick!$C$15*F23</f>
        <v>101.50000000000001</v>
      </c>
      <c r="F23" s="159">
        <f>Fertigungskosten!D74</f>
        <v>1.4500000000000002</v>
      </c>
      <c r="H23" s="198">
        <f t="shared" ref="H23:H24" si="0">SUM(E23,E26,E29)</f>
        <v>388.5</v>
      </c>
      <c r="I23" s="19" t="s">
        <v>51</v>
      </c>
      <c r="J23" s="198">
        <f t="shared" ref="J23:J24" si="1">ROUND(SUM(F23,F26,F29),2)</f>
        <v>5.55</v>
      </c>
    </row>
    <row r="24" spans="2:11" x14ac:dyDescent="0.25">
      <c r="B24" s="434"/>
      <c r="C24" s="440"/>
      <c r="D24" s="245" t="s">
        <v>27</v>
      </c>
      <c r="E24" s="160">
        <f>Überblick!$C$15*F24</f>
        <v>162.30199999999999</v>
      </c>
      <c r="F24" s="159">
        <f>Fertigungskosten!D68+Fertigungskosten!E68</f>
        <v>2.3186</v>
      </c>
      <c r="H24" s="198">
        <f t="shared" si="0"/>
        <v>668.05200000000002</v>
      </c>
      <c r="I24" s="19" t="s">
        <v>27</v>
      </c>
      <c r="J24" s="198">
        <f t="shared" si="1"/>
        <v>9.5399999999999991</v>
      </c>
    </row>
    <row r="25" spans="2:11" x14ac:dyDescent="0.25">
      <c r="B25" s="434"/>
      <c r="C25" s="440" t="s">
        <v>49</v>
      </c>
      <c r="D25" s="243" t="s">
        <v>52</v>
      </c>
      <c r="E25" s="160">
        <f>Überblick!$C$15*F25</f>
        <v>105</v>
      </c>
      <c r="F25" s="159">
        <f>Fertigungskosten!E19*Fertigungskosten!I91</f>
        <v>1.5</v>
      </c>
      <c r="H25" s="198">
        <f>E32</f>
        <v>1.6199999999999999E-2</v>
      </c>
      <c r="I25" s="19" t="s">
        <v>59</v>
      </c>
      <c r="J25" s="198">
        <f>F32</f>
        <v>2.3142857142857142E-4</v>
      </c>
    </row>
    <row r="26" spans="2:11" x14ac:dyDescent="0.25">
      <c r="B26" s="434"/>
      <c r="C26" s="440"/>
      <c r="D26" s="244" t="s">
        <v>51</v>
      </c>
      <c r="E26" s="160">
        <f>Überblick!$C$15*F26</f>
        <v>199.5</v>
      </c>
      <c r="F26" s="159">
        <f>Fertigungskosten!D75</f>
        <v>2.85</v>
      </c>
      <c r="H26" s="198">
        <f t="shared" ref="H26:H27" si="2">E33</f>
        <v>20.417476666666669</v>
      </c>
      <c r="I26" s="19" t="s">
        <v>76</v>
      </c>
      <c r="J26" s="198">
        <f t="shared" ref="J26:J27" si="3">F33</f>
        <v>0.29167823809523813</v>
      </c>
    </row>
    <row r="27" spans="2:11" x14ac:dyDescent="0.25">
      <c r="B27" s="434"/>
      <c r="C27" s="440"/>
      <c r="D27" s="245" t="s">
        <v>27</v>
      </c>
      <c r="E27" s="160">
        <f>Überblick!$C$15*F27</f>
        <v>254.99600000000001</v>
      </c>
      <c r="F27" s="159">
        <f>Fertigungskosten!D69+Fertigungskosten!E69</f>
        <v>3.6428000000000003</v>
      </c>
      <c r="H27" s="198">
        <f t="shared" si="2"/>
        <v>146.48853333333335</v>
      </c>
      <c r="I27" s="19" t="s">
        <v>204</v>
      </c>
      <c r="J27" s="198">
        <f t="shared" si="3"/>
        <v>2.0926933333333335</v>
      </c>
    </row>
    <row r="28" spans="2:11" x14ac:dyDescent="0.25">
      <c r="B28" s="434"/>
      <c r="C28" s="440" t="s">
        <v>56</v>
      </c>
      <c r="D28" s="243" t="s">
        <v>52</v>
      </c>
      <c r="E28" s="160">
        <f>Überblick!$C$15*F28</f>
        <v>163.33333333333334</v>
      </c>
      <c r="F28" s="159">
        <f>Fertigungskosten!E20*Fertigungskosten!I91</f>
        <v>2.3333333333333335</v>
      </c>
    </row>
    <row r="29" spans="2:11" x14ac:dyDescent="0.25">
      <c r="B29" s="434"/>
      <c r="C29" s="440"/>
      <c r="D29" s="244" t="s">
        <v>51</v>
      </c>
      <c r="E29" s="160">
        <f>Überblick!$C$15*F29</f>
        <v>87.5</v>
      </c>
      <c r="F29" s="159">
        <f>Fertigungskosten!D76</f>
        <v>1.25</v>
      </c>
    </row>
    <row r="30" spans="2:11" x14ac:dyDescent="0.25">
      <c r="B30" s="435"/>
      <c r="C30" s="440"/>
      <c r="D30" s="245" t="s">
        <v>27</v>
      </c>
      <c r="E30" s="160">
        <f>Überblick!$C$15*F30</f>
        <v>250.75400000000002</v>
      </c>
      <c r="F30" s="159">
        <f>Fertigungskosten!D70+Fertigungskosten!E70</f>
        <v>3.5822000000000003</v>
      </c>
    </row>
    <row r="31" spans="2:11" ht="18" customHeight="1" x14ac:dyDescent="0.25">
      <c r="B31" s="436" t="s">
        <v>57</v>
      </c>
      <c r="C31" s="436"/>
      <c r="D31" s="436"/>
      <c r="E31" s="161">
        <f>SUM(E22:E30)</f>
        <v>1464.8853333333332</v>
      </c>
      <c r="F31" s="158">
        <f>SUM(F22:F30)</f>
        <v>20.926933333333334</v>
      </c>
    </row>
    <row r="32" spans="2:11" ht="24.75" customHeight="1" x14ac:dyDescent="0.25">
      <c r="B32" s="437" t="s">
        <v>54</v>
      </c>
      <c r="C32" s="445" t="s">
        <v>59</v>
      </c>
      <c r="D32" s="445"/>
      <c r="E32" s="160">
        <f>Überblick!$C$15*F32</f>
        <v>1.6199999999999999E-2</v>
      </c>
      <c r="F32" s="218">
        <f>Fertigungskosten!E29*Fertigungskosten!I91</f>
        <v>2.3142857142857142E-4</v>
      </c>
    </row>
    <row r="33" spans="1:16" ht="27.75" customHeight="1" x14ac:dyDescent="0.25">
      <c r="B33" s="442"/>
      <c r="C33" s="447" t="s">
        <v>76</v>
      </c>
      <c r="D33" s="447"/>
      <c r="E33" s="160">
        <f>Überblick!$C$15*F33</f>
        <v>20.417476666666669</v>
      </c>
      <c r="F33" s="220">
        <f>Fertigungskosten!C85*(Batterieeinheit!F22+Batterieeinheit!F25+Batterieeinheit!F28+Batterieeinheit!F32)</f>
        <v>0.29167823809523813</v>
      </c>
      <c r="P33" s="400"/>
    </row>
    <row r="34" spans="1:16" ht="30.75" customHeight="1" thickBot="1" x14ac:dyDescent="0.3">
      <c r="B34" s="438"/>
      <c r="C34" s="441" t="s">
        <v>75</v>
      </c>
      <c r="D34" s="441"/>
      <c r="E34" s="160">
        <f>Überblick!$C$15*F34</f>
        <v>146.48853333333335</v>
      </c>
      <c r="F34" s="219">
        <f>Fertigungskosten!D85*(Batterieeinheit!F31)*Fertigungskosten!I91</f>
        <v>2.0926933333333335</v>
      </c>
    </row>
    <row r="35" spans="1:16" ht="23.45" customHeight="1" thickTop="1" thickBot="1" x14ac:dyDescent="0.3">
      <c r="B35" s="443" t="s">
        <v>61</v>
      </c>
      <c r="C35" s="443"/>
      <c r="D35" s="443"/>
      <c r="E35" s="222">
        <f>SUM(E31:E34)</f>
        <v>1631.8075433333333</v>
      </c>
      <c r="F35" s="223">
        <f>SUM(F31:F34)</f>
        <v>23.311536333333333</v>
      </c>
    </row>
    <row r="37" spans="1:16" ht="15.75" thickBot="1" x14ac:dyDescent="0.3"/>
    <row r="38" spans="1:16" ht="26.25" customHeight="1" thickBot="1" x14ac:dyDescent="0.3">
      <c r="B38" s="444" t="s">
        <v>62</v>
      </c>
      <c r="C38" s="444"/>
      <c r="D38" s="444"/>
      <c r="E38" s="395">
        <f>E17+E35</f>
        <v>8339.1922695419489</v>
      </c>
      <c r="F38" s="403">
        <f>F17+F35</f>
        <v>119.13131813631357</v>
      </c>
    </row>
    <row r="41" spans="1:16" ht="23.25" x14ac:dyDescent="0.25">
      <c r="A41" s="278" t="s">
        <v>64</v>
      </c>
      <c r="B41" s="20"/>
      <c r="C41" s="20"/>
      <c r="D41" s="20"/>
      <c r="E41" s="20"/>
      <c r="F41" s="20"/>
      <c r="G41" s="20"/>
      <c r="H41" s="20"/>
      <c r="I41" s="20"/>
      <c r="J41" s="20"/>
      <c r="K41" s="20"/>
      <c r="L41" s="20"/>
    </row>
    <row r="43" spans="1:16" ht="18" customHeight="1" x14ac:dyDescent="0.25">
      <c r="B43" s="200" t="str">
        <f>B4</f>
        <v>NMC-622</v>
      </c>
      <c r="C43" s="180" t="s">
        <v>43</v>
      </c>
      <c r="D43" s="180"/>
      <c r="E43" s="181" t="s">
        <v>46</v>
      </c>
      <c r="F43" s="181" t="s">
        <v>44</v>
      </c>
    </row>
    <row r="44" spans="1:16" ht="25.9" customHeight="1" x14ac:dyDescent="0.25">
      <c r="B44" s="434" t="s">
        <v>45</v>
      </c>
      <c r="C44" s="446" t="s">
        <v>241</v>
      </c>
      <c r="D44" s="446"/>
      <c r="E44" s="207">
        <f>Materialkosten!I94*Fertigungskosten!I91</f>
        <v>1090</v>
      </c>
      <c r="F44" s="159">
        <f>E44/Überblick!$C$15</f>
        <v>15.571428571428571</v>
      </c>
      <c r="H44" s="225">
        <f>E44</f>
        <v>1090</v>
      </c>
      <c r="I44" t="str">
        <f>C44</f>
        <v>Gehäuse (inklusive Modulträger)</v>
      </c>
    </row>
    <row r="45" spans="1:16" ht="23.65" customHeight="1" x14ac:dyDescent="0.25">
      <c r="B45" s="434"/>
      <c r="C45" s="440" t="s">
        <v>41</v>
      </c>
      <c r="D45" s="440"/>
      <c r="E45" s="207">
        <f>Materialkosten!C94*Fertigungskosten!I91</f>
        <v>410</v>
      </c>
      <c r="F45" s="159">
        <f>E45/Überblick!$C$15</f>
        <v>5.8571428571428568</v>
      </c>
      <c r="H45" s="225">
        <f>E45</f>
        <v>410</v>
      </c>
      <c r="I45" t="str">
        <f>C45</f>
        <v>BMS</v>
      </c>
    </row>
    <row r="46" spans="1:16" ht="24.4" customHeight="1" x14ac:dyDescent="0.25">
      <c r="B46" s="434"/>
      <c r="C46" s="440" t="s">
        <v>63</v>
      </c>
      <c r="D46" s="440"/>
      <c r="E46" s="207">
        <f>Materialkosten!F94*Fertigungskosten!I91</f>
        <v>330</v>
      </c>
      <c r="F46" s="159">
        <f>E46/Überblick!$C$15</f>
        <v>4.7142857142857144</v>
      </c>
      <c r="H46" s="225">
        <f>E46</f>
        <v>330</v>
      </c>
      <c r="I46" t="str">
        <f>C46</f>
        <v>Thermomanagement</v>
      </c>
    </row>
    <row r="47" spans="1:16" ht="41.65" customHeight="1" x14ac:dyDescent="0.25">
      <c r="B47" s="434"/>
      <c r="C47" s="448" t="s">
        <v>239</v>
      </c>
      <c r="D47" s="448"/>
      <c r="E47" s="207">
        <f>Materialkosten!L94*Fertigungskosten!I91</f>
        <v>480</v>
      </c>
      <c r="F47" s="159">
        <f>E47/Überblick!$C$15</f>
        <v>6.8571428571428568</v>
      </c>
      <c r="H47" s="225">
        <f>E47</f>
        <v>480</v>
      </c>
      <c r="I47" t="str">
        <f>C47</f>
        <v>Sonstiges
(Anschlüsse, Kabel, Onboard-Charger)</v>
      </c>
    </row>
    <row r="48" spans="1:16" x14ac:dyDescent="0.25">
      <c r="B48" s="436" t="s">
        <v>57</v>
      </c>
      <c r="C48" s="436"/>
      <c r="D48" s="436"/>
      <c r="E48" s="208">
        <f>SUM(E44:E47)</f>
        <v>2310</v>
      </c>
      <c r="F48" s="300">
        <f>SUM(F44:F47)</f>
        <v>33</v>
      </c>
      <c r="H48" s="225"/>
      <c r="I48"/>
    </row>
    <row r="49" spans="2:9" ht="30.75" thickBot="1" x14ac:dyDescent="0.3">
      <c r="B49" s="174" t="s">
        <v>47</v>
      </c>
      <c r="C49" s="449" t="s">
        <v>75</v>
      </c>
      <c r="D49" s="449"/>
      <c r="E49" s="301">
        <f>Überblick!C15*F49</f>
        <v>115.50000000000001</v>
      </c>
      <c r="F49" s="219">
        <f>Fertigungskosten!E85*F48</f>
        <v>1.6500000000000001</v>
      </c>
    </row>
    <row r="50" spans="2:9" ht="17.25" thickTop="1" thickBot="1" x14ac:dyDescent="0.3">
      <c r="B50" s="439" t="s">
        <v>58</v>
      </c>
      <c r="C50" s="439"/>
      <c r="D50" s="439"/>
      <c r="E50" s="302">
        <f>SUM(E48:E49)</f>
        <v>2425.5</v>
      </c>
      <c r="F50" s="223">
        <f>SUM(F48:F49)</f>
        <v>34.65</v>
      </c>
    </row>
    <row r="51" spans="2:9" x14ac:dyDescent="0.25">
      <c r="B51" s="23"/>
    </row>
    <row r="52" spans="2:9" x14ac:dyDescent="0.25">
      <c r="B52" s="23"/>
    </row>
    <row r="54" spans="2:9" ht="18" customHeight="1" x14ac:dyDescent="0.25">
      <c r="B54" s="199" t="str">
        <f>B4</f>
        <v>NMC-622</v>
      </c>
      <c r="C54" s="180" t="s">
        <v>55</v>
      </c>
      <c r="D54" s="180" t="s">
        <v>50</v>
      </c>
      <c r="E54" s="181" t="s">
        <v>46</v>
      </c>
      <c r="F54" s="181" t="s">
        <v>44</v>
      </c>
    </row>
    <row r="55" spans="2:9" ht="20.100000000000001" customHeight="1" x14ac:dyDescent="0.25">
      <c r="B55" s="434" t="s">
        <v>53</v>
      </c>
      <c r="C55" s="440" t="s">
        <v>67</v>
      </c>
      <c r="D55" s="243" t="s">
        <v>52</v>
      </c>
      <c r="E55" s="207">
        <f>Überblick!$C$15*F55</f>
        <v>21</v>
      </c>
      <c r="F55" s="159">
        <f>0.3*Fertigungskosten!E21*Fertigungskosten!I91</f>
        <v>0.3</v>
      </c>
      <c r="H55" s="207">
        <f>E55+E58</f>
        <v>70</v>
      </c>
      <c r="I55" s="19" t="s">
        <v>52</v>
      </c>
    </row>
    <row r="56" spans="2:9" ht="20.100000000000001" customHeight="1" x14ac:dyDescent="0.25">
      <c r="B56" s="434"/>
      <c r="C56" s="440"/>
      <c r="D56" s="244" t="s">
        <v>51</v>
      </c>
      <c r="E56" s="207">
        <f>Überblick!$C$15*F56</f>
        <v>73.5</v>
      </c>
      <c r="F56" s="159">
        <f>0.3*Fertigungskosten!D77</f>
        <v>1.05</v>
      </c>
      <c r="H56" s="207">
        <f>E56+E59</f>
        <v>245</v>
      </c>
      <c r="I56" s="19" t="s">
        <v>51</v>
      </c>
    </row>
    <row r="57" spans="2:9" ht="20.100000000000001" customHeight="1" x14ac:dyDescent="0.25">
      <c r="B57" s="434"/>
      <c r="C57" s="440"/>
      <c r="D57" s="245" t="s">
        <v>27</v>
      </c>
      <c r="E57" s="207">
        <f>Überblick!$C$15*F57</f>
        <v>4.8384</v>
      </c>
      <c r="F57" s="159">
        <f>0.3*(Fertigungskosten!D71+Fertigungskosten!E71)</f>
        <v>6.9120000000000001E-2</v>
      </c>
      <c r="H57" s="207">
        <f>E57+E60</f>
        <v>16.128</v>
      </c>
      <c r="I57" s="19" t="s">
        <v>27</v>
      </c>
    </row>
    <row r="58" spans="2:9" ht="20.100000000000001" customHeight="1" x14ac:dyDescent="0.25">
      <c r="B58" s="434"/>
      <c r="C58" s="440" t="s">
        <v>202</v>
      </c>
      <c r="D58" s="243" t="s">
        <v>52</v>
      </c>
      <c r="E58" s="207">
        <f>Überblick!$C$15*F58</f>
        <v>49</v>
      </c>
      <c r="F58" s="159">
        <f>0.7*Fertigungskosten!E21*Fertigungskosten!I91</f>
        <v>0.7</v>
      </c>
      <c r="H58" s="207">
        <f>E62</f>
        <v>3.7999999999999996E-3</v>
      </c>
      <c r="I58" s="19" t="s">
        <v>59</v>
      </c>
    </row>
    <row r="59" spans="2:9" ht="20.100000000000001" customHeight="1" x14ac:dyDescent="0.25">
      <c r="B59" s="434"/>
      <c r="C59" s="440"/>
      <c r="D59" s="244" t="s">
        <v>51</v>
      </c>
      <c r="E59" s="207">
        <f>Überblick!$C$15*F59</f>
        <v>171.5</v>
      </c>
      <c r="F59" s="159">
        <f>0.7*Fertigungskosten!D77</f>
        <v>2.4500000000000002</v>
      </c>
      <c r="H59" s="207">
        <f>E63</f>
        <v>3.5001900000000004</v>
      </c>
      <c r="I59" s="19" t="s">
        <v>76</v>
      </c>
    </row>
    <row r="60" spans="2:9" ht="20.100000000000001" customHeight="1" x14ac:dyDescent="0.25">
      <c r="B60" s="435"/>
      <c r="C60" s="440"/>
      <c r="D60" s="245" t="s">
        <v>27</v>
      </c>
      <c r="E60" s="207">
        <f>Überblick!$C$15*F60</f>
        <v>11.289599999999998</v>
      </c>
      <c r="F60" s="159">
        <f>0.7*(Fertigungskosten!D71+Fertigungskosten!E71)</f>
        <v>0.16127999999999998</v>
      </c>
      <c r="H60" s="207">
        <f>E64</f>
        <v>33.1128</v>
      </c>
      <c r="I60" s="19" t="s">
        <v>75</v>
      </c>
    </row>
    <row r="61" spans="2:9" x14ac:dyDescent="0.25">
      <c r="B61" s="436" t="s">
        <v>57</v>
      </c>
      <c r="C61" s="436"/>
      <c r="D61" s="436"/>
      <c r="E61" s="208">
        <f>SUM(E55:E60)</f>
        <v>331.12799999999999</v>
      </c>
      <c r="F61" s="158">
        <f>SUM(F55:F60)</f>
        <v>4.7303999999999995</v>
      </c>
    </row>
    <row r="62" spans="2:9" x14ac:dyDescent="0.25">
      <c r="B62" s="437" t="s">
        <v>54</v>
      </c>
      <c r="C62" s="445" t="s">
        <v>59</v>
      </c>
      <c r="D62" s="445"/>
      <c r="E62" s="224">
        <f>Überblick!$C$15*F62</f>
        <v>3.7999999999999996E-3</v>
      </c>
      <c r="F62" s="218">
        <f>Fertigungskosten!E30*Fertigungskosten!I91</f>
        <v>5.4285714285714282E-5</v>
      </c>
    </row>
    <row r="63" spans="2:9" x14ac:dyDescent="0.25">
      <c r="B63" s="442"/>
      <c r="C63" s="447" t="s">
        <v>76</v>
      </c>
      <c r="D63" s="447"/>
      <c r="E63" s="225">
        <f>Überblick!$C$15*F63</f>
        <v>3.5001900000000004</v>
      </c>
      <c r="F63" s="220">
        <f>Fertigungskosten!F85*(F55+F58+F62)</f>
        <v>5.0002714285714289E-2</v>
      </c>
    </row>
    <row r="64" spans="2:9" ht="15.75" thickBot="1" x14ac:dyDescent="0.3">
      <c r="B64" s="438"/>
      <c r="C64" s="441" t="s">
        <v>75</v>
      </c>
      <c r="D64" s="441"/>
      <c r="E64" s="226">
        <f>Überblick!$C$15*F64</f>
        <v>33.1128</v>
      </c>
      <c r="F64" s="219">
        <f>Fertigungskosten!G85*(Batterieeinheit!F61)*Fertigungskosten!I91</f>
        <v>0.47303999999999996</v>
      </c>
    </row>
    <row r="65" spans="1:13" ht="17.25" thickTop="1" thickBot="1" x14ac:dyDescent="0.3">
      <c r="B65" s="443" t="s">
        <v>61</v>
      </c>
      <c r="C65" s="443"/>
      <c r="D65" s="443"/>
      <c r="E65" s="222">
        <f>SUM(E61:E64)</f>
        <v>367.74478999999997</v>
      </c>
      <c r="F65" s="219">
        <f>SUM(F61:F64)</f>
        <v>5.2534969999999994</v>
      </c>
    </row>
    <row r="67" spans="1:13" ht="15.75" thickBot="1" x14ac:dyDescent="0.3"/>
    <row r="68" spans="1:13" ht="21.75" customHeight="1" thickBot="1" x14ac:dyDescent="0.3">
      <c r="A68"/>
      <c r="B68" s="444" t="s">
        <v>77</v>
      </c>
      <c r="C68" s="444"/>
      <c r="D68" s="444"/>
      <c r="E68" s="395">
        <f>E50+E65</f>
        <v>2793.2447899999997</v>
      </c>
      <c r="F68" s="403">
        <f>F50+F65</f>
        <v>39.903497000000002</v>
      </c>
      <c r="G68"/>
      <c r="H68"/>
      <c r="I68"/>
      <c r="J68"/>
      <c r="K68"/>
      <c r="L68"/>
      <c r="M68"/>
    </row>
    <row r="72" spans="1:13" ht="7.5" customHeight="1" x14ac:dyDescent="0.25">
      <c r="A72" s="201"/>
      <c r="B72" s="201"/>
      <c r="C72" s="201"/>
      <c r="D72" s="20"/>
      <c r="E72" s="20"/>
      <c r="F72" s="20"/>
      <c r="G72" s="20"/>
      <c r="H72" s="20"/>
      <c r="I72" s="20"/>
      <c r="J72" s="20"/>
      <c r="K72" s="20"/>
      <c r="L72" s="20"/>
    </row>
    <row r="73" spans="1:13" ht="30" customHeight="1" x14ac:dyDescent="0.25">
      <c r="A73" s="201"/>
      <c r="B73" s="432" t="s">
        <v>214</v>
      </c>
      <c r="C73" s="432"/>
      <c r="D73" s="303">
        <f>E38+E68</f>
        <v>11132.43705954195</v>
      </c>
      <c r="E73" s="227"/>
      <c r="F73" s="404">
        <f>F38+F68</f>
        <v>159.03481513631357</v>
      </c>
      <c r="G73" s="20"/>
      <c r="H73" s="20"/>
      <c r="I73" s="20"/>
      <c r="J73" s="20"/>
      <c r="K73" s="20"/>
      <c r="L73" s="20"/>
    </row>
    <row r="74" spans="1:13" ht="7.5" customHeight="1" x14ac:dyDescent="0.25">
      <c r="A74" s="201"/>
      <c r="B74" s="201"/>
      <c r="C74" s="201"/>
      <c r="D74" s="20"/>
      <c r="E74" s="20"/>
      <c r="F74" s="20"/>
      <c r="G74" s="20"/>
      <c r="H74" s="20"/>
      <c r="I74" s="20"/>
      <c r="J74" s="20"/>
      <c r="K74" s="20"/>
      <c r="L74" s="20"/>
    </row>
    <row r="76" spans="1:13" x14ac:dyDescent="0.25">
      <c r="B76"/>
      <c r="C76"/>
      <c r="D76"/>
    </row>
    <row r="77" spans="1:13" x14ac:dyDescent="0.25">
      <c r="B77"/>
      <c r="C77"/>
      <c r="D77"/>
    </row>
    <row r="78" spans="1:13" x14ac:dyDescent="0.25">
      <c r="B78"/>
      <c r="C78" s="225"/>
      <c r="D78"/>
    </row>
    <row r="79" spans="1:13" x14ac:dyDescent="0.25">
      <c r="B79"/>
      <c r="D79"/>
    </row>
    <row r="80" spans="1:13" ht="24" customHeight="1" x14ac:dyDescent="0.25">
      <c r="B80"/>
      <c r="C80"/>
      <c r="D80"/>
    </row>
    <row r="81" spans="2:4" x14ac:dyDescent="0.25">
      <c r="B81"/>
      <c r="C81"/>
      <c r="D81"/>
    </row>
    <row r="82" spans="2:4" x14ac:dyDescent="0.25">
      <c r="B82"/>
      <c r="C82"/>
      <c r="D82"/>
    </row>
    <row r="83" spans="2:4" x14ac:dyDescent="0.25">
      <c r="B83"/>
      <c r="C83"/>
      <c r="D83"/>
    </row>
  </sheetData>
  <mergeCells count="36">
    <mergeCell ref="C33:D33"/>
    <mergeCell ref="C47:D47"/>
    <mergeCell ref="C63:D63"/>
    <mergeCell ref="C64:D64"/>
    <mergeCell ref="C49:D49"/>
    <mergeCell ref="C34:D34"/>
    <mergeCell ref="B62:B64"/>
    <mergeCell ref="C62:D62"/>
    <mergeCell ref="B65:D65"/>
    <mergeCell ref="B68:D68"/>
    <mergeCell ref="C58:C60"/>
    <mergeCell ref="B55:B60"/>
    <mergeCell ref="B44:B47"/>
    <mergeCell ref="B48:D48"/>
    <mergeCell ref="B50:D50"/>
    <mergeCell ref="C55:C57"/>
    <mergeCell ref="B61:D61"/>
    <mergeCell ref="C44:D44"/>
    <mergeCell ref="C45:D45"/>
    <mergeCell ref="C46:D46"/>
    <mergeCell ref="B73:C73"/>
    <mergeCell ref="C15:D15"/>
    <mergeCell ref="B5:B13"/>
    <mergeCell ref="B31:D31"/>
    <mergeCell ref="B15:B16"/>
    <mergeCell ref="B17:D17"/>
    <mergeCell ref="B14:D14"/>
    <mergeCell ref="C22:C24"/>
    <mergeCell ref="C25:C27"/>
    <mergeCell ref="C28:C30"/>
    <mergeCell ref="B22:B30"/>
    <mergeCell ref="C16:D16"/>
    <mergeCell ref="B32:B34"/>
    <mergeCell ref="B35:D35"/>
    <mergeCell ref="B38:D38"/>
    <mergeCell ref="C32:D32"/>
  </mergeCells>
  <pageMargins left="0.7" right="0.7" top="0.78740157499999996" bottom="0.78740157499999996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Tabelle4">
    <tabColor theme="9" tint="0.79998168889431442"/>
  </sheetPr>
  <dimension ref="A2:M92"/>
  <sheetViews>
    <sheetView showGridLines="0" topLeftCell="A32" zoomScale="85" zoomScaleNormal="85" workbookViewId="0">
      <selection activeCell="L8" sqref="L8"/>
    </sheetView>
  </sheetViews>
  <sheetFormatPr baseColWidth="10" defaultRowHeight="15" x14ac:dyDescent="0.25"/>
  <cols>
    <col min="2" max="2" width="20.5703125" customWidth="1"/>
    <col min="3" max="3" width="22.28515625" customWidth="1"/>
    <col min="4" max="4" width="22.85546875" customWidth="1"/>
    <col min="5" max="5" width="16.7109375" customWidth="1"/>
    <col min="6" max="6" width="13.5703125" customWidth="1"/>
    <col min="7" max="7" width="14" customWidth="1"/>
    <col min="8" max="8" width="15.42578125" customWidth="1"/>
    <col min="9" max="9" width="11.42578125" customWidth="1"/>
    <col min="10" max="10" width="15.7109375" customWidth="1"/>
    <col min="13" max="13" width="12.7109375" customWidth="1"/>
  </cols>
  <sheetData>
    <row r="2" spans="1:13" ht="21" x14ac:dyDescent="0.35">
      <c r="A2" s="169" t="s">
        <v>213</v>
      </c>
      <c r="B2" s="170"/>
      <c r="C2" s="170"/>
      <c r="D2" s="170"/>
      <c r="E2" s="170"/>
      <c r="F2" s="170"/>
      <c r="G2" s="170"/>
      <c r="H2" s="170"/>
      <c r="I2" s="170"/>
      <c r="J2" s="170"/>
      <c r="K2" s="170"/>
      <c r="L2" s="170"/>
      <c r="M2" s="170"/>
    </row>
    <row r="4" spans="1:13" ht="15.75" thickBot="1" x14ac:dyDescent="0.3"/>
    <row r="5" spans="1:13" ht="15.75" thickBot="1" x14ac:dyDescent="0.3">
      <c r="C5" s="464" t="s">
        <v>210</v>
      </c>
      <c r="D5" s="465"/>
      <c r="E5" s="465"/>
      <c r="F5" s="465"/>
      <c r="G5" s="465"/>
      <c r="H5" s="465"/>
      <c r="I5" s="466"/>
      <c r="J5" s="137" t="s">
        <v>183</v>
      </c>
    </row>
    <row r="6" spans="1:13" ht="15.75" thickBot="1" x14ac:dyDescent="0.3">
      <c r="C6" s="132">
        <v>2020</v>
      </c>
      <c r="D6" s="133">
        <v>2021</v>
      </c>
      <c r="E6" s="133">
        <v>2022</v>
      </c>
      <c r="F6" s="133">
        <v>2023</v>
      </c>
      <c r="G6" s="133">
        <v>2024</v>
      </c>
      <c r="H6" s="134">
        <v>2025</v>
      </c>
      <c r="I6" s="135">
        <v>2030</v>
      </c>
      <c r="J6" s="136">
        <v>2020</v>
      </c>
    </row>
    <row r="7" spans="1:13" x14ac:dyDescent="0.25">
      <c r="B7" s="129" t="s">
        <v>179</v>
      </c>
      <c r="C7" s="139">
        <v>12000000</v>
      </c>
      <c r="D7" s="140">
        <f>0.8*C7+0.2*H7</f>
        <v>11800000</v>
      </c>
      <c r="E7" s="140">
        <f>0.6*C7+0.4*H7</f>
        <v>11600000</v>
      </c>
      <c r="F7" s="140">
        <f>0.4*C7+0.6*H7</f>
        <v>11400000</v>
      </c>
      <c r="G7" s="140">
        <f>0.2*C7+0.8*H7</f>
        <v>11200000</v>
      </c>
      <c r="H7" s="141">
        <v>11000000</v>
      </c>
      <c r="I7" s="142">
        <v>8000000</v>
      </c>
      <c r="J7" s="143">
        <f>HLOOKUP($J$6,$C$6:$I$10,2)</f>
        <v>12000000</v>
      </c>
    </row>
    <row r="8" spans="1:13" x14ac:dyDescent="0.25">
      <c r="B8" s="130" t="s">
        <v>49</v>
      </c>
      <c r="C8" s="144">
        <v>9000000</v>
      </c>
      <c r="D8" s="145">
        <f t="shared" ref="D8:D10" si="0">0.8*C8+0.2*H8</f>
        <v>8600000</v>
      </c>
      <c r="E8" s="145">
        <f t="shared" ref="E8:E10" si="1">0.6*C8+0.4*H8</f>
        <v>8200000</v>
      </c>
      <c r="F8" s="145">
        <f t="shared" ref="F8:F10" si="2">0.4*C8+0.6*H8</f>
        <v>7800000</v>
      </c>
      <c r="G8" s="145">
        <f t="shared" ref="G8:G10" si="3">0.2*C8+0.8*H8</f>
        <v>7400000</v>
      </c>
      <c r="H8" s="15">
        <v>7000000</v>
      </c>
      <c r="I8" s="146">
        <v>4000000</v>
      </c>
      <c r="J8" s="147">
        <f>HLOOKUP($J$6,$C$6:$I$10,3)</f>
        <v>9000000</v>
      </c>
    </row>
    <row r="9" spans="1:13" x14ac:dyDescent="0.25">
      <c r="B9" s="130" t="s">
        <v>180</v>
      </c>
      <c r="C9" s="144">
        <v>14000000</v>
      </c>
      <c r="D9" s="145">
        <f t="shared" si="0"/>
        <v>13400000</v>
      </c>
      <c r="E9" s="145">
        <f t="shared" si="1"/>
        <v>12800000</v>
      </c>
      <c r="F9" s="145">
        <f t="shared" si="2"/>
        <v>12200000</v>
      </c>
      <c r="G9" s="145">
        <f t="shared" si="3"/>
        <v>11600000</v>
      </c>
      <c r="H9" s="15">
        <v>11000000</v>
      </c>
      <c r="I9" s="146">
        <v>8000000</v>
      </c>
      <c r="J9" s="147">
        <f>HLOOKUP($J$6,$C$6:$I$10,4)</f>
        <v>14000000</v>
      </c>
    </row>
    <row r="10" spans="1:13" ht="15.75" thickBot="1" x14ac:dyDescent="0.3">
      <c r="B10" s="131" t="s">
        <v>181</v>
      </c>
      <c r="C10" s="148">
        <v>6000000</v>
      </c>
      <c r="D10" s="149">
        <f t="shared" si="0"/>
        <v>5600000</v>
      </c>
      <c r="E10" s="149">
        <f t="shared" si="1"/>
        <v>5200000</v>
      </c>
      <c r="F10" s="149">
        <f t="shared" si="2"/>
        <v>4800000</v>
      </c>
      <c r="G10" s="149">
        <f t="shared" si="3"/>
        <v>4400000</v>
      </c>
      <c r="H10" s="150">
        <v>4000000</v>
      </c>
      <c r="I10" s="151">
        <v>3000000</v>
      </c>
      <c r="J10" s="152">
        <f>HLOOKUP($J$6,$C$6:$I$10,5)</f>
        <v>6000000</v>
      </c>
    </row>
    <row r="12" spans="1:13" ht="15.75" thickBot="1" x14ac:dyDescent="0.3"/>
    <row r="13" spans="1:13" ht="16.5" thickBot="1" x14ac:dyDescent="0.3">
      <c r="B13" s="450" t="s">
        <v>208</v>
      </c>
      <c r="C13" s="451"/>
      <c r="D13" s="264">
        <f>Überblick!C20</f>
        <v>6</v>
      </c>
      <c r="H13" s="132">
        <v>2020</v>
      </c>
      <c r="I13" s="134">
        <v>2025</v>
      </c>
      <c r="J13" s="135">
        <v>2030</v>
      </c>
    </row>
    <row r="14" spans="1:13" ht="16.5" thickBot="1" x14ac:dyDescent="0.3">
      <c r="B14" s="450" t="s">
        <v>182</v>
      </c>
      <c r="C14" s="451"/>
      <c r="D14" s="265">
        <f>Überblick!C19*1000*Überblick!C15</f>
        <v>7000000000</v>
      </c>
      <c r="E14" s="128"/>
      <c r="G14" s="129" t="s">
        <v>179</v>
      </c>
      <c r="H14" s="139">
        <v>12</v>
      </c>
      <c r="I14" s="141">
        <v>11</v>
      </c>
      <c r="J14" s="142">
        <v>8</v>
      </c>
    </row>
    <row r="15" spans="1:13" ht="15.75" thickBot="1" x14ac:dyDescent="0.3">
      <c r="G15" s="130" t="s">
        <v>49</v>
      </c>
      <c r="H15" s="144">
        <v>9</v>
      </c>
      <c r="I15" s="15">
        <v>7</v>
      </c>
      <c r="J15" s="146">
        <v>4</v>
      </c>
    </row>
    <row r="16" spans="1:13" x14ac:dyDescent="0.25">
      <c r="C16" s="452" t="s">
        <v>205</v>
      </c>
      <c r="D16" s="453"/>
      <c r="E16" s="454"/>
      <c r="G16" s="130" t="s">
        <v>180</v>
      </c>
      <c r="H16" s="144">
        <v>14</v>
      </c>
      <c r="I16" s="15">
        <v>11</v>
      </c>
      <c r="J16" s="146">
        <v>8</v>
      </c>
    </row>
    <row r="17" spans="2:10" ht="15.75" thickBot="1" x14ac:dyDescent="0.3">
      <c r="C17" s="138" t="s">
        <v>184</v>
      </c>
      <c r="D17" s="153" t="s">
        <v>185</v>
      </c>
      <c r="E17" s="154" t="s">
        <v>137</v>
      </c>
      <c r="G17" s="131" t="s">
        <v>181</v>
      </c>
      <c r="H17" s="148">
        <v>6</v>
      </c>
      <c r="I17" s="150">
        <v>4</v>
      </c>
      <c r="J17" s="151">
        <v>3</v>
      </c>
    </row>
    <row r="18" spans="2:10" x14ac:dyDescent="0.25">
      <c r="B18" s="129" t="s">
        <v>179</v>
      </c>
      <c r="C18" s="139">
        <f>J7*$D$14*0.000001</f>
        <v>84000000000</v>
      </c>
      <c r="D18" s="141">
        <f>C18/($D$13*$D$14*0.000001)</f>
        <v>2000000</v>
      </c>
      <c r="E18" s="155">
        <f>D18/1000000</f>
        <v>2</v>
      </c>
    </row>
    <row r="19" spans="2:10" x14ac:dyDescent="0.25">
      <c r="B19" s="130" t="s">
        <v>49</v>
      </c>
      <c r="C19" s="144">
        <f t="shared" ref="C19:C21" si="4">J8*$D$14*0.000001</f>
        <v>63000000000</v>
      </c>
      <c r="D19" s="15">
        <f t="shared" ref="D19:D21" si="5">C19/($D$13*$D$14*0.000001)</f>
        <v>1500000</v>
      </c>
      <c r="E19" s="157">
        <f t="shared" ref="E19:E21" si="6">D19/1000000</f>
        <v>1.5</v>
      </c>
    </row>
    <row r="20" spans="2:10" x14ac:dyDescent="0.25">
      <c r="B20" s="130" t="s">
        <v>180</v>
      </c>
      <c r="C20" s="144">
        <f t="shared" si="4"/>
        <v>98000000000</v>
      </c>
      <c r="D20" s="15">
        <f t="shared" si="5"/>
        <v>2333333.3333333335</v>
      </c>
      <c r="E20" s="157">
        <f t="shared" si="6"/>
        <v>2.3333333333333335</v>
      </c>
    </row>
    <row r="21" spans="2:10" ht="15.75" thickBot="1" x14ac:dyDescent="0.3">
      <c r="B21" s="131" t="s">
        <v>181</v>
      </c>
      <c r="C21" s="202">
        <f t="shared" si="4"/>
        <v>42000000000</v>
      </c>
      <c r="D21" s="150">
        <f t="shared" si="5"/>
        <v>1000000</v>
      </c>
      <c r="E21" s="156">
        <f t="shared" si="6"/>
        <v>1</v>
      </c>
    </row>
    <row r="22" spans="2:10" ht="15.75" thickBot="1" x14ac:dyDescent="0.3">
      <c r="B22" s="89"/>
      <c r="C22" s="204">
        <f>SUM(C18:C21)</f>
        <v>287000000000</v>
      </c>
      <c r="D22" s="209"/>
      <c r="E22" s="203"/>
    </row>
    <row r="23" spans="2:10" ht="15.75" thickBot="1" x14ac:dyDescent="0.3">
      <c r="C23" s="92"/>
    </row>
    <row r="24" spans="2:10" ht="16.5" thickBot="1" x14ac:dyDescent="0.3">
      <c r="B24" s="450" t="s">
        <v>209</v>
      </c>
      <c r="C24" s="451"/>
      <c r="D24" s="273">
        <v>10</v>
      </c>
    </row>
    <row r="25" spans="2:10" ht="16.5" thickBot="1" x14ac:dyDescent="0.3">
      <c r="B25" s="450" t="s">
        <v>182</v>
      </c>
      <c r="C25" s="451"/>
      <c r="D25" s="265">
        <f>Überblick!C19*1000*Überblick!C15</f>
        <v>7000000000</v>
      </c>
    </row>
    <row r="26" spans="2:10" ht="16.5" thickBot="1" x14ac:dyDescent="0.3">
      <c r="D26" s="215"/>
    </row>
    <row r="27" spans="2:10" ht="15.75" thickBot="1" x14ac:dyDescent="0.3">
      <c r="C27" s="452" t="s">
        <v>206</v>
      </c>
      <c r="D27" s="453"/>
      <c r="E27" s="454"/>
    </row>
    <row r="28" spans="2:10" ht="15.75" thickBot="1" x14ac:dyDescent="0.3">
      <c r="C28" s="138" t="s">
        <v>184</v>
      </c>
      <c r="D28" s="153" t="s">
        <v>185</v>
      </c>
      <c r="E28" s="154" t="s">
        <v>137</v>
      </c>
      <c r="G28" s="459" t="s">
        <v>211</v>
      </c>
      <c r="H28" s="460"/>
      <c r="I28" s="461"/>
    </row>
    <row r="29" spans="2:10" ht="15.75" thickBot="1" x14ac:dyDescent="0.3">
      <c r="B29" s="216" t="s">
        <v>207</v>
      </c>
      <c r="C29" s="139">
        <f>H29*$D$14*0.000001</f>
        <v>113400000000</v>
      </c>
      <c r="D29" s="141">
        <f>H29/($D$24*$D$25*0.000001)</f>
        <v>231.42857142857142</v>
      </c>
      <c r="E29" s="155">
        <f>D29/1000000</f>
        <v>2.3142857142857142E-4</v>
      </c>
      <c r="G29" s="131" t="s">
        <v>207</v>
      </c>
      <c r="H29" s="455">
        <v>16200000</v>
      </c>
      <c r="I29" s="456"/>
    </row>
    <row r="30" spans="2:10" ht="15.75" thickBot="1" x14ac:dyDescent="0.3">
      <c r="B30" s="217" t="s">
        <v>212</v>
      </c>
      <c r="C30" s="148">
        <f>H30*$D$14*0.000001</f>
        <v>26600000000</v>
      </c>
      <c r="D30" s="150">
        <f>H30/($D$24*$D$25*0.000001)</f>
        <v>54.285714285714285</v>
      </c>
      <c r="E30" s="156">
        <f>D30/1000000</f>
        <v>5.4285714285714282E-5</v>
      </c>
      <c r="G30" s="131" t="s">
        <v>212</v>
      </c>
      <c r="H30" s="457">
        <v>3800000</v>
      </c>
      <c r="I30" s="458"/>
    </row>
    <row r="34" spans="1:13" ht="21" x14ac:dyDescent="0.35">
      <c r="A34" s="169" t="s">
        <v>69</v>
      </c>
      <c r="B34" s="168"/>
      <c r="C34" s="168"/>
      <c r="D34" s="168"/>
      <c r="E34" s="168"/>
      <c r="F34" s="168"/>
      <c r="G34" s="168"/>
      <c r="H34" s="168"/>
      <c r="I34" s="168"/>
      <c r="J34" s="168"/>
      <c r="K34" s="168"/>
      <c r="L34" s="168"/>
      <c r="M34" s="168"/>
    </row>
    <row r="36" spans="1:13" ht="15.75" thickBot="1" x14ac:dyDescent="0.3"/>
    <row r="37" spans="1:13" ht="15" customHeight="1" x14ac:dyDescent="0.25">
      <c r="C37" s="479" t="s">
        <v>170</v>
      </c>
      <c r="D37" s="480"/>
      <c r="E37" s="477" t="s">
        <v>171</v>
      </c>
    </row>
    <row r="38" spans="1:13" ht="16.5" thickBot="1" x14ac:dyDescent="0.3">
      <c r="C38" s="87" t="s">
        <v>68</v>
      </c>
      <c r="D38" s="88" t="s">
        <v>40</v>
      </c>
      <c r="E38" s="478"/>
      <c r="I38" s="86"/>
      <c r="J38" s="86"/>
      <c r="K38" s="86"/>
    </row>
    <row r="39" spans="1:13" ht="15.75" thickBot="1" x14ac:dyDescent="0.3">
      <c r="B39" s="91" t="s">
        <v>304</v>
      </c>
      <c r="C39" s="385">
        <v>0.32</v>
      </c>
      <c r="D39" s="386">
        <v>0.14000000000000001</v>
      </c>
      <c r="E39" s="387">
        <v>50</v>
      </c>
    </row>
    <row r="40" spans="1:13" ht="15.75" thickBot="1" x14ac:dyDescent="0.3">
      <c r="B40" s="95" t="s">
        <v>13</v>
      </c>
      <c r="C40" s="388">
        <v>0.12</v>
      </c>
      <c r="D40" s="389">
        <v>0.04</v>
      </c>
      <c r="E40" s="390">
        <v>25</v>
      </c>
    </row>
    <row r="41" spans="1:13" ht="15.75" thickBot="1" x14ac:dyDescent="0.3">
      <c r="B41" s="95" t="s">
        <v>14</v>
      </c>
      <c r="C41" s="388">
        <v>0.09</v>
      </c>
      <c r="D41" s="389">
        <v>0.1</v>
      </c>
      <c r="E41" s="390">
        <v>5</v>
      </c>
    </row>
    <row r="42" spans="1:13" ht="15.75" thickBot="1" x14ac:dyDescent="0.3">
      <c r="B42" s="384" t="str">
        <f>VLOOKUP(Überblick!$C$21,$B$39:$E$41,1,0)</f>
        <v>Germany</v>
      </c>
      <c r="C42" s="255">
        <f>VLOOKUP(Überblick!$C$21,$B$39:$E$41,2,0)</f>
        <v>0.32</v>
      </c>
      <c r="D42" s="255">
        <f>VLOOKUP(Überblick!$C$21,$B$39:$E$41,3,0)</f>
        <v>0.14000000000000001</v>
      </c>
      <c r="E42" s="255">
        <f>VLOOKUP(Überblick!$C$21,$B$39:$E$41,4,0)</f>
        <v>50</v>
      </c>
      <c r="F42" s="115" t="s">
        <v>176</v>
      </c>
    </row>
    <row r="45" spans="1:13" ht="15.75" thickBot="1" x14ac:dyDescent="0.3"/>
    <row r="46" spans="1:13" ht="33" customHeight="1" thickBot="1" x14ac:dyDescent="0.3">
      <c r="C46" s="96" t="s">
        <v>172</v>
      </c>
      <c r="D46" s="116" t="s">
        <v>177</v>
      </c>
      <c r="E46" s="117" t="s">
        <v>178</v>
      </c>
    </row>
    <row r="47" spans="1:13" ht="15.75" thickBot="1" x14ac:dyDescent="0.3">
      <c r="B47" s="470" t="s">
        <v>215</v>
      </c>
      <c r="C47" s="97" t="s">
        <v>28</v>
      </c>
      <c r="D47" s="92">
        <v>0.13</v>
      </c>
      <c r="E47" s="89">
        <v>0</v>
      </c>
    </row>
    <row r="48" spans="1:13" ht="15.75" thickBot="1" x14ac:dyDescent="0.3">
      <c r="B48" s="471"/>
      <c r="C48" s="98" t="s">
        <v>29</v>
      </c>
      <c r="D48">
        <v>0.92</v>
      </c>
      <c r="E48" s="90">
        <v>10.1</v>
      </c>
    </row>
    <row r="49" spans="2:5" ht="15.75" thickBot="1" x14ac:dyDescent="0.3">
      <c r="B49" s="471"/>
      <c r="C49" s="99" t="s">
        <v>30</v>
      </c>
      <c r="D49">
        <v>0.53</v>
      </c>
      <c r="E49" s="90">
        <v>0</v>
      </c>
    </row>
    <row r="50" spans="2:5" ht="15.75" thickBot="1" x14ac:dyDescent="0.3">
      <c r="B50" s="471"/>
      <c r="C50" s="100" t="s">
        <v>31</v>
      </c>
      <c r="D50">
        <v>0.16</v>
      </c>
      <c r="E50" s="90">
        <v>0</v>
      </c>
    </row>
    <row r="51" spans="2:5" ht="15.75" thickBot="1" x14ac:dyDescent="0.3">
      <c r="B51" s="471"/>
      <c r="C51" s="101" t="s">
        <v>32</v>
      </c>
      <c r="D51" s="93">
        <v>0.4</v>
      </c>
      <c r="E51" s="94">
        <v>1.57</v>
      </c>
    </row>
    <row r="52" spans="2:5" ht="15.75" thickTop="1" x14ac:dyDescent="0.25">
      <c r="C52" s="106" t="s">
        <v>57</v>
      </c>
      <c r="D52" s="102">
        <f>SUM(D47:D51)</f>
        <v>2.14</v>
      </c>
      <c r="E52" s="103">
        <f>SUM(E47:E51)</f>
        <v>11.67</v>
      </c>
    </row>
    <row r="53" spans="2:5" ht="15.75" thickBot="1" x14ac:dyDescent="0.3">
      <c r="B53" s="470" t="s">
        <v>216</v>
      </c>
      <c r="C53" s="104" t="s">
        <v>291</v>
      </c>
      <c r="D53">
        <v>0.25</v>
      </c>
      <c r="E53" s="90">
        <v>0</v>
      </c>
    </row>
    <row r="54" spans="2:5" ht="15.75" thickBot="1" x14ac:dyDescent="0.3">
      <c r="B54" s="470"/>
      <c r="C54" s="100" t="s">
        <v>33</v>
      </c>
      <c r="D54">
        <v>1.59</v>
      </c>
      <c r="E54" s="90">
        <v>0</v>
      </c>
    </row>
    <row r="55" spans="2:5" ht="15.75" thickBot="1" x14ac:dyDescent="0.3">
      <c r="B55" s="470"/>
      <c r="C55" s="98" t="s">
        <v>34</v>
      </c>
      <c r="D55">
        <v>1.98</v>
      </c>
      <c r="E55" s="90">
        <v>0</v>
      </c>
    </row>
    <row r="56" spans="2:5" ht="15.75" thickBot="1" x14ac:dyDescent="0.3">
      <c r="B56" s="470"/>
      <c r="C56" s="99" t="s">
        <v>39</v>
      </c>
      <c r="D56">
        <v>1.62</v>
      </c>
      <c r="E56" s="90">
        <v>9.06</v>
      </c>
    </row>
    <row r="57" spans="2:5" ht="15.75" thickBot="1" x14ac:dyDescent="0.3">
      <c r="B57" s="470"/>
      <c r="C57" s="105" t="s">
        <v>38</v>
      </c>
      <c r="D57" s="93">
        <v>1.98</v>
      </c>
      <c r="E57" s="94">
        <v>0</v>
      </c>
    </row>
    <row r="58" spans="2:5" ht="15.75" thickTop="1" x14ac:dyDescent="0.25">
      <c r="C58" s="106" t="s">
        <v>57</v>
      </c>
      <c r="D58" s="102">
        <f>SUM(D52:D57)</f>
        <v>9.56</v>
      </c>
      <c r="E58" s="103">
        <f>SUM(E52:E57)</f>
        <v>20.73</v>
      </c>
    </row>
    <row r="59" spans="2:5" ht="15.75" thickBot="1" x14ac:dyDescent="0.3">
      <c r="B59" s="470" t="s">
        <v>217</v>
      </c>
      <c r="C59" s="100" t="s">
        <v>35</v>
      </c>
      <c r="D59">
        <v>9.92</v>
      </c>
      <c r="E59" s="90">
        <v>0.25</v>
      </c>
    </row>
    <row r="60" spans="2:5" ht="15.75" thickBot="1" x14ac:dyDescent="0.3">
      <c r="B60" s="471"/>
      <c r="C60" s="99" t="s">
        <v>36</v>
      </c>
      <c r="D60">
        <v>0</v>
      </c>
      <c r="E60" s="90">
        <v>0.4</v>
      </c>
    </row>
    <row r="61" spans="2:5" ht="15.75" thickBot="1" x14ac:dyDescent="0.3">
      <c r="B61" s="471"/>
      <c r="C61" s="105" t="s">
        <v>37</v>
      </c>
      <c r="D61" s="93">
        <v>0.99</v>
      </c>
      <c r="E61" s="94">
        <v>0</v>
      </c>
    </row>
    <row r="62" spans="2:5" ht="15.75" thickTop="1" x14ac:dyDescent="0.25">
      <c r="C62" s="106" t="s">
        <v>57</v>
      </c>
      <c r="D62" s="102">
        <f>SUM(D58:D61)</f>
        <v>20.47</v>
      </c>
      <c r="E62" s="103">
        <f>SUM(E58:E61)</f>
        <v>21.38</v>
      </c>
    </row>
    <row r="63" spans="2:5" ht="18.75" customHeight="1" x14ac:dyDescent="0.25">
      <c r="B63" s="470" t="s">
        <v>201</v>
      </c>
      <c r="C63" s="100" t="s">
        <v>67</v>
      </c>
      <c r="D63">
        <v>0.25</v>
      </c>
      <c r="E63" s="90">
        <v>0</v>
      </c>
    </row>
    <row r="64" spans="2:5" ht="18" customHeight="1" thickBot="1" x14ac:dyDescent="0.3">
      <c r="B64" s="471"/>
      <c r="C64" s="105" t="s">
        <v>202</v>
      </c>
      <c r="D64" s="93">
        <v>0.47</v>
      </c>
      <c r="E64" s="94">
        <v>0</v>
      </c>
    </row>
    <row r="65" spans="1:13" ht="16.5" thickTop="1" thickBot="1" x14ac:dyDescent="0.3">
      <c r="C65" s="206" t="s">
        <v>173</v>
      </c>
      <c r="D65" s="205">
        <f>SUM(D62:D64)</f>
        <v>21.189999999999998</v>
      </c>
      <c r="E65" s="205">
        <f>SUM(E62:E64)</f>
        <v>21.38</v>
      </c>
      <c r="F65" s="1"/>
    </row>
    <row r="66" spans="1:13" ht="15.75" thickBot="1" x14ac:dyDescent="0.3"/>
    <row r="67" spans="1:13" ht="15.75" thickBot="1" x14ac:dyDescent="0.3">
      <c r="D67" s="228" t="s">
        <v>174</v>
      </c>
      <c r="E67" s="121" t="s">
        <v>175</v>
      </c>
    </row>
    <row r="68" spans="1:13" ht="15.75" thickBot="1" x14ac:dyDescent="0.3">
      <c r="C68" s="118" t="s">
        <v>179</v>
      </c>
      <c r="D68" s="122">
        <f>SUM(D47:D51)*$C$42</f>
        <v>0.68480000000000008</v>
      </c>
      <c r="E68" s="123">
        <f>SUM(E47:E51)*$D$42</f>
        <v>1.6338000000000001</v>
      </c>
    </row>
    <row r="69" spans="1:13" ht="15.75" thickBot="1" x14ac:dyDescent="0.3">
      <c r="C69" s="120" t="s">
        <v>49</v>
      </c>
      <c r="D69" s="124">
        <f>SUM(D53:D57)*$C$42</f>
        <v>2.3744000000000001</v>
      </c>
      <c r="E69" s="125">
        <f>SUM(E53:E57)*$D$42</f>
        <v>1.2684000000000002</v>
      </c>
    </row>
    <row r="70" spans="1:13" ht="15.75" thickBot="1" x14ac:dyDescent="0.3">
      <c r="C70" s="119" t="s">
        <v>180</v>
      </c>
      <c r="D70" s="124">
        <f>SUM(D59:D61)*$C$42</f>
        <v>3.4912000000000001</v>
      </c>
      <c r="E70" s="125">
        <f>SUM(E59:E61)*$D$42</f>
        <v>9.1000000000000011E-2</v>
      </c>
    </row>
    <row r="71" spans="1:13" ht="15.75" thickBot="1" x14ac:dyDescent="0.3">
      <c r="C71" s="119" t="s">
        <v>203</v>
      </c>
      <c r="D71" s="126">
        <f>SUM(D63:D64)*$C$42</f>
        <v>0.23039999999999999</v>
      </c>
      <c r="E71" s="127">
        <f>SUM(E63:E64)*$C$42</f>
        <v>0</v>
      </c>
    </row>
    <row r="73" spans="1:13" x14ac:dyDescent="0.25">
      <c r="C73" s="166" t="s">
        <v>186</v>
      </c>
      <c r="D73" s="166" t="s">
        <v>137</v>
      </c>
      <c r="J73" s="58"/>
    </row>
    <row r="74" spans="1:13" ht="15.75" thickBot="1" x14ac:dyDescent="0.3">
      <c r="B74" s="163" t="s">
        <v>179</v>
      </c>
      <c r="C74" s="383">
        <v>2.9000000000000001E-2</v>
      </c>
      <c r="D74" s="162">
        <f>$E$42*C74</f>
        <v>1.4500000000000002</v>
      </c>
      <c r="H74" s="13"/>
      <c r="J74" s="18"/>
    </row>
    <row r="75" spans="1:13" ht="15.75" thickBot="1" x14ac:dyDescent="0.3">
      <c r="B75" s="164" t="s">
        <v>49</v>
      </c>
      <c r="C75" s="383">
        <v>5.7000000000000002E-2</v>
      </c>
      <c r="D75" s="162">
        <f t="shared" ref="D75:D77" si="7">$E$42*C75</f>
        <v>2.85</v>
      </c>
    </row>
    <row r="76" spans="1:13" ht="15.75" thickBot="1" x14ac:dyDescent="0.3">
      <c r="B76" s="165" t="s">
        <v>180</v>
      </c>
      <c r="C76" s="383">
        <v>2.5000000000000001E-2</v>
      </c>
      <c r="D76" s="162">
        <f t="shared" si="7"/>
        <v>1.25</v>
      </c>
    </row>
    <row r="77" spans="1:13" x14ac:dyDescent="0.25">
      <c r="B77" s="165" t="s">
        <v>203</v>
      </c>
      <c r="C77" s="383">
        <v>7.0000000000000007E-2</v>
      </c>
      <c r="D77" s="162">
        <f t="shared" si="7"/>
        <v>3.5000000000000004</v>
      </c>
    </row>
    <row r="79" spans="1:13" ht="21" x14ac:dyDescent="0.35">
      <c r="A79" s="169" t="s">
        <v>72</v>
      </c>
      <c r="B79" s="168"/>
      <c r="C79" s="168"/>
      <c r="D79" s="168"/>
      <c r="E79" s="168"/>
      <c r="F79" s="168"/>
      <c r="G79" s="168"/>
      <c r="H79" s="168"/>
      <c r="I79" s="168"/>
      <c r="J79" s="168"/>
      <c r="K79" s="168"/>
      <c r="L79" s="168"/>
      <c r="M79" s="168"/>
    </row>
    <row r="81" spans="1:13" ht="15.75" thickBot="1" x14ac:dyDescent="0.3"/>
    <row r="82" spans="1:13" x14ac:dyDescent="0.25">
      <c r="B82" s="472" t="s">
        <v>21</v>
      </c>
      <c r="C82" s="473"/>
      <c r="D82" s="473"/>
      <c r="E82" s="474" t="s">
        <v>73</v>
      </c>
      <c r="F82" s="475"/>
      <c r="G82" s="476"/>
    </row>
    <row r="83" spans="1:13" x14ac:dyDescent="0.25">
      <c r="B83" s="256" t="s">
        <v>25</v>
      </c>
      <c r="C83" s="467" t="s">
        <v>74</v>
      </c>
      <c r="D83" s="468"/>
      <c r="E83" s="257" t="s">
        <v>25</v>
      </c>
      <c r="F83" s="467" t="s">
        <v>74</v>
      </c>
      <c r="G83" s="469"/>
    </row>
    <row r="84" spans="1:13" ht="28.9" customHeight="1" x14ac:dyDescent="0.25">
      <c r="B84" s="26" t="s">
        <v>75</v>
      </c>
      <c r="C84" s="31" t="s">
        <v>76</v>
      </c>
      <c r="D84" s="30" t="s">
        <v>75</v>
      </c>
      <c r="E84" s="28" t="s">
        <v>75</v>
      </c>
      <c r="F84" s="27" t="s">
        <v>76</v>
      </c>
      <c r="G84" s="29" t="s">
        <v>75</v>
      </c>
    </row>
    <row r="85" spans="1:13" ht="20.65" customHeight="1" thickBot="1" x14ac:dyDescent="0.3">
      <c r="B85" s="274">
        <v>0.1</v>
      </c>
      <c r="C85" s="275">
        <v>0.05</v>
      </c>
      <c r="D85" s="275">
        <v>0.1</v>
      </c>
      <c r="E85" s="276">
        <v>0.05</v>
      </c>
      <c r="F85" s="275">
        <v>0.05</v>
      </c>
      <c r="G85" s="277">
        <v>0.1</v>
      </c>
    </row>
    <row r="89" spans="1:13" ht="22.15" customHeight="1" x14ac:dyDescent="0.35">
      <c r="A89" s="169" t="s">
        <v>231</v>
      </c>
      <c r="B89" s="168"/>
      <c r="C89" s="286" t="str">
        <f>Überblick!C22</f>
        <v>deaktiviert</v>
      </c>
      <c r="D89" s="168"/>
      <c r="E89" s="168"/>
      <c r="F89" s="168"/>
      <c r="G89" s="168"/>
      <c r="H89" s="168"/>
      <c r="I89" s="168"/>
      <c r="J89" s="168"/>
      <c r="K89" s="168"/>
      <c r="L89" s="168"/>
      <c r="M89" s="168"/>
    </row>
    <row r="90" spans="1:13" ht="15.75" thickBot="1" x14ac:dyDescent="0.3"/>
    <row r="91" spans="1:13" ht="19.7" customHeight="1" thickBot="1" x14ac:dyDescent="0.3">
      <c r="B91" s="462" t="s">
        <v>232</v>
      </c>
      <c r="C91" s="463"/>
      <c r="D91" s="279"/>
      <c r="E91" s="281" t="s">
        <v>233</v>
      </c>
      <c r="F91" s="284">
        <v>-0.3</v>
      </c>
      <c r="H91" s="287" t="s">
        <v>143</v>
      </c>
      <c r="I91" s="288">
        <f>IF(C89="aktiviert",((Überblick!C15*Überblick!C19*0.001)/F92)^F91,1)</f>
        <v>1</v>
      </c>
      <c r="J91" s="289"/>
    </row>
    <row r="92" spans="1:13" ht="19.899999999999999" customHeight="1" x14ac:dyDescent="0.35">
      <c r="B92" s="462"/>
      <c r="C92" s="463"/>
      <c r="D92" s="58"/>
      <c r="E92" s="282" t="s">
        <v>234</v>
      </c>
      <c r="F92" s="283">
        <v>5</v>
      </c>
    </row>
  </sheetData>
  <mergeCells count="22">
    <mergeCell ref="B91:B92"/>
    <mergeCell ref="C91:C92"/>
    <mergeCell ref="C5:I5"/>
    <mergeCell ref="C83:D83"/>
    <mergeCell ref="F83:G83"/>
    <mergeCell ref="B47:B51"/>
    <mergeCell ref="B53:B57"/>
    <mergeCell ref="B59:B61"/>
    <mergeCell ref="B82:D82"/>
    <mergeCell ref="E82:G82"/>
    <mergeCell ref="E37:E38"/>
    <mergeCell ref="C37:D37"/>
    <mergeCell ref="B13:C13"/>
    <mergeCell ref="C16:E16"/>
    <mergeCell ref="B14:C14"/>
    <mergeCell ref="B63:B64"/>
    <mergeCell ref="B24:C24"/>
    <mergeCell ref="B25:C25"/>
    <mergeCell ref="C27:E27"/>
    <mergeCell ref="H29:I29"/>
    <mergeCell ref="H30:I30"/>
    <mergeCell ref="G28:I28"/>
  </mergeCells>
  <phoneticPr fontId="14" type="noConversion"/>
  <dataValidations count="1">
    <dataValidation type="list" allowBlank="1" showInputMessage="1" showErrorMessage="1" sqref="J6" xr:uid="{47D1652C-EED5-428D-8F55-E64D951A1653}">
      <formula1>$C$6:$I$6</formula1>
    </dataValidation>
  </dataValidations>
  <pageMargins left="0.7" right="0.7" top="0.78740157499999996" bottom="0.78740157499999996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443FC2-5534-4466-9E74-F0D8FDF88763}">
  <sheetPr codeName="Tabelle9">
    <tabColor theme="9" tint="0.79998168889431442"/>
  </sheetPr>
  <dimension ref="A2:X98"/>
  <sheetViews>
    <sheetView showGridLines="0" zoomScale="60" zoomScaleNormal="60" workbookViewId="0">
      <selection activeCell="P87" sqref="P87"/>
    </sheetView>
  </sheetViews>
  <sheetFormatPr baseColWidth="10" defaultColWidth="11.42578125" defaultRowHeight="15" x14ac:dyDescent="0.25"/>
  <cols>
    <col min="1" max="1" width="4.28515625" customWidth="1"/>
    <col min="2" max="2" width="22" customWidth="1"/>
    <col min="3" max="3" width="26" customWidth="1"/>
    <col min="4" max="4" width="14.42578125" customWidth="1"/>
    <col min="5" max="5" width="17.28515625" customWidth="1"/>
    <col min="6" max="6" width="19.7109375" customWidth="1"/>
    <col min="7" max="7" width="11.28515625" customWidth="1"/>
    <col min="8" max="8" width="16" customWidth="1"/>
    <col min="9" max="9" width="12.28515625" customWidth="1"/>
    <col min="10" max="10" width="10.5703125" customWidth="1"/>
    <col min="11" max="11" width="16.7109375" customWidth="1"/>
    <col min="12" max="12" width="12.140625" customWidth="1"/>
    <col min="13" max="13" width="12.5703125" customWidth="1"/>
    <col min="14" max="14" width="11.5703125" customWidth="1"/>
    <col min="15" max="15" width="13.5703125" customWidth="1"/>
    <col min="16" max="16" width="13.42578125" customWidth="1"/>
    <col min="17" max="17" width="11.85546875" customWidth="1"/>
    <col min="18" max="18" width="12.7109375" customWidth="1"/>
    <col min="19" max="19" width="15.28515625" customWidth="1"/>
    <col min="20" max="20" width="14.28515625" customWidth="1"/>
    <col min="21" max="21" width="15.85546875" customWidth="1"/>
    <col min="22" max="22" width="14.28515625" customWidth="1"/>
    <col min="23" max="23" width="19.140625" customWidth="1"/>
    <col min="24" max="24" width="16" customWidth="1"/>
    <col min="25" max="25" width="16.42578125" customWidth="1"/>
    <col min="27" max="27" width="12.85546875" customWidth="1"/>
  </cols>
  <sheetData>
    <row r="2" spans="1:23" ht="24.4" customHeight="1" x14ac:dyDescent="0.35">
      <c r="A2" s="171"/>
      <c r="B2" s="171" t="s">
        <v>191</v>
      </c>
      <c r="C2" s="171"/>
      <c r="D2" s="171"/>
      <c r="E2" s="171"/>
      <c r="F2" s="171"/>
      <c r="G2" s="171"/>
      <c r="H2" s="171"/>
      <c r="I2" s="171"/>
      <c r="J2" s="171"/>
      <c r="K2" s="171"/>
      <c r="L2" s="171"/>
      <c r="M2" s="171"/>
      <c r="N2" s="171"/>
      <c r="O2" s="171"/>
      <c r="P2" s="171"/>
      <c r="Q2" s="171"/>
      <c r="R2" s="171"/>
      <c r="S2" s="171"/>
      <c r="T2" s="171"/>
      <c r="U2" s="171"/>
      <c r="V2" s="172"/>
    </row>
    <row r="3" spans="1:23" ht="13.5" customHeight="1" thickBot="1" x14ac:dyDescent="0.3">
      <c r="B3" s="43"/>
    </row>
    <row r="4" spans="1:23" ht="41.45" customHeight="1" thickBot="1" x14ac:dyDescent="0.3">
      <c r="B4" s="107" t="s">
        <v>78</v>
      </c>
      <c r="C4" s="79" t="s">
        <v>190</v>
      </c>
      <c r="D4" s="84" t="s">
        <v>157</v>
      </c>
      <c r="E4" s="84" t="s">
        <v>161</v>
      </c>
      <c r="F4" s="84" t="s">
        <v>79</v>
      </c>
      <c r="G4" s="84" t="s">
        <v>163</v>
      </c>
      <c r="H4" s="84" t="s">
        <v>80</v>
      </c>
      <c r="I4" s="84" t="s">
        <v>162</v>
      </c>
      <c r="J4" s="84" t="s">
        <v>81</v>
      </c>
      <c r="K4" s="84" t="s">
        <v>164</v>
      </c>
      <c r="L4" s="84" t="s">
        <v>165</v>
      </c>
      <c r="M4" s="84" t="s">
        <v>166</v>
      </c>
      <c r="N4" s="84" t="s">
        <v>167</v>
      </c>
      <c r="O4" s="84" t="s">
        <v>168</v>
      </c>
      <c r="P4" s="84" t="s">
        <v>96</v>
      </c>
      <c r="Q4" s="84" t="s">
        <v>169</v>
      </c>
      <c r="R4" s="84" t="s">
        <v>100</v>
      </c>
      <c r="S4" s="84" t="s">
        <v>148</v>
      </c>
      <c r="T4" s="85" t="s">
        <v>82</v>
      </c>
    </row>
    <row r="5" spans="1:23" ht="18.75" x14ac:dyDescent="0.25">
      <c r="B5" s="82" t="s">
        <v>92</v>
      </c>
      <c r="C5" s="80" t="s">
        <v>149</v>
      </c>
      <c r="D5" s="178">
        <f>C$17+C$18/3+C$19/3+C$20/3+C$21*2</f>
        <v>96.46</v>
      </c>
      <c r="E5" s="45">
        <f>1*C$17</f>
        <v>6.94</v>
      </c>
      <c r="F5" s="46">
        <f t="shared" ref="F5:F7" si="0">E5/D5</f>
        <v>7.1946921003524789E-2</v>
      </c>
      <c r="G5" s="45">
        <f>1/3*C20</f>
        <v>19.643333333333331</v>
      </c>
      <c r="H5" s="46">
        <f t="shared" ref="H5:H13" si="1">G5/D5</f>
        <v>0.20364226968000551</v>
      </c>
      <c r="I5" s="45">
        <f>1/3*C18</f>
        <v>19.563333333333333</v>
      </c>
      <c r="J5" s="46">
        <f t="shared" ref="J5:J9" si="2">I5/D5</f>
        <v>0.20281291036008017</v>
      </c>
      <c r="K5" s="47">
        <f>1/3*C19</f>
        <v>18.313333333333333</v>
      </c>
      <c r="L5" s="46">
        <f t="shared" ref="L5:L13" si="3">K5/D5</f>
        <v>0.18985417098624646</v>
      </c>
      <c r="M5" s="47">
        <v>0</v>
      </c>
      <c r="N5" s="46">
        <f>M5/D5</f>
        <v>0</v>
      </c>
      <c r="O5" s="47">
        <v>0</v>
      </c>
      <c r="P5" s="46">
        <f>O5/D5</f>
        <v>0</v>
      </c>
      <c r="Q5" s="47">
        <v>0</v>
      </c>
      <c r="R5" s="46">
        <f>Q5/D5</f>
        <v>0</v>
      </c>
      <c r="S5" s="45">
        <v>0</v>
      </c>
      <c r="T5" s="48">
        <f>S5/D5</f>
        <v>0</v>
      </c>
    </row>
    <row r="6" spans="1:23" s="44" customFormat="1" ht="18.75" x14ac:dyDescent="0.25">
      <c r="B6" s="82" t="s">
        <v>93</v>
      </c>
      <c r="C6" s="80" t="s">
        <v>150</v>
      </c>
      <c r="D6" s="178">
        <f>C$17+C$18*0.5+C$19*0.3+C$20*0.2+C$21*2</f>
        <v>96.552999999999997</v>
      </c>
      <c r="E6" s="45">
        <f>1*C$17</f>
        <v>6.94</v>
      </c>
      <c r="F6" s="46">
        <f t="shared" si="0"/>
        <v>7.1877621617142923E-2</v>
      </c>
      <c r="G6" s="45">
        <f>0.2*C$20</f>
        <v>11.786000000000001</v>
      </c>
      <c r="H6" s="46">
        <f t="shared" si="1"/>
        <v>0.12206767267718249</v>
      </c>
      <c r="I6" s="45">
        <f>0.5*C18</f>
        <v>29.344999999999999</v>
      </c>
      <c r="J6" s="46">
        <f t="shared" si="2"/>
        <v>0.30392634097335142</v>
      </c>
      <c r="K6" s="47">
        <f>0.3*C19</f>
        <v>16.481999999999999</v>
      </c>
      <c r="L6" s="46">
        <f t="shared" si="3"/>
        <v>0.17070417283771608</v>
      </c>
      <c r="M6" s="47">
        <v>0</v>
      </c>
      <c r="N6" s="46">
        <f t="shared" ref="N6:N13" si="4">M6/D6</f>
        <v>0</v>
      </c>
      <c r="O6" s="47">
        <v>0</v>
      </c>
      <c r="P6" s="46">
        <f t="shared" ref="P6:P13" si="5">O6/D6</f>
        <v>0</v>
      </c>
      <c r="Q6" s="47">
        <v>0</v>
      </c>
      <c r="R6" s="46">
        <f t="shared" ref="R6:R13" si="6">Q6/D6</f>
        <v>0</v>
      </c>
      <c r="S6" s="45">
        <v>0</v>
      </c>
      <c r="T6" s="48">
        <f>S6/D6</f>
        <v>0</v>
      </c>
    </row>
    <row r="7" spans="1:23" ht="18.75" x14ac:dyDescent="0.25">
      <c r="B7" s="82" t="s">
        <v>94</v>
      </c>
      <c r="C7" s="80" t="s">
        <v>151</v>
      </c>
      <c r="D7" s="178">
        <f>C$17+C$18*0.6+C$19*0.2+C$20*0.2+C$21*2</f>
        <v>96.927999999999997</v>
      </c>
      <c r="E7" s="45">
        <f>1*C$17</f>
        <v>6.94</v>
      </c>
      <c r="F7" s="46">
        <f t="shared" si="0"/>
        <v>7.159953780125454E-2</v>
      </c>
      <c r="G7" s="45">
        <f>0.2*C$20</f>
        <v>11.786000000000001</v>
      </c>
      <c r="H7" s="46">
        <f t="shared" si="1"/>
        <v>0.12159541102674151</v>
      </c>
      <c r="I7" s="45">
        <f>0.6*C18</f>
        <v>35.213999999999999</v>
      </c>
      <c r="J7" s="46">
        <f t="shared" si="2"/>
        <v>0.36330059425552985</v>
      </c>
      <c r="K7" s="47">
        <f>0.2*C19</f>
        <v>10.988</v>
      </c>
      <c r="L7" s="46">
        <f>K7/D7</f>
        <v>0.11336249587322549</v>
      </c>
      <c r="M7" s="47">
        <v>0</v>
      </c>
      <c r="N7" s="46">
        <f t="shared" si="4"/>
        <v>0</v>
      </c>
      <c r="O7" s="47">
        <v>0</v>
      </c>
      <c r="P7" s="46">
        <f t="shared" si="5"/>
        <v>0</v>
      </c>
      <c r="Q7" s="47">
        <v>0</v>
      </c>
      <c r="R7" s="46">
        <f t="shared" si="6"/>
        <v>0</v>
      </c>
      <c r="S7" s="45">
        <v>0</v>
      </c>
      <c r="T7" s="48">
        <f>S7/D7</f>
        <v>0</v>
      </c>
    </row>
    <row r="8" spans="1:23" ht="18.75" x14ac:dyDescent="0.25">
      <c r="B8" s="82" t="s">
        <v>305</v>
      </c>
      <c r="C8" s="80" t="s">
        <v>306</v>
      </c>
      <c r="D8" s="178">
        <f>C$17+C$18*0.7+C$19*0.2+C$20*0.1+C$21*2</f>
        <v>96.903999999999996</v>
      </c>
      <c r="E8" s="45">
        <f>1*C$17</f>
        <v>6.94</v>
      </c>
      <c r="F8" s="46">
        <f>E8/D8</f>
        <v>7.1617270700899863E-2</v>
      </c>
      <c r="G8" s="45">
        <f>0.1*C20</f>
        <v>5.8930000000000007</v>
      </c>
      <c r="H8" s="46">
        <f t="shared" ref="H8" si="7">G8/D8</f>
        <v>6.0812763147032121E-2</v>
      </c>
      <c r="I8" s="45">
        <f>0.7*C18</f>
        <v>41.082999999999998</v>
      </c>
      <c r="J8" s="46">
        <f>I8/D8</f>
        <v>0.42395566746470736</v>
      </c>
      <c r="K8" s="47">
        <f>0.2*C19</f>
        <v>10.988</v>
      </c>
      <c r="L8" s="46">
        <f>K8/D8</f>
        <v>0.11339057211260629</v>
      </c>
      <c r="M8" s="47">
        <v>0</v>
      </c>
      <c r="N8" s="46">
        <f t="shared" ref="N8" si="8">M8/D8</f>
        <v>0</v>
      </c>
      <c r="O8" s="47">
        <v>0</v>
      </c>
      <c r="P8" s="46">
        <f t="shared" ref="P8" si="9">O8/D8</f>
        <v>0</v>
      </c>
      <c r="Q8" s="47">
        <v>0</v>
      </c>
      <c r="R8" s="46">
        <f t="shared" ref="R8" si="10">Q8/D8</f>
        <v>0</v>
      </c>
      <c r="S8" s="45">
        <v>0</v>
      </c>
      <c r="T8" s="48">
        <f>S8/D8</f>
        <v>0</v>
      </c>
    </row>
    <row r="9" spans="1:23" ht="18.75" x14ac:dyDescent="0.25">
      <c r="B9" s="82" t="s">
        <v>95</v>
      </c>
      <c r="C9" s="80" t="s">
        <v>152</v>
      </c>
      <c r="D9" s="178">
        <f>C$17+C$18*0.8+C$19*0.1+C$20*0.1+C$21*2</f>
        <v>97.278999999999996</v>
      </c>
      <c r="E9" s="45">
        <f>1*C$17</f>
        <v>6.94</v>
      </c>
      <c r="F9" s="46">
        <f>E9/D9</f>
        <v>7.1341193885627943E-2</v>
      </c>
      <c r="G9" s="45">
        <f>0.1*C20</f>
        <v>5.8930000000000007</v>
      </c>
      <c r="H9" s="46">
        <f t="shared" si="1"/>
        <v>6.0578336537176584E-2</v>
      </c>
      <c r="I9" s="45">
        <f>0.8*C18</f>
        <v>46.951999999999998</v>
      </c>
      <c r="J9" s="46">
        <f t="shared" si="2"/>
        <v>0.4826529877979831</v>
      </c>
      <c r="K9" s="47">
        <f>0.1*C19</f>
        <v>5.4939999999999998</v>
      </c>
      <c r="L9" s="46">
        <f t="shared" si="3"/>
        <v>5.6476731874299697E-2</v>
      </c>
      <c r="M9" s="47">
        <v>0</v>
      </c>
      <c r="N9" s="46">
        <f t="shared" si="4"/>
        <v>0</v>
      </c>
      <c r="O9" s="47">
        <v>0</v>
      </c>
      <c r="P9" s="46">
        <f t="shared" si="5"/>
        <v>0</v>
      </c>
      <c r="Q9" s="47">
        <v>0</v>
      </c>
      <c r="R9" s="46">
        <f t="shared" si="6"/>
        <v>0</v>
      </c>
      <c r="S9" s="45">
        <v>0</v>
      </c>
      <c r="T9" s="48">
        <f>S9/D9</f>
        <v>0</v>
      </c>
    </row>
    <row r="10" spans="1:23" ht="18.75" x14ac:dyDescent="0.25">
      <c r="B10" s="82" t="s">
        <v>11</v>
      </c>
      <c r="C10" s="80" t="s">
        <v>153</v>
      </c>
      <c r="D10" s="178">
        <f>C$17+C$18*0.8+C20*0.15+C$22*0.05+C$21*2</f>
        <v>96.080500000000001</v>
      </c>
      <c r="E10" s="45">
        <f>1*C$17</f>
        <v>6.94</v>
      </c>
      <c r="F10" s="46">
        <f>E10/D10</f>
        <v>7.2231097881463979E-2</v>
      </c>
      <c r="G10" s="45">
        <f>0.15*C20</f>
        <v>8.8394999999999992</v>
      </c>
      <c r="H10" s="46">
        <f t="shared" si="1"/>
        <v>9.2000978346282541E-2</v>
      </c>
      <c r="I10" s="45">
        <f>0.8*C18</f>
        <v>46.951999999999998</v>
      </c>
      <c r="J10" s="46">
        <f>I10/D10</f>
        <v>0.48867356019171421</v>
      </c>
      <c r="K10" s="47">
        <v>0</v>
      </c>
      <c r="L10" s="46">
        <f t="shared" si="3"/>
        <v>0</v>
      </c>
      <c r="M10" s="47">
        <v>0</v>
      </c>
      <c r="N10" s="46">
        <f t="shared" si="4"/>
        <v>0</v>
      </c>
      <c r="O10" s="47">
        <v>0</v>
      </c>
      <c r="P10" s="46">
        <f t="shared" si="5"/>
        <v>0</v>
      </c>
      <c r="Q10" s="47">
        <v>0</v>
      </c>
      <c r="R10" s="46">
        <f t="shared" si="6"/>
        <v>0</v>
      </c>
      <c r="S10" s="45">
        <f>0.05*C22</f>
        <v>1.3490000000000002</v>
      </c>
      <c r="T10" s="49">
        <f>S10/D10</f>
        <v>1.4040309948428663E-2</v>
      </c>
    </row>
    <row r="11" spans="1:23" ht="18.75" x14ac:dyDescent="0.25">
      <c r="B11" s="82" t="s">
        <v>12</v>
      </c>
      <c r="C11" s="80" t="s">
        <v>154</v>
      </c>
      <c r="D11" s="178">
        <f>C17+C24+C23+4*C21</f>
        <v>157.76</v>
      </c>
      <c r="E11" s="45">
        <f>1*C17</f>
        <v>6.94</v>
      </c>
      <c r="F11" s="46">
        <f t="shared" ref="F11:F13" si="11">E11/D11</f>
        <v>4.3990872210953352E-2</v>
      </c>
      <c r="G11" s="45">
        <v>0</v>
      </c>
      <c r="H11" s="46">
        <f t="shared" si="1"/>
        <v>0</v>
      </c>
      <c r="I11" s="45">
        <v>0</v>
      </c>
      <c r="J11" s="46">
        <f t="shared" ref="J11:J13" si="12">I11/D11</f>
        <v>0</v>
      </c>
      <c r="K11" s="47">
        <v>0</v>
      </c>
      <c r="L11" s="46">
        <f t="shared" si="3"/>
        <v>0</v>
      </c>
      <c r="M11" s="47">
        <f>1*C24</f>
        <v>55.85</v>
      </c>
      <c r="N11" s="46">
        <f t="shared" si="4"/>
        <v>0.35401876267748483</v>
      </c>
      <c r="O11" s="47">
        <f>1*C23</f>
        <v>30.97</v>
      </c>
      <c r="P11" s="46">
        <f t="shared" si="5"/>
        <v>0.1963108519269777</v>
      </c>
      <c r="Q11" s="47">
        <v>0</v>
      </c>
      <c r="R11" s="46">
        <f t="shared" si="6"/>
        <v>0</v>
      </c>
      <c r="S11" s="45">
        <v>0</v>
      </c>
      <c r="T11" s="49">
        <f t="shared" ref="T11:T13" si="13">S11/D11</f>
        <v>0</v>
      </c>
    </row>
    <row r="12" spans="1:23" ht="18.75" x14ac:dyDescent="0.25">
      <c r="B12" s="82" t="s">
        <v>26</v>
      </c>
      <c r="C12" s="80" t="s">
        <v>155</v>
      </c>
      <c r="D12" s="178">
        <f>1.1*C17+1.9*C19+4*C21</f>
        <v>176.01999999999998</v>
      </c>
      <c r="E12" s="45">
        <f>1.1*C17</f>
        <v>7.6340000000000012</v>
      </c>
      <c r="F12" s="46">
        <f t="shared" si="11"/>
        <v>4.3370071582774693E-2</v>
      </c>
      <c r="G12" s="45">
        <v>0</v>
      </c>
      <c r="H12" s="46">
        <f t="shared" si="1"/>
        <v>0</v>
      </c>
      <c r="I12" s="45">
        <v>0</v>
      </c>
      <c r="J12" s="46">
        <f t="shared" si="12"/>
        <v>0</v>
      </c>
      <c r="K12" s="47">
        <f>1.9*C19</f>
        <v>104.386</v>
      </c>
      <c r="L12" s="46">
        <f t="shared" si="3"/>
        <v>0.59303488239972735</v>
      </c>
      <c r="M12" s="47">
        <v>0</v>
      </c>
      <c r="N12" s="46">
        <f t="shared" si="4"/>
        <v>0</v>
      </c>
      <c r="O12" s="47">
        <v>0</v>
      </c>
      <c r="P12" s="46">
        <f t="shared" si="5"/>
        <v>0</v>
      </c>
      <c r="Q12" s="47">
        <v>0</v>
      </c>
      <c r="R12" s="46">
        <f t="shared" si="6"/>
        <v>0</v>
      </c>
      <c r="S12" s="45">
        <v>0</v>
      </c>
      <c r="T12" s="49">
        <f t="shared" si="13"/>
        <v>0</v>
      </c>
    </row>
    <row r="13" spans="1:23" ht="18.75" x14ac:dyDescent="0.25">
      <c r="B13" s="83" t="s">
        <v>99</v>
      </c>
      <c r="C13" s="81" t="s">
        <v>156</v>
      </c>
      <c r="D13" s="179">
        <f>4*C27+C24+6*C26+6*C28</f>
        <v>303.93</v>
      </c>
      <c r="E13" s="50">
        <v>0</v>
      </c>
      <c r="F13" s="51">
        <f t="shared" si="11"/>
        <v>0</v>
      </c>
      <c r="G13" s="50">
        <v>0</v>
      </c>
      <c r="H13" s="51">
        <f t="shared" si="1"/>
        <v>0</v>
      </c>
      <c r="I13" s="50">
        <v>0</v>
      </c>
      <c r="J13" s="51">
        <f t="shared" si="12"/>
        <v>0</v>
      </c>
      <c r="K13" s="52">
        <v>0</v>
      </c>
      <c r="L13" s="51">
        <f t="shared" si="3"/>
        <v>0</v>
      </c>
      <c r="M13" s="52">
        <f>1*C24</f>
        <v>55.85</v>
      </c>
      <c r="N13" s="51">
        <f t="shared" si="4"/>
        <v>0.1837594182871056</v>
      </c>
      <c r="O13" s="52">
        <v>0</v>
      </c>
      <c r="P13" s="51">
        <f t="shared" si="5"/>
        <v>0</v>
      </c>
      <c r="Q13" s="52">
        <f>4*C27</f>
        <v>91.96</v>
      </c>
      <c r="R13" s="51">
        <f t="shared" si="6"/>
        <v>0.30256967064784651</v>
      </c>
      <c r="S13" s="50">
        <v>0</v>
      </c>
      <c r="T13" s="53">
        <f t="shared" si="13"/>
        <v>0</v>
      </c>
      <c r="W13" s="405"/>
    </row>
    <row r="14" spans="1:23" ht="18.399999999999999" customHeight="1" x14ac:dyDescent="0.25">
      <c r="W14" s="405"/>
    </row>
    <row r="15" spans="1:23" ht="17.649999999999999" customHeight="1" x14ac:dyDescent="0.25">
      <c r="E15" s="54"/>
      <c r="W15" s="405"/>
    </row>
    <row r="16" spans="1:23" ht="18.75" customHeight="1" thickBot="1" x14ac:dyDescent="0.3">
      <c r="B16" s="62" t="s">
        <v>101</v>
      </c>
      <c r="C16" s="64" t="s">
        <v>157</v>
      </c>
      <c r="E16" s="62" t="s">
        <v>187</v>
      </c>
      <c r="F16" s="62"/>
      <c r="G16" s="63" t="s">
        <v>111</v>
      </c>
      <c r="I16" s="62" t="s">
        <v>25</v>
      </c>
      <c r="J16" s="63" t="s">
        <v>158</v>
      </c>
      <c r="K16" s="490" t="s">
        <v>159</v>
      </c>
      <c r="N16" s="25"/>
      <c r="S16" s="62" t="s">
        <v>43</v>
      </c>
      <c r="T16" s="63" t="s">
        <v>158</v>
      </c>
      <c r="W16" s="405"/>
    </row>
    <row r="17" spans="1:23" ht="15" customHeight="1" x14ac:dyDescent="0.25">
      <c r="B17" s="32" t="s">
        <v>83</v>
      </c>
      <c r="C17" s="65">
        <v>6.94</v>
      </c>
      <c r="E17" s="32" t="s">
        <v>110</v>
      </c>
      <c r="G17" s="267">
        <v>30</v>
      </c>
      <c r="I17" s="32" t="s">
        <v>92</v>
      </c>
      <c r="J17" s="70">
        <f>F5*(G$17/G$18)+H5*G$23+J5*G$21+L5*G$22+I$29</f>
        <v>43.542435551869517</v>
      </c>
      <c r="K17" s="490"/>
      <c r="S17" s="32" t="s">
        <v>119</v>
      </c>
      <c r="T17" s="270">
        <v>7</v>
      </c>
      <c r="W17" s="405"/>
    </row>
    <row r="18" spans="1:23" x14ac:dyDescent="0.25">
      <c r="B18" s="14" t="s">
        <v>84</v>
      </c>
      <c r="C18" s="66">
        <v>58.69</v>
      </c>
      <c r="E18" s="176" t="s">
        <v>189</v>
      </c>
      <c r="F18" s="24"/>
      <c r="G18" s="177">
        <f>2*C17/(2*C17+C26+3*C21)</f>
        <v>0.1878467992962512</v>
      </c>
      <c r="I18" s="14" t="s">
        <v>93</v>
      </c>
      <c r="J18" s="71">
        <f>F6*(G$17/G$18)+H6*G$23+J6*G$21+L6*G$22+I$29</f>
        <v>39.768759127111537</v>
      </c>
      <c r="K18" s="490"/>
      <c r="S18" s="14" t="s">
        <v>121</v>
      </c>
      <c r="T18" s="271">
        <v>15</v>
      </c>
      <c r="W18" s="405"/>
    </row>
    <row r="19" spans="1:23" x14ac:dyDescent="0.25">
      <c r="B19" s="14" t="s">
        <v>85</v>
      </c>
      <c r="C19" s="66">
        <v>54.94</v>
      </c>
      <c r="E19" s="14" t="s">
        <v>112</v>
      </c>
      <c r="G19" s="268">
        <v>2</v>
      </c>
      <c r="I19" s="14" t="s">
        <v>94</v>
      </c>
      <c r="J19" s="71">
        <f>F7*(G$17/G$18)+H7*G$23+J7*G$21+L7*G$22+I$29</f>
        <v>40.657209475074282</v>
      </c>
      <c r="K19" s="490"/>
      <c r="S19" s="14" t="s">
        <v>120</v>
      </c>
      <c r="T19" s="271">
        <v>2.7</v>
      </c>
      <c r="W19" s="405"/>
    </row>
    <row r="20" spans="1:23" x14ac:dyDescent="0.25">
      <c r="B20" s="14" t="s">
        <v>86</v>
      </c>
      <c r="C20" s="66">
        <v>58.93</v>
      </c>
      <c r="E20" s="176" t="s">
        <v>188</v>
      </c>
      <c r="F20" s="24"/>
      <c r="G20" s="177">
        <f>2*C27/(2*C27+C26+3*C21)</f>
        <v>0.43381451080290595</v>
      </c>
      <c r="I20" s="14" t="s">
        <v>305</v>
      </c>
      <c r="J20" s="71">
        <f>F8*(G$17/G$18)+H8*G$23+J8*G$21+L8*G$22+I$29</f>
        <v>37.617972426318829</v>
      </c>
      <c r="K20" s="490"/>
      <c r="S20" s="14" t="s">
        <v>126</v>
      </c>
      <c r="T20" s="271">
        <v>10</v>
      </c>
      <c r="W20" s="405"/>
    </row>
    <row r="21" spans="1:23" x14ac:dyDescent="0.25">
      <c r="B21" s="14" t="s">
        <v>87</v>
      </c>
      <c r="C21" s="66">
        <v>16</v>
      </c>
      <c r="E21" s="14" t="s">
        <v>103</v>
      </c>
      <c r="G21" s="268">
        <v>25</v>
      </c>
      <c r="I21" s="14" t="s">
        <v>95</v>
      </c>
      <c r="J21" s="71">
        <f>F9*(G$17/G$18)+H9*G$23+J9*G$21+L9*G$22+I$29</f>
        <v>38.511508136391207</v>
      </c>
      <c r="K21" s="490"/>
      <c r="S21" s="14" t="s">
        <v>160</v>
      </c>
      <c r="T21" s="271">
        <v>80</v>
      </c>
      <c r="W21" s="405"/>
    </row>
    <row r="22" spans="1:23" ht="18" x14ac:dyDescent="0.35">
      <c r="B22" s="14" t="s">
        <v>88</v>
      </c>
      <c r="C22" s="66">
        <v>26.98</v>
      </c>
      <c r="E22" s="14" t="s">
        <v>104</v>
      </c>
      <c r="G22" s="268">
        <v>9</v>
      </c>
      <c r="I22" s="14" t="s">
        <v>11</v>
      </c>
      <c r="J22" s="71">
        <f>F10*(G$17/G$18)+J10*G21+H10*G23+T10*G24+I$29</f>
        <v>40.694672696332759</v>
      </c>
      <c r="K22" s="490"/>
      <c r="S22" s="14" t="s">
        <v>125</v>
      </c>
      <c r="T22" s="271">
        <v>16</v>
      </c>
      <c r="W22" s="405"/>
    </row>
    <row r="23" spans="1:23" ht="18" x14ac:dyDescent="0.35">
      <c r="B23" s="14" t="s">
        <v>97</v>
      </c>
      <c r="C23" s="66">
        <v>30.97</v>
      </c>
      <c r="E23" s="14" t="s">
        <v>105</v>
      </c>
      <c r="G23" s="268">
        <v>75</v>
      </c>
      <c r="I23" s="14" t="s">
        <v>12</v>
      </c>
      <c r="J23" s="71">
        <f>F11*(G$17/G$18)+N11*G26+P11*G25+I$29</f>
        <v>19.069155679513187</v>
      </c>
      <c r="K23" s="490"/>
      <c r="S23" s="14" t="s">
        <v>124</v>
      </c>
      <c r="T23" s="271">
        <v>14</v>
      </c>
      <c r="W23" s="405"/>
    </row>
    <row r="24" spans="1:23" x14ac:dyDescent="0.25">
      <c r="B24" s="14" t="s">
        <v>98</v>
      </c>
      <c r="C24" s="66">
        <v>55.85</v>
      </c>
      <c r="E24" s="14" t="s">
        <v>106</v>
      </c>
      <c r="G24" s="268">
        <v>3</v>
      </c>
      <c r="I24" s="14" t="s">
        <v>26</v>
      </c>
      <c r="J24" s="71">
        <f>F12*(G$17/G$18)+L12*G22+I$29</f>
        <v>22.263714350641976</v>
      </c>
      <c r="K24" s="490"/>
      <c r="S24" s="16" t="s">
        <v>223</v>
      </c>
      <c r="T24" s="272">
        <v>6</v>
      </c>
      <c r="W24" s="405"/>
    </row>
    <row r="25" spans="1:23" x14ac:dyDescent="0.25">
      <c r="B25" s="14" t="s">
        <v>89</v>
      </c>
      <c r="C25" s="66">
        <v>1.01</v>
      </c>
      <c r="E25" s="14" t="s">
        <v>107</v>
      </c>
      <c r="G25" s="268">
        <v>5</v>
      </c>
      <c r="I25" s="14" t="s">
        <v>99</v>
      </c>
      <c r="J25" s="71">
        <f>R13*(G19/G20)+N13*G26+1.2*I$29</f>
        <v>13.946204718191689</v>
      </c>
      <c r="K25" s="490"/>
      <c r="W25" s="405"/>
    </row>
    <row r="26" spans="1:23" ht="15.75" thickBot="1" x14ac:dyDescent="0.3">
      <c r="B26" s="14" t="s">
        <v>90</v>
      </c>
      <c r="C26" s="66">
        <v>12.01</v>
      </c>
      <c r="E26" s="14" t="s">
        <v>108</v>
      </c>
      <c r="G26" s="268">
        <v>3</v>
      </c>
      <c r="I26" s="68" t="s">
        <v>24</v>
      </c>
      <c r="J26" s="72">
        <f>G28</f>
        <v>10</v>
      </c>
      <c r="K26" s="490"/>
      <c r="W26" s="405"/>
    </row>
    <row r="27" spans="1:23" ht="15.75" thickBot="1" x14ac:dyDescent="0.3">
      <c r="B27" s="14" t="s">
        <v>66</v>
      </c>
      <c r="C27" s="66">
        <v>22.99</v>
      </c>
      <c r="E27" s="14" t="s">
        <v>118</v>
      </c>
      <c r="G27" s="268">
        <v>8</v>
      </c>
      <c r="I27" s="69" t="s">
        <v>109</v>
      </c>
      <c r="J27" s="73">
        <f>G29</f>
        <v>15</v>
      </c>
      <c r="K27" s="490"/>
      <c r="S27" s="508" t="s">
        <v>60</v>
      </c>
      <c r="T27" s="509"/>
      <c r="W27" s="405"/>
    </row>
    <row r="28" spans="1:23" ht="15.75" thickBot="1" x14ac:dyDescent="0.3">
      <c r="B28" s="16" t="s">
        <v>91</v>
      </c>
      <c r="C28" s="67">
        <v>14.01</v>
      </c>
      <c r="E28" s="14" t="s">
        <v>24</v>
      </c>
      <c r="G28" s="268">
        <v>10</v>
      </c>
      <c r="S28" s="510">
        <v>7.0000000000000007E-2</v>
      </c>
      <c r="T28" s="511"/>
    </row>
    <row r="29" spans="1:23" ht="15.75" thickBot="1" x14ac:dyDescent="0.3">
      <c r="E29" s="16" t="s">
        <v>109</v>
      </c>
      <c r="F29" s="17"/>
      <c r="G29" s="269">
        <v>15</v>
      </c>
      <c r="I29" s="266">
        <v>10</v>
      </c>
      <c r="J29" s="55" t="s">
        <v>113</v>
      </c>
      <c r="K29" s="56"/>
    </row>
    <row r="32" spans="1:23" ht="23.25" x14ac:dyDescent="0.25">
      <c r="A32" s="167"/>
      <c r="B32" s="171" t="s">
        <v>146</v>
      </c>
      <c r="C32" s="167"/>
      <c r="D32" s="167"/>
      <c r="E32" s="167"/>
      <c r="F32" s="167"/>
      <c r="G32" s="167"/>
      <c r="H32" s="167"/>
      <c r="I32" s="167"/>
      <c r="J32" s="167"/>
      <c r="K32" s="167"/>
      <c r="L32" s="167"/>
      <c r="M32" s="167"/>
      <c r="N32" s="167"/>
      <c r="O32" s="167"/>
      <c r="P32" s="167"/>
      <c r="Q32" s="167"/>
      <c r="R32" s="167"/>
      <c r="S32" s="167"/>
      <c r="T32" s="167"/>
      <c r="U32" s="167"/>
      <c r="V32" s="167"/>
    </row>
    <row r="34" spans="2:24" ht="15.75" thickBot="1" x14ac:dyDescent="0.3"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</row>
    <row r="35" spans="2:24" x14ac:dyDescent="0.25">
      <c r="C35" s="90"/>
      <c r="D35" s="492" t="s">
        <v>92</v>
      </c>
      <c r="E35" s="493"/>
      <c r="F35" s="496" t="s">
        <v>93</v>
      </c>
      <c r="G35" s="496"/>
      <c r="H35" s="493" t="s">
        <v>94</v>
      </c>
      <c r="I35" s="493"/>
      <c r="J35" s="493" t="s">
        <v>305</v>
      </c>
      <c r="K35" s="493"/>
      <c r="L35" s="496" t="s">
        <v>95</v>
      </c>
      <c r="M35" s="496"/>
      <c r="N35" s="496" t="s">
        <v>11</v>
      </c>
      <c r="O35" s="496"/>
      <c r="P35" s="496" t="s">
        <v>12</v>
      </c>
      <c r="Q35" s="496"/>
      <c r="R35" s="496" t="s">
        <v>26</v>
      </c>
      <c r="S35" s="496"/>
      <c r="T35" s="496" t="s">
        <v>99</v>
      </c>
      <c r="U35" s="496"/>
      <c r="V35" s="512" t="s">
        <v>133</v>
      </c>
      <c r="W35" s="512"/>
      <c r="X35" s="1"/>
    </row>
    <row r="36" spans="2:24" ht="15.75" thickBot="1" x14ac:dyDescent="0.3">
      <c r="C36" s="210"/>
      <c r="D36" s="494"/>
      <c r="E36" s="495"/>
      <c r="F36" s="495"/>
      <c r="G36" s="495"/>
      <c r="H36" s="495"/>
      <c r="I36" s="495"/>
      <c r="J36" s="495"/>
      <c r="K36" s="495"/>
      <c r="L36" s="495"/>
      <c r="M36" s="495"/>
      <c r="N36" s="495"/>
      <c r="O36" s="495"/>
      <c r="P36" s="495"/>
      <c r="Q36" s="495"/>
      <c r="R36" s="495"/>
      <c r="S36" s="495"/>
      <c r="T36" s="495"/>
      <c r="U36" s="495"/>
      <c r="V36" s="513" t="str">
        <f>Überblick!C17</f>
        <v>NMC-622</v>
      </c>
      <c r="W36" s="513"/>
      <c r="X36" s="1"/>
    </row>
    <row r="37" spans="2:24" ht="18" customHeight="1" x14ac:dyDescent="0.25">
      <c r="C37" s="90"/>
      <c r="D37" s="40" t="s">
        <v>25</v>
      </c>
      <c r="E37" s="41" t="s">
        <v>117</v>
      </c>
      <c r="F37" s="40" t="s">
        <v>25</v>
      </c>
      <c r="G37" s="41" t="s">
        <v>117</v>
      </c>
      <c r="H37" s="40" t="s">
        <v>25</v>
      </c>
      <c r="I37" s="41" t="s">
        <v>117</v>
      </c>
      <c r="J37" s="40" t="s">
        <v>25</v>
      </c>
      <c r="K37" s="41" t="s">
        <v>117</v>
      </c>
      <c r="L37" s="40" t="s">
        <v>25</v>
      </c>
      <c r="M37" s="41" t="s">
        <v>117</v>
      </c>
      <c r="N37" s="40" t="s">
        <v>25</v>
      </c>
      <c r="O37" s="41" t="s">
        <v>117</v>
      </c>
      <c r="P37" s="40" t="s">
        <v>25</v>
      </c>
      <c r="Q37" s="41" t="s">
        <v>117</v>
      </c>
      <c r="R37" s="40" t="s">
        <v>25</v>
      </c>
      <c r="S37" s="41" t="s">
        <v>117</v>
      </c>
      <c r="T37" s="40" t="s">
        <v>25</v>
      </c>
      <c r="U37" s="41" t="s">
        <v>117</v>
      </c>
      <c r="V37" s="42" t="s">
        <v>25</v>
      </c>
      <c r="W37" s="191" t="s">
        <v>134</v>
      </c>
    </row>
    <row r="38" spans="2:24" ht="18" customHeight="1" x14ac:dyDescent="0.25">
      <c r="B38" s="491" t="s">
        <v>115</v>
      </c>
      <c r="C38" s="38" t="s">
        <v>78</v>
      </c>
      <c r="D38" s="182" t="s">
        <v>92</v>
      </c>
      <c r="E38" s="183">
        <f>J17</f>
        <v>43.542435551869517</v>
      </c>
      <c r="F38" s="184" t="s">
        <v>93</v>
      </c>
      <c r="G38" s="183">
        <f>J18</f>
        <v>39.768759127111537</v>
      </c>
      <c r="H38" s="184" t="s">
        <v>94</v>
      </c>
      <c r="I38" s="183">
        <f>J19</f>
        <v>40.657209475074282</v>
      </c>
      <c r="J38" s="184" t="s">
        <v>305</v>
      </c>
      <c r="K38" s="183">
        <f>J20</f>
        <v>37.617972426318829</v>
      </c>
      <c r="L38" s="184" t="s">
        <v>95</v>
      </c>
      <c r="M38" s="183">
        <f>J21</f>
        <v>38.511508136391207</v>
      </c>
      <c r="N38" s="184" t="s">
        <v>11</v>
      </c>
      <c r="O38" s="183">
        <f>J22</f>
        <v>40.694672696332759</v>
      </c>
      <c r="P38" s="184" t="s">
        <v>12</v>
      </c>
      <c r="Q38" s="183">
        <f>J23</f>
        <v>19.069155679513187</v>
      </c>
      <c r="R38" s="184" t="s">
        <v>26</v>
      </c>
      <c r="S38" s="183">
        <f>J24</f>
        <v>22.263714350641976</v>
      </c>
      <c r="T38" s="184" t="s">
        <v>135</v>
      </c>
      <c r="U38" s="188">
        <f>J25</f>
        <v>13.946204718191689</v>
      </c>
      <c r="V38" s="192" t="str">
        <f>IF($V$36=$D$38,D38,IF($V$36=$F$38,F38,IF($V$36=$H$38,H38,IF($V$36=$L$38,L38,IF($V$36=$N$38,N38,IF($V$36=$P$38,P38,IF($V$36=$R$38,R38,T38)))))))</f>
        <v>NMC-622</v>
      </c>
      <c r="W38" s="193">
        <f>IF($V$36=$D$38,E38,IF($V$36=$F$38,G38,IF($V$36=$H$38,I38,IF($V$36=$J$38,K38,IF($V$36=$L$38,M38,IF($V$36=$N$38,O38,IF($V$36=$P$38,Q38,IF($V$36=$R$38,S38,U38))))))))</f>
        <v>40.657209475074282</v>
      </c>
    </row>
    <row r="39" spans="2:24" ht="18" customHeight="1" x14ac:dyDescent="0.25">
      <c r="B39" s="491"/>
      <c r="C39" s="38" t="s">
        <v>197</v>
      </c>
      <c r="D39" s="185" t="s">
        <v>119</v>
      </c>
      <c r="E39" s="57">
        <f>$T$17</f>
        <v>7</v>
      </c>
      <c r="F39" s="57" t="s">
        <v>119</v>
      </c>
      <c r="G39" s="57">
        <f>$T$17</f>
        <v>7</v>
      </c>
      <c r="H39" s="57" t="s">
        <v>119</v>
      </c>
      <c r="I39" s="57">
        <f>$T$17</f>
        <v>7</v>
      </c>
      <c r="J39" s="57" t="s">
        <v>119</v>
      </c>
      <c r="K39" s="57">
        <f>$T$17</f>
        <v>7</v>
      </c>
      <c r="L39" s="57" t="s">
        <v>119</v>
      </c>
      <c r="M39" s="57">
        <f>$T$17</f>
        <v>7</v>
      </c>
      <c r="N39" s="57" t="s">
        <v>119</v>
      </c>
      <c r="O39" s="57">
        <f>$T$17</f>
        <v>7</v>
      </c>
      <c r="P39" s="57" t="s">
        <v>119</v>
      </c>
      <c r="Q39" s="57">
        <f>$T$17</f>
        <v>7</v>
      </c>
      <c r="R39" s="57" t="s">
        <v>119</v>
      </c>
      <c r="S39" s="57">
        <f>$T$17</f>
        <v>7</v>
      </c>
      <c r="T39" s="57" t="s">
        <v>119</v>
      </c>
      <c r="U39" s="189">
        <f>$T$17</f>
        <v>7</v>
      </c>
      <c r="V39" s="192" t="str">
        <f>IF($V$36=$D$38,D39,IF($V$36=$F$38,F39,IF($V$36=$H$38,H39,IF($V$36=$L$38,L39,IF($V$36=$N$38,N39,IF($V$36=$P$38,P39,IF($V$36=$R$38,R39,T39)))))))</f>
        <v>Carbon black</v>
      </c>
      <c r="W39" s="194">
        <f>IF($V$36=$D$38,E39,IF($V$36=$F$38,G39,IF($V$36=$H$38,I39,IF($V$36=$L$38,M39,IF($V$36=$N$38,O39,IF($V$36=$P$38,Q39,IF($V$36=$R$38,S39,U39)))))))</f>
        <v>7</v>
      </c>
    </row>
    <row r="40" spans="2:24" ht="18" customHeight="1" x14ac:dyDescent="0.25">
      <c r="B40" s="491"/>
      <c r="C40" s="38" t="s">
        <v>102</v>
      </c>
      <c r="D40" s="185" t="s">
        <v>121</v>
      </c>
      <c r="E40" s="57">
        <f>$T$18</f>
        <v>15</v>
      </c>
      <c r="F40" s="57" t="s">
        <v>121</v>
      </c>
      <c r="G40" s="57">
        <f>$T$18</f>
        <v>15</v>
      </c>
      <c r="H40" s="57" t="s">
        <v>121</v>
      </c>
      <c r="I40" s="57">
        <f>$T$18</f>
        <v>15</v>
      </c>
      <c r="J40" s="57" t="s">
        <v>121</v>
      </c>
      <c r="K40" s="57">
        <f>$T$18</f>
        <v>15</v>
      </c>
      <c r="L40" s="57" t="s">
        <v>121</v>
      </c>
      <c r="M40" s="57">
        <f>$T$18</f>
        <v>15</v>
      </c>
      <c r="N40" s="57" t="s">
        <v>121</v>
      </c>
      <c r="O40" s="57">
        <f>$T$18</f>
        <v>15</v>
      </c>
      <c r="P40" s="57" t="s">
        <v>121</v>
      </c>
      <c r="Q40" s="57">
        <f>$T$18</f>
        <v>15</v>
      </c>
      <c r="R40" s="57" t="s">
        <v>121</v>
      </c>
      <c r="S40" s="57">
        <f>$T$18</f>
        <v>15</v>
      </c>
      <c r="T40" s="57" t="s">
        <v>121</v>
      </c>
      <c r="U40" s="189">
        <f>$T$18</f>
        <v>15</v>
      </c>
      <c r="V40" s="192" t="str">
        <f>IF($V$36=$D$38,D40,IF($V$36=$F$38,F40,IF($V$36=$H$38,H40,IF($V$36=$L$38,L40,IF($V$36=$N$38,N40,IF($V$36=$P$38,P40,IF($V$36=$R$38,R40,T40)))))))</f>
        <v>PVDF</v>
      </c>
      <c r="W40" s="194">
        <f>IF($V$36=$D$38,E40,IF($V$36=$F$38,G40,IF($V$36=$H$38,I40,IF($V$36=$L$38,M40,IF($V$36=$N$38,O40,IF($V$36=$P$38,Q40,IF($V$36=$R$38,S40,U40)))))))</f>
        <v>15</v>
      </c>
    </row>
    <row r="41" spans="2:24" ht="18" customHeight="1" x14ac:dyDescent="0.25">
      <c r="B41" s="491"/>
      <c r="C41" s="38" t="s">
        <v>193</v>
      </c>
      <c r="D41" s="185" t="s">
        <v>120</v>
      </c>
      <c r="E41" s="57">
        <f>$T$19</f>
        <v>2.7</v>
      </c>
      <c r="F41" s="57" t="s">
        <v>120</v>
      </c>
      <c r="G41" s="57">
        <f>$T$19</f>
        <v>2.7</v>
      </c>
      <c r="H41" s="57" t="s">
        <v>120</v>
      </c>
      <c r="I41" s="57">
        <f>$T$19</f>
        <v>2.7</v>
      </c>
      <c r="J41" s="57" t="s">
        <v>120</v>
      </c>
      <c r="K41" s="57">
        <f>$T$19</f>
        <v>2.7</v>
      </c>
      <c r="L41" s="57" t="s">
        <v>120</v>
      </c>
      <c r="M41" s="57">
        <f>$T$19</f>
        <v>2.7</v>
      </c>
      <c r="N41" s="57" t="s">
        <v>120</v>
      </c>
      <c r="O41" s="57">
        <f>$T$19</f>
        <v>2.7</v>
      </c>
      <c r="P41" s="57" t="s">
        <v>120</v>
      </c>
      <c r="Q41" s="57">
        <f>$T$19</f>
        <v>2.7</v>
      </c>
      <c r="R41" s="57" t="s">
        <v>120</v>
      </c>
      <c r="S41" s="57">
        <f>$T$19</f>
        <v>2.7</v>
      </c>
      <c r="T41" s="57" t="s">
        <v>120</v>
      </c>
      <c r="U41" s="189">
        <f>$T$19</f>
        <v>2.7</v>
      </c>
      <c r="V41" s="192" t="str">
        <f>IF($V$36=$D$38,D41,IF($V$36=$F$38,F41,IF($V$36=$H$38,H41,IF($V$36=$L$38,L41,IF($V$36=$N$38,N41,IF($V$36=$P$38,P41,IF($V$36=$R$38,R41,T41)))))))</f>
        <v>NMP</v>
      </c>
      <c r="W41" s="194">
        <f>IF($V$36=$D$38,E41,IF($V$36=$F$38,G41,IF($V$36=$H$38,I41,IF($V$36=$L$38,M41,IF($V$36=$N$38,O41,IF($V$36=$P$38,Q41,IF($V$36=$R$38,S41,U41)))))))</f>
        <v>2.7</v>
      </c>
    </row>
    <row r="42" spans="2:24" ht="2.25" customHeight="1" x14ac:dyDescent="0.25">
      <c r="C42" s="39"/>
      <c r="D42" s="185"/>
      <c r="E42" s="57"/>
      <c r="F42" s="57"/>
      <c r="G42" s="57"/>
      <c r="H42" s="57"/>
      <c r="I42" s="57"/>
      <c r="J42" s="57"/>
      <c r="K42" s="57"/>
      <c r="L42" s="57"/>
      <c r="M42" s="57"/>
      <c r="N42" s="57"/>
      <c r="O42" s="57"/>
      <c r="P42" s="57"/>
      <c r="Q42" s="57"/>
      <c r="R42" s="57"/>
      <c r="S42" s="57"/>
      <c r="T42" s="57"/>
      <c r="U42" s="189"/>
      <c r="V42" s="192"/>
      <c r="W42" s="194"/>
    </row>
    <row r="43" spans="2:24" ht="18" customHeight="1" x14ac:dyDescent="0.25">
      <c r="B43" s="491" t="s">
        <v>114</v>
      </c>
      <c r="C43" s="38" t="s">
        <v>192</v>
      </c>
      <c r="D43" s="185" t="s">
        <v>24</v>
      </c>
      <c r="E43" s="57">
        <f>$J$26</f>
        <v>10</v>
      </c>
      <c r="F43" s="57" t="s">
        <v>24</v>
      </c>
      <c r="G43" s="57">
        <f>$J$26</f>
        <v>10</v>
      </c>
      <c r="H43" s="57" t="s">
        <v>24</v>
      </c>
      <c r="I43" s="57">
        <f>$J$26</f>
        <v>10</v>
      </c>
      <c r="J43" s="57" t="s">
        <v>24</v>
      </c>
      <c r="K43" s="57">
        <f>$J$26</f>
        <v>10</v>
      </c>
      <c r="L43" s="57" t="s">
        <v>24</v>
      </c>
      <c r="M43" s="57">
        <f>$J$26</f>
        <v>10</v>
      </c>
      <c r="N43" s="57" t="s">
        <v>24</v>
      </c>
      <c r="O43" s="57">
        <f>$J$26</f>
        <v>10</v>
      </c>
      <c r="P43" s="57" t="s">
        <v>24</v>
      </c>
      <c r="Q43" s="57">
        <f>$J$26</f>
        <v>10</v>
      </c>
      <c r="R43" s="57" t="s">
        <v>24</v>
      </c>
      <c r="S43" s="57">
        <f>$J$26</f>
        <v>10</v>
      </c>
      <c r="T43" s="57" t="s">
        <v>109</v>
      </c>
      <c r="U43" s="189">
        <f>J27</f>
        <v>15</v>
      </c>
      <c r="V43" s="192" t="str">
        <f>IF($V$36=$D$38,D43,IF($V$36=$F$38,F43,IF($V$36=$H$38,H43,IF($V$36=$L$38,L43,IF($V$36=$N$38,N43,IF($V$36=$P$38,P43,IF($V$36=$R$38,R43,T43)))))))</f>
        <v>Graphit</v>
      </c>
      <c r="W43" s="194">
        <f>IF($V$36=$D$38,E43,IF($V$36=$F$38,G43,IF($V$36=$H$38,I43,IF($V$36=$L$38,M43,IF($V$36=$N$38,O43,IF($V$36=$P$38,Q43,IF($V$36=$R$38,S43,U43)))))))</f>
        <v>10</v>
      </c>
    </row>
    <row r="44" spans="2:24" ht="18" customHeight="1" x14ac:dyDescent="0.25">
      <c r="B44" s="491"/>
      <c r="C44" s="38" t="s">
        <v>102</v>
      </c>
      <c r="D44" s="185" t="s">
        <v>126</v>
      </c>
      <c r="E44" s="57">
        <f>$T$20</f>
        <v>10</v>
      </c>
      <c r="F44" s="57" t="s">
        <v>126</v>
      </c>
      <c r="G44" s="57">
        <f>$T$20</f>
        <v>10</v>
      </c>
      <c r="H44" s="57" t="s">
        <v>126</v>
      </c>
      <c r="I44" s="57">
        <f>$T$20</f>
        <v>10</v>
      </c>
      <c r="J44" s="57" t="s">
        <v>126</v>
      </c>
      <c r="K44" s="57">
        <f>$T$20</f>
        <v>10</v>
      </c>
      <c r="L44" s="57" t="s">
        <v>126</v>
      </c>
      <c r="M44" s="57">
        <f>$T$20</f>
        <v>10</v>
      </c>
      <c r="N44" s="57" t="s">
        <v>126</v>
      </c>
      <c r="O44" s="57">
        <f>$T$20</f>
        <v>10</v>
      </c>
      <c r="P44" s="57" t="s">
        <v>126</v>
      </c>
      <c r="Q44" s="57">
        <f>$T$20</f>
        <v>10</v>
      </c>
      <c r="R44" s="57" t="s">
        <v>126</v>
      </c>
      <c r="S44" s="57">
        <f>$T$20</f>
        <v>10</v>
      </c>
      <c r="T44" s="57" t="s">
        <v>126</v>
      </c>
      <c r="U44" s="189">
        <f>$T$20</f>
        <v>10</v>
      </c>
      <c r="V44" s="192" t="str">
        <f>IF($V$36=$D$38,D44,IF($V$36=$F$38,F44,IF($V$36=$H$38,H44,IF($V$36=$L$38,L44,IF($V$36=$N$38,N44,IF($V$36=$P$38,P44,IF($V$36=$R$38,R44,T44)))))))</f>
        <v>CMC</v>
      </c>
      <c r="W44" s="194">
        <f>IF($V$36=$D$38,E44,IF($V$36=$F$38,G44,IF($V$36=$H$38,I44,IF($V$36=$L$38,M44,IF($V$36=$N$38,O44,IF($V$36=$P$38,Q44,IF($V$36=$R$38,S44,U44)))))))</f>
        <v>10</v>
      </c>
    </row>
    <row r="45" spans="2:24" ht="18" customHeight="1" x14ac:dyDescent="0.25">
      <c r="B45" s="491"/>
      <c r="C45" s="38" t="s">
        <v>193</v>
      </c>
      <c r="D45" s="185" t="s">
        <v>122</v>
      </c>
      <c r="E45" s="57">
        <v>0</v>
      </c>
      <c r="F45" s="57" t="s">
        <v>122</v>
      </c>
      <c r="G45" s="57">
        <v>0</v>
      </c>
      <c r="H45" s="57" t="s">
        <v>122</v>
      </c>
      <c r="I45" s="57">
        <v>0</v>
      </c>
      <c r="J45" s="57" t="s">
        <v>122</v>
      </c>
      <c r="K45" s="57">
        <v>0</v>
      </c>
      <c r="L45" s="57" t="s">
        <v>122</v>
      </c>
      <c r="M45" s="57">
        <v>0</v>
      </c>
      <c r="N45" s="57" t="s">
        <v>122</v>
      </c>
      <c r="O45" s="57">
        <v>0</v>
      </c>
      <c r="P45" s="57" t="s">
        <v>122</v>
      </c>
      <c r="Q45" s="57">
        <v>0</v>
      </c>
      <c r="R45" s="57" t="s">
        <v>122</v>
      </c>
      <c r="S45" s="57">
        <v>0</v>
      </c>
      <c r="T45" s="57" t="s">
        <v>122</v>
      </c>
      <c r="U45" s="189">
        <v>0</v>
      </c>
      <c r="V45" s="192" t="str">
        <f>IF($V$36=$D$38,D45,IF($V$36=$F$38,F45,IF($V$36=$H$38,H45,IF($V$36=$L$38,L45,IF($V$36=$N$38,N45,IF($V$36=$P$38,P45,IF($V$36=$R$38,R45,T45)))))))</f>
        <v>Water</v>
      </c>
      <c r="W45" s="194">
        <f>IF($V$36=$D$38,E45,IF($V$36=$F$38,G45,IF($V$36=$H$38,I45,IF($V$36=$L$38,M45,IF($V$36=$N$38,O45,IF($V$36=$P$38,Q45,IF($V$36=$R$38,S45,U45)))))))</f>
        <v>0</v>
      </c>
    </row>
    <row r="46" spans="2:24" ht="2.25" customHeight="1" x14ac:dyDescent="0.25">
      <c r="C46" s="39"/>
      <c r="D46" s="185"/>
      <c r="E46" s="57"/>
      <c r="F46" s="57"/>
      <c r="G46" s="57"/>
      <c r="H46" s="57"/>
      <c r="I46" s="57"/>
      <c r="J46" s="57"/>
      <c r="K46" s="57"/>
      <c r="L46" s="57"/>
      <c r="M46" s="57"/>
      <c r="N46" s="57"/>
      <c r="O46" s="57"/>
      <c r="P46" s="57"/>
      <c r="Q46" s="57"/>
      <c r="R46" s="57"/>
      <c r="S46" s="57"/>
      <c r="T46" s="57"/>
      <c r="U46" s="189"/>
      <c r="V46" s="192"/>
      <c r="W46" s="194"/>
    </row>
    <row r="47" spans="2:24" ht="18" customHeight="1" x14ac:dyDescent="0.25">
      <c r="B47" s="491" t="s">
        <v>116</v>
      </c>
      <c r="C47" s="38" t="s">
        <v>194</v>
      </c>
      <c r="D47" s="185" t="s">
        <v>106</v>
      </c>
      <c r="E47" s="57">
        <f>1.1*$G$24</f>
        <v>3.3000000000000003</v>
      </c>
      <c r="F47" s="57" t="s">
        <v>106</v>
      </c>
      <c r="G47" s="57">
        <f>1.1*$G$24</f>
        <v>3.3000000000000003</v>
      </c>
      <c r="H47" s="57" t="s">
        <v>106</v>
      </c>
      <c r="I47" s="57">
        <f>1.1*$G$24</f>
        <v>3.3000000000000003</v>
      </c>
      <c r="J47" s="57" t="s">
        <v>106</v>
      </c>
      <c r="K47" s="57">
        <f>1.1*$G$24</f>
        <v>3.3000000000000003</v>
      </c>
      <c r="L47" s="57" t="s">
        <v>106</v>
      </c>
      <c r="M47" s="57">
        <f>1.1*$G$24</f>
        <v>3.3000000000000003</v>
      </c>
      <c r="N47" s="57" t="s">
        <v>106</v>
      </c>
      <c r="O47" s="57">
        <f>1.1*$G$24</f>
        <v>3.3000000000000003</v>
      </c>
      <c r="P47" s="57" t="s">
        <v>106</v>
      </c>
      <c r="Q47" s="57">
        <f>1.1*$G$24</f>
        <v>3.3000000000000003</v>
      </c>
      <c r="R47" s="57" t="s">
        <v>106</v>
      </c>
      <c r="S47" s="57">
        <f>1.1*$G$24</f>
        <v>3.3000000000000003</v>
      </c>
      <c r="T47" s="57" t="s">
        <v>106</v>
      </c>
      <c r="U47" s="189">
        <f>1.1*$G$24</f>
        <v>3.3000000000000003</v>
      </c>
      <c r="V47" s="192" t="str">
        <f>IF($V$36=$D$38,D47,IF($V$36=$F$38,F47,IF($V$36=$H$38,H47,IF($V$36=$L$38,L47,IF($V$36=$N$38,N47,IF($V$36=$P$38,P47,IF($V$36=$R$38,R47,T47)))))))</f>
        <v>Aluminium</v>
      </c>
      <c r="W47" s="194">
        <f>IF($V$36=$D$38,E47,IF($V$36=$F$38,G47,IF($V$36=$H$38,I47,IF($V$36=$L$38,M47,IF($V$36=$N$38,O47,IF($V$36=$P$38,Q47,IF($V$36=$R$38,S47,U47)))))))</f>
        <v>3.3000000000000003</v>
      </c>
    </row>
    <row r="48" spans="2:24" ht="18" customHeight="1" x14ac:dyDescent="0.25">
      <c r="B48" s="491"/>
      <c r="C48" s="38" t="s">
        <v>195</v>
      </c>
      <c r="D48" s="185" t="s">
        <v>118</v>
      </c>
      <c r="E48" s="57">
        <f>1.1*$G$27</f>
        <v>8.8000000000000007</v>
      </c>
      <c r="F48" s="57" t="s">
        <v>118</v>
      </c>
      <c r="G48" s="57">
        <f>1.1*$G$27</f>
        <v>8.8000000000000007</v>
      </c>
      <c r="H48" s="57" t="s">
        <v>118</v>
      </c>
      <c r="I48" s="57">
        <f>1.1*$G$27</f>
        <v>8.8000000000000007</v>
      </c>
      <c r="J48" s="57" t="s">
        <v>118</v>
      </c>
      <c r="K48" s="57">
        <f>1.1*$G$27</f>
        <v>8.8000000000000007</v>
      </c>
      <c r="L48" s="57" t="s">
        <v>118</v>
      </c>
      <c r="M48" s="57">
        <f>1.1*$G$27</f>
        <v>8.8000000000000007</v>
      </c>
      <c r="N48" s="57" t="s">
        <v>118</v>
      </c>
      <c r="O48" s="57">
        <f>1.1*$G$27</f>
        <v>8.8000000000000007</v>
      </c>
      <c r="P48" s="57" t="s">
        <v>118</v>
      </c>
      <c r="Q48" s="57">
        <f>1.1*$G$27</f>
        <v>8.8000000000000007</v>
      </c>
      <c r="R48" s="57" t="s">
        <v>118</v>
      </c>
      <c r="S48" s="57">
        <f>1.1*$G$27</f>
        <v>8.8000000000000007</v>
      </c>
      <c r="T48" s="57" t="s">
        <v>106</v>
      </c>
      <c r="U48" s="189">
        <f>1.1*$G$24</f>
        <v>3.3000000000000003</v>
      </c>
      <c r="V48" s="192" t="str">
        <f>IF($V$36=$D$38,D48,IF($V$36=$F$38,F48,IF($V$36=$H$38,H48,IF($V$36=$L$38,L48,IF($V$36=$N$38,N48,IF($V$36=$P$38,P48,IF($V$36=$R$38,R48,T48)))))))</f>
        <v>Kupfer</v>
      </c>
      <c r="W48" s="194">
        <f>IF($V$36=$D$38,E48,IF($V$36=$F$38,G48,IF($V$36=$H$38,I48,IF($V$36=$L$38,M48,IF($V$36=$N$38,O48,IF($V$36=$P$38,Q48,IF($V$36=$R$38,S48,U48)))))))</f>
        <v>8.8000000000000007</v>
      </c>
    </row>
    <row r="49" spans="1:23" ht="18" customHeight="1" x14ac:dyDescent="0.25">
      <c r="B49" s="491"/>
      <c r="C49" s="38" t="s">
        <v>23</v>
      </c>
      <c r="D49" s="185" t="s">
        <v>123</v>
      </c>
      <c r="E49" s="57">
        <f>$T$21</f>
        <v>80</v>
      </c>
      <c r="F49" s="57" t="s">
        <v>123</v>
      </c>
      <c r="G49" s="57">
        <f>$T$21</f>
        <v>80</v>
      </c>
      <c r="H49" s="57" t="s">
        <v>123</v>
      </c>
      <c r="I49" s="57">
        <f>$T$21</f>
        <v>80</v>
      </c>
      <c r="J49" s="57" t="s">
        <v>123</v>
      </c>
      <c r="K49" s="57">
        <f>$T$21</f>
        <v>80</v>
      </c>
      <c r="L49" s="57" t="s">
        <v>123</v>
      </c>
      <c r="M49" s="57">
        <f>$T$21</f>
        <v>80</v>
      </c>
      <c r="N49" s="57" t="s">
        <v>123</v>
      </c>
      <c r="O49" s="57">
        <f>$T$21</f>
        <v>80</v>
      </c>
      <c r="P49" s="57" t="s">
        <v>123</v>
      </c>
      <c r="Q49" s="57">
        <f>$T$21</f>
        <v>80</v>
      </c>
      <c r="R49" s="57" t="s">
        <v>123</v>
      </c>
      <c r="S49" s="57">
        <f>$T$21</f>
        <v>80</v>
      </c>
      <c r="T49" s="57" t="s">
        <v>123</v>
      </c>
      <c r="U49" s="189">
        <f>$T$21</f>
        <v>80</v>
      </c>
      <c r="V49" s="192" t="str">
        <f>IF($V$36=$D$38,D49,IF($V$36=$F$38,F49,IF($V$36=$H$38,H49,IF($V$36=$L$38,L49,IF($V$36=$N$38,N49,IF($V$36=$P$38,P49,IF($V$36=$R$38,R49,T49)))))))</f>
        <v>PE</v>
      </c>
      <c r="W49" s="194">
        <f>IF($V$36=$D$38,E49,IF($V$36=$F$38,G49,IF($V$36=$H$38,I49,IF($V$36=$L$38,M49,IF($V$36=$N$38,O49,IF($V$36=$P$38,Q49,IF($V$36=$R$38,S49,U49)))))))</f>
        <v>80</v>
      </c>
    </row>
    <row r="50" spans="1:23" ht="18" customHeight="1" x14ac:dyDescent="0.35">
      <c r="B50" s="491"/>
      <c r="C50" s="38" t="s">
        <v>130</v>
      </c>
      <c r="D50" s="185" t="s">
        <v>125</v>
      </c>
      <c r="E50" s="57">
        <f>$T$22</f>
        <v>16</v>
      </c>
      <c r="F50" s="57" t="s">
        <v>125</v>
      </c>
      <c r="G50" s="57">
        <f>$T$22</f>
        <v>16</v>
      </c>
      <c r="H50" s="57" t="s">
        <v>125</v>
      </c>
      <c r="I50" s="57">
        <f>$T$22</f>
        <v>16</v>
      </c>
      <c r="J50" s="57" t="s">
        <v>125</v>
      </c>
      <c r="K50" s="57">
        <f>$T$22</f>
        <v>16</v>
      </c>
      <c r="L50" s="57" t="s">
        <v>125</v>
      </c>
      <c r="M50" s="57">
        <f>$T$22</f>
        <v>16</v>
      </c>
      <c r="N50" s="57" t="s">
        <v>125</v>
      </c>
      <c r="O50" s="57">
        <f>$T$22</f>
        <v>16</v>
      </c>
      <c r="P50" s="57" t="s">
        <v>125</v>
      </c>
      <c r="Q50" s="57">
        <f>$T$22</f>
        <v>16</v>
      </c>
      <c r="R50" s="57" t="s">
        <v>125</v>
      </c>
      <c r="S50" s="57">
        <f>$T$22</f>
        <v>16</v>
      </c>
      <c r="T50" s="57" t="s">
        <v>124</v>
      </c>
      <c r="U50" s="189">
        <f>T23</f>
        <v>14</v>
      </c>
      <c r="V50" s="192" t="str">
        <f>IF($V$36=$D$38,D50,IF($V$36=$F$38,F50,IF($V$36=$H$38,H50,IF($V$36=$L$38,L50,IF($V$36=$N$38,N50,IF($V$36=$P$38,P50,IF($V$36=$R$38,R50,T50)))))))</f>
        <v>EC mit LiPF6</v>
      </c>
      <c r="W50" s="194">
        <f>IF($V$36=$D$38,E50,IF($V$36=$F$38,G50,IF($V$36=$H$38,I50,IF($V$36=$L$38,M50,IF($V$36=$N$38,O50,IF($V$36=$P$38,Q50,IF($V$36=$R$38,S50,U50)))))))</f>
        <v>16</v>
      </c>
    </row>
    <row r="51" spans="1:23" ht="18" customHeight="1" thickBot="1" x14ac:dyDescent="0.3">
      <c r="B51" s="491"/>
      <c r="C51" s="38" t="s">
        <v>131</v>
      </c>
      <c r="D51" s="186" t="s">
        <v>145</v>
      </c>
      <c r="E51" s="187">
        <f>$T$24</f>
        <v>6</v>
      </c>
      <c r="F51" s="187" t="s">
        <v>145</v>
      </c>
      <c r="G51" s="187">
        <f>$T$24</f>
        <v>6</v>
      </c>
      <c r="H51" s="187" t="s">
        <v>145</v>
      </c>
      <c r="I51" s="187">
        <f>$T$24</f>
        <v>6</v>
      </c>
      <c r="J51" s="187" t="s">
        <v>145</v>
      </c>
      <c r="K51" s="187">
        <f>$T$24</f>
        <v>6</v>
      </c>
      <c r="L51" s="187" t="s">
        <v>145</v>
      </c>
      <c r="M51" s="187">
        <f>$T$24</f>
        <v>6</v>
      </c>
      <c r="N51" s="187" t="s">
        <v>145</v>
      </c>
      <c r="O51" s="187">
        <f>$T$24</f>
        <v>6</v>
      </c>
      <c r="P51" s="187" t="s">
        <v>145</v>
      </c>
      <c r="Q51" s="187">
        <f>$T$24</f>
        <v>6</v>
      </c>
      <c r="R51" s="187" t="s">
        <v>145</v>
      </c>
      <c r="S51" s="187">
        <f>$T$24</f>
        <v>6</v>
      </c>
      <c r="T51" s="187" t="s">
        <v>145</v>
      </c>
      <c r="U51" s="190">
        <f>$T$24</f>
        <v>6</v>
      </c>
      <c r="V51" s="195" t="str">
        <f>IF($V$36=$D$38,D51,IF($V$36=$F$38,F51,IF($V$36=$H$38,H51,IF($V$36=$L$38,L51,IF($V$36=$N$38,N51,IF($V$36=$P$38,P51,IF($V$36=$R$38,R51,T51)))))))</f>
        <v>PP/ Aluminium</v>
      </c>
      <c r="W51" s="196">
        <f>IF($V$36=$D$38,E51,IF($V$36=$F$38,G51,IF($V$36=$H$38,I51,IF($V$36=$L$38,M51,IF($V$36=$N$38,O51,IF($V$36=$P$38,Q51,IF($V$36=$R$38,S51,U51)))))))</f>
        <v>6</v>
      </c>
    </row>
    <row r="52" spans="1:23" ht="15.75" x14ac:dyDescent="0.25">
      <c r="B52" s="37"/>
      <c r="C52" s="60"/>
    </row>
    <row r="53" spans="1:23" x14ac:dyDescent="0.25">
      <c r="C53" s="36"/>
    </row>
    <row r="54" spans="1:23" ht="23.25" x14ac:dyDescent="0.25">
      <c r="A54" s="167"/>
      <c r="B54" s="171" t="s">
        <v>147</v>
      </c>
      <c r="C54" s="173"/>
      <c r="D54" s="167"/>
      <c r="E54" s="167"/>
      <c r="F54" s="167"/>
      <c r="G54" s="167"/>
      <c r="H54" s="167"/>
      <c r="I54" s="167"/>
      <c r="J54" s="167"/>
      <c r="K54" s="167"/>
      <c r="L54" s="167"/>
      <c r="M54" s="167"/>
      <c r="N54" s="167"/>
      <c r="O54" s="167"/>
      <c r="P54" s="167"/>
      <c r="Q54" s="167"/>
      <c r="R54" s="167"/>
      <c r="S54" s="167"/>
      <c r="T54" s="167"/>
      <c r="U54" s="167"/>
      <c r="V54" s="167"/>
    </row>
    <row r="55" spans="1:23" x14ac:dyDescent="0.25">
      <c r="C55" s="58"/>
    </row>
    <row r="56" spans="1:23" ht="15.75" thickBot="1" x14ac:dyDescent="0.3">
      <c r="C56" s="58"/>
    </row>
    <row r="57" spans="1:23" x14ac:dyDescent="0.25">
      <c r="B57" s="499" t="s">
        <v>43</v>
      </c>
      <c r="C57" s="501" t="s">
        <v>138</v>
      </c>
      <c r="D57" s="503"/>
      <c r="E57" s="505" t="s">
        <v>196</v>
      </c>
      <c r="F57" s="425" t="s">
        <v>137</v>
      </c>
      <c r="N57" s="484" t="s">
        <v>5</v>
      </c>
      <c r="O57" s="486" t="s">
        <v>230</v>
      </c>
    </row>
    <row r="58" spans="1:23" ht="18.75" customHeight="1" thickBot="1" x14ac:dyDescent="0.3">
      <c r="B58" s="500"/>
      <c r="C58" s="502"/>
      <c r="D58" s="504"/>
      <c r="E58" s="506"/>
      <c r="F58" s="507"/>
      <c r="H58" s="25"/>
      <c r="N58" s="485"/>
      <c r="O58" s="487"/>
      <c r="P58" s="25"/>
    </row>
    <row r="59" spans="1:23" ht="18" customHeight="1" x14ac:dyDescent="0.25">
      <c r="A59" s="488">
        <v>1</v>
      </c>
      <c r="B59" s="74" t="s">
        <v>71</v>
      </c>
      <c r="C59" s="61">
        <f>D86</f>
        <v>0.33</v>
      </c>
      <c r="D59" s="60"/>
      <c r="E59" s="229">
        <f>C59*W38</f>
        <v>13.416879126774514</v>
      </c>
      <c r="F59" s="78">
        <f>E59/($O$70*0.001)</f>
        <v>49.146077387452429</v>
      </c>
      <c r="L59" s="25"/>
      <c r="M59" s="25"/>
      <c r="N59" t="s">
        <v>99</v>
      </c>
      <c r="O59" s="249">
        <v>160</v>
      </c>
    </row>
    <row r="60" spans="1:23" ht="18" customHeight="1" x14ac:dyDescent="0.25">
      <c r="A60" s="489"/>
      <c r="B60" s="74" t="s">
        <v>119</v>
      </c>
      <c r="C60" s="61">
        <v>1.9E-2</v>
      </c>
      <c r="D60" s="60"/>
      <c r="E60" s="229">
        <f>C60*W39</f>
        <v>0.13300000000000001</v>
      </c>
      <c r="F60" s="78">
        <f t="shared" ref="F60:F69" si="14">E60/($O$70*0.001)</f>
        <v>0.48717948717948717</v>
      </c>
      <c r="H60" t="str">
        <f>"Anteilige Materialkosten auf Zellebene 
für "&amp;V36</f>
        <v>Anteilige Materialkosten auf Zellebene 
für NMC-622</v>
      </c>
      <c r="N60" t="s">
        <v>12</v>
      </c>
      <c r="O60" s="250">
        <v>180</v>
      </c>
    </row>
    <row r="61" spans="1:23" ht="18" customHeight="1" x14ac:dyDescent="0.25">
      <c r="A61" s="489"/>
      <c r="B61" s="74" t="s">
        <v>127</v>
      </c>
      <c r="C61" s="61">
        <v>2.8000000000000001E-2</v>
      </c>
      <c r="D61" s="60"/>
      <c r="E61" s="229">
        <f>C61*W40</f>
        <v>0.42</v>
      </c>
      <c r="F61" s="78">
        <f t="shared" si="14"/>
        <v>1.5384615384615383</v>
      </c>
      <c r="N61" t="s">
        <v>26</v>
      </c>
      <c r="O61" s="250">
        <v>170</v>
      </c>
    </row>
    <row r="62" spans="1:23" ht="18" customHeight="1" x14ac:dyDescent="0.25">
      <c r="A62" s="489"/>
      <c r="B62" s="74" t="s">
        <v>70</v>
      </c>
      <c r="C62" s="61">
        <f>C86</f>
        <v>0.21</v>
      </c>
      <c r="D62" s="497"/>
      <c r="E62" s="229">
        <f>C62*W43</f>
        <v>2.1</v>
      </c>
      <c r="F62" s="78">
        <f t="shared" si="14"/>
        <v>7.6923076923076916</v>
      </c>
      <c r="N62" t="s">
        <v>92</v>
      </c>
      <c r="O62" s="250">
        <v>262</v>
      </c>
    </row>
    <row r="63" spans="1:23" ht="18" customHeight="1" x14ac:dyDescent="0.25">
      <c r="A63" s="489"/>
      <c r="B63" s="74" t="s">
        <v>128</v>
      </c>
      <c r="C63" s="61">
        <v>1.4E-2</v>
      </c>
      <c r="D63" s="498"/>
      <c r="E63" s="229">
        <f>C63*W44</f>
        <v>0.14000000000000001</v>
      </c>
      <c r="F63" s="78">
        <f t="shared" si="14"/>
        <v>0.51282051282051289</v>
      </c>
      <c r="N63" t="s">
        <v>93</v>
      </c>
      <c r="O63" s="250">
        <v>269</v>
      </c>
    </row>
    <row r="64" spans="1:23" ht="18" customHeight="1" x14ac:dyDescent="0.25">
      <c r="A64" s="489"/>
      <c r="B64" s="74" t="s">
        <v>132</v>
      </c>
      <c r="C64" s="61">
        <v>8.2000000000000003E-2</v>
      </c>
      <c r="D64" s="498"/>
      <c r="E64" s="229">
        <f>C64*W48</f>
        <v>0.72160000000000013</v>
      </c>
      <c r="F64" s="78">
        <f t="shared" si="14"/>
        <v>2.6432234432234436</v>
      </c>
      <c r="N64" t="s">
        <v>94</v>
      </c>
      <c r="O64" s="250">
        <v>273</v>
      </c>
    </row>
    <row r="65" spans="1:16" ht="18" customHeight="1" x14ac:dyDescent="0.25">
      <c r="A65" s="489"/>
      <c r="B65" s="74" t="s">
        <v>129</v>
      </c>
      <c r="C65" s="61">
        <v>6.6000000000000003E-2</v>
      </c>
      <c r="D65" s="498"/>
      <c r="E65" s="229">
        <f>C65*W47</f>
        <v>0.21780000000000002</v>
      </c>
      <c r="F65" s="78">
        <f t="shared" si="14"/>
        <v>0.79780219780219785</v>
      </c>
      <c r="N65" t="s">
        <v>305</v>
      </c>
      <c r="O65" s="250">
        <v>276</v>
      </c>
    </row>
    <row r="66" spans="1:16" ht="18" customHeight="1" x14ac:dyDescent="0.25">
      <c r="A66" s="489"/>
      <c r="B66" s="74" t="s">
        <v>130</v>
      </c>
      <c r="C66" s="61">
        <v>0.14199999999999999</v>
      </c>
      <c r="D66" s="60"/>
      <c r="E66" s="229">
        <f>C66*W50</f>
        <v>2.2719999999999998</v>
      </c>
      <c r="F66" s="78">
        <f t="shared" si="14"/>
        <v>8.3223443223443212</v>
      </c>
      <c r="N66" t="s">
        <v>95</v>
      </c>
      <c r="O66" s="250">
        <v>280</v>
      </c>
    </row>
    <row r="67" spans="1:16" ht="18" customHeight="1" x14ac:dyDescent="0.25">
      <c r="A67" s="489"/>
      <c r="B67" s="74" t="s">
        <v>23</v>
      </c>
      <c r="C67" s="61">
        <v>1.6E-2</v>
      </c>
      <c r="D67" s="60"/>
      <c r="E67" s="229">
        <f>C67*W49</f>
        <v>1.28</v>
      </c>
      <c r="F67" s="78">
        <f t="shared" si="14"/>
        <v>4.688644688644688</v>
      </c>
      <c r="H67" s="59"/>
      <c r="N67" t="s">
        <v>11</v>
      </c>
      <c r="O67" s="250">
        <v>280</v>
      </c>
    </row>
    <row r="68" spans="1:16" ht="18" customHeight="1" thickBot="1" x14ac:dyDescent="0.3">
      <c r="A68" s="489"/>
      <c r="B68" s="74" t="s">
        <v>42</v>
      </c>
      <c r="C68" s="61">
        <v>9.2999999999999999E-2</v>
      </c>
      <c r="D68" s="60"/>
      <c r="E68" s="229">
        <f>C68*W51*O78</f>
        <v>0.78120000000000001</v>
      </c>
      <c r="F68" s="78">
        <f t="shared" si="14"/>
        <v>2.8615384615384611</v>
      </c>
    </row>
    <row r="69" spans="1:16" ht="18" customHeight="1" thickBot="1" x14ac:dyDescent="0.3">
      <c r="B69" s="75" t="s">
        <v>198</v>
      </c>
      <c r="C69" s="76">
        <v>0.27500000000000002</v>
      </c>
      <c r="D69" s="77"/>
      <c r="E69" s="230">
        <f>C69*W41</f>
        <v>0.74250000000000016</v>
      </c>
      <c r="F69" s="78">
        <f t="shared" si="14"/>
        <v>2.7197802197802203</v>
      </c>
      <c r="N69" s="251" t="s">
        <v>133</v>
      </c>
      <c r="O69" s="252"/>
    </row>
    <row r="70" spans="1:16" ht="21.75" thickBot="1" x14ac:dyDescent="0.4">
      <c r="B70" s="60"/>
      <c r="C70" s="60"/>
      <c r="D70" s="60"/>
      <c r="E70" s="197">
        <f>SUM(E59:E69)</f>
        <v>22.22497912677451</v>
      </c>
      <c r="F70" s="391">
        <f>SUM(F59:F69)</f>
        <v>81.410179951554994</v>
      </c>
      <c r="N70" s="213" t="str">
        <f>V36</f>
        <v>NMC-622</v>
      </c>
      <c r="O70" s="214">
        <f>VLOOKUP(V36,N59:O67,2)</f>
        <v>273</v>
      </c>
    </row>
    <row r="71" spans="1:16" ht="15.75" thickBot="1" x14ac:dyDescent="0.3">
      <c r="P71" s="1"/>
    </row>
    <row r="72" spans="1:16" ht="15.75" thickBot="1" x14ac:dyDescent="0.3">
      <c r="N72" s="211" t="s">
        <v>142</v>
      </c>
      <c r="O72" s="212" t="s">
        <v>143</v>
      </c>
    </row>
    <row r="73" spans="1:16" x14ac:dyDescent="0.25">
      <c r="B73" s="481" t="s">
        <v>219</v>
      </c>
      <c r="C73" s="482"/>
      <c r="D73" s="483"/>
      <c r="N73" s="19" t="s">
        <v>301</v>
      </c>
      <c r="O73" s="32">
        <v>1.4</v>
      </c>
    </row>
    <row r="74" spans="1:16" ht="15.75" thickBot="1" x14ac:dyDescent="0.3">
      <c r="B74" s="240" t="s">
        <v>6</v>
      </c>
      <c r="C74" s="241" t="s">
        <v>220</v>
      </c>
      <c r="D74" s="242" t="s">
        <v>221</v>
      </c>
      <c r="N74" s="19" t="s">
        <v>302</v>
      </c>
      <c r="O74" s="14">
        <v>1.8</v>
      </c>
    </row>
    <row r="75" spans="1:16" x14ac:dyDescent="0.25">
      <c r="B75" s="1" t="s">
        <v>99</v>
      </c>
      <c r="C75" s="237">
        <v>0.19</v>
      </c>
      <c r="D75" s="238">
        <v>0.35</v>
      </c>
      <c r="N75" s="19" t="s">
        <v>8</v>
      </c>
      <c r="O75" s="14">
        <v>1</v>
      </c>
    </row>
    <row r="76" spans="1:16" ht="15.75" thickBot="1" x14ac:dyDescent="0.3">
      <c r="B76" s="1" t="s">
        <v>12</v>
      </c>
      <c r="C76" s="237">
        <v>0.21</v>
      </c>
      <c r="D76" s="238">
        <v>0.33</v>
      </c>
    </row>
    <row r="77" spans="1:16" x14ac:dyDescent="0.25">
      <c r="B77" s="1" t="s">
        <v>26</v>
      </c>
      <c r="C77" s="237">
        <v>0.14000000000000001</v>
      </c>
      <c r="D77" s="238">
        <v>0.41</v>
      </c>
      <c r="N77" s="253" t="s">
        <v>144</v>
      </c>
      <c r="O77" s="252"/>
    </row>
    <row r="78" spans="1:16" ht="15.75" thickBot="1" x14ac:dyDescent="0.3">
      <c r="B78" s="1" t="s">
        <v>92</v>
      </c>
      <c r="C78" s="237">
        <v>0.19</v>
      </c>
      <c r="D78" s="238">
        <v>0.35</v>
      </c>
      <c r="N78" s="213" t="str">
        <f>Überblick!C16</f>
        <v>round</v>
      </c>
      <c r="O78" s="214">
        <f>VLOOKUP(N78,N73:O75,2,0)</f>
        <v>1.4</v>
      </c>
    </row>
    <row r="79" spans="1:16" x14ac:dyDescent="0.25">
      <c r="B79" s="1" t="s">
        <v>93</v>
      </c>
      <c r="C79" s="237">
        <v>0.21</v>
      </c>
      <c r="D79" s="238">
        <v>0.33</v>
      </c>
    </row>
    <row r="80" spans="1:16" x14ac:dyDescent="0.25">
      <c r="B80" s="1" t="s">
        <v>94</v>
      </c>
      <c r="C80" s="237">
        <v>0.21</v>
      </c>
      <c r="D80" s="238">
        <v>0.33</v>
      </c>
    </row>
    <row r="81" spans="1:22" x14ac:dyDescent="0.25">
      <c r="B81" s="1" t="s">
        <v>305</v>
      </c>
      <c r="C81" s="237">
        <v>0.22</v>
      </c>
      <c r="D81" s="238">
        <v>0.32</v>
      </c>
    </row>
    <row r="82" spans="1:22" x14ac:dyDescent="0.25">
      <c r="B82" s="1" t="s">
        <v>95</v>
      </c>
      <c r="C82" s="237">
        <v>0.22</v>
      </c>
      <c r="D82" s="238">
        <v>0.32</v>
      </c>
    </row>
    <row r="83" spans="1:22" ht="15.75" thickBot="1" x14ac:dyDescent="0.3">
      <c r="B83" s="232" t="s">
        <v>11</v>
      </c>
      <c r="C83" s="239">
        <v>0.23</v>
      </c>
      <c r="D83" s="236">
        <v>0.31</v>
      </c>
    </row>
    <row r="84" spans="1:22" ht="15.75" thickBot="1" x14ac:dyDescent="0.3"/>
    <row r="85" spans="1:22" x14ac:dyDescent="0.25">
      <c r="B85" s="254" t="s">
        <v>133</v>
      </c>
      <c r="C85" s="233" t="s">
        <v>220</v>
      </c>
      <c r="D85" s="234" t="s">
        <v>221</v>
      </c>
    </row>
    <row r="86" spans="1:22" ht="15.75" thickBot="1" x14ac:dyDescent="0.3">
      <c r="B86" s="213" t="str">
        <f>V36</f>
        <v>NMC-622</v>
      </c>
      <c r="C86" s="235">
        <f>VLOOKUP(B86,B75:D83,2,1)</f>
        <v>0.21</v>
      </c>
      <c r="D86" s="236">
        <f>VLOOKUP(B86,B75:D83,3,1)</f>
        <v>0.33</v>
      </c>
    </row>
    <row r="92" spans="1:22" ht="23.25" x14ac:dyDescent="0.25">
      <c r="A92" s="167"/>
      <c r="B92" s="171" t="s">
        <v>218</v>
      </c>
      <c r="C92" s="173"/>
      <c r="D92" s="167"/>
      <c r="E92" s="167"/>
      <c r="F92" s="167"/>
      <c r="G92" s="167"/>
      <c r="H92" s="167"/>
      <c r="I92" s="167"/>
      <c r="J92" s="167"/>
      <c r="K92" s="167"/>
      <c r="L92" s="167"/>
      <c r="M92" s="167"/>
      <c r="N92" s="167"/>
      <c r="O92" s="167"/>
      <c r="P92" s="167"/>
      <c r="Q92" s="167"/>
      <c r="R92" s="167"/>
      <c r="S92" s="167"/>
      <c r="T92" s="167"/>
      <c r="U92" s="167"/>
      <c r="V92" s="167"/>
    </row>
    <row r="93" spans="1:22" ht="15.75" thickBot="1" x14ac:dyDescent="0.3"/>
    <row r="94" spans="1:22" x14ac:dyDescent="0.25">
      <c r="B94" s="290" t="s">
        <v>41</v>
      </c>
      <c r="C94" s="292">
        <f>C95+Überblick!$C$15*Materialkosten!C96</f>
        <v>410</v>
      </c>
      <c r="E94" s="290" t="s">
        <v>63</v>
      </c>
      <c r="F94" s="292">
        <f>F95+Überblick!$C$15*Materialkosten!F96</f>
        <v>330</v>
      </c>
      <c r="H94" s="290" t="s">
        <v>42</v>
      </c>
      <c r="I94" s="292">
        <f>I95+Überblick!$C$15*Materialkosten!I96</f>
        <v>1090</v>
      </c>
      <c r="K94" s="290" t="s">
        <v>116</v>
      </c>
      <c r="L94" s="292">
        <f>L95+L96+Überblick!$C$15*L97+L98</f>
        <v>480</v>
      </c>
    </row>
    <row r="95" spans="1:22" x14ac:dyDescent="0.25">
      <c r="B95" s="1" t="s">
        <v>238</v>
      </c>
      <c r="C95" s="293">
        <v>270</v>
      </c>
      <c r="E95" s="1" t="s">
        <v>238</v>
      </c>
      <c r="F95" s="293">
        <v>120</v>
      </c>
      <c r="H95" s="1" t="s">
        <v>238</v>
      </c>
      <c r="I95" s="293">
        <v>600</v>
      </c>
      <c r="K95" s="1" t="s">
        <v>240</v>
      </c>
      <c r="L95" s="297">
        <v>50</v>
      </c>
    </row>
    <row r="96" spans="1:22" ht="15.75" thickBot="1" x14ac:dyDescent="0.3">
      <c r="B96" s="232" t="s">
        <v>237</v>
      </c>
      <c r="C96" s="294">
        <v>2</v>
      </c>
      <c r="E96" s="232" t="s">
        <v>237</v>
      </c>
      <c r="F96" s="294">
        <v>3</v>
      </c>
      <c r="H96" s="232" t="s">
        <v>237</v>
      </c>
      <c r="I96" s="294">
        <v>7</v>
      </c>
      <c r="K96" s="1" t="s">
        <v>243</v>
      </c>
      <c r="L96" s="298">
        <v>150</v>
      </c>
    </row>
    <row r="97" spans="11:12" ht="15.75" thickBot="1" x14ac:dyDescent="0.3">
      <c r="K97" s="232" t="s">
        <v>237</v>
      </c>
      <c r="L97" s="295">
        <v>1</v>
      </c>
    </row>
    <row r="98" spans="11:12" ht="15.75" thickBot="1" x14ac:dyDescent="0.3">
      <c r="K98" s="296" t="s">
        <v>242</v>
      </c>
      <c r="L98" s="299">
        <v>210</v>
      </c>
    </row>
  </sheetData>
  <mergeCells count="27">
    <mergeCell ref="F57:F58"/>
    <mergeCell ref="S27:T27"/>
    <mergeCell ref="S28:T28"/>
    <mergeCell ref="V35:W35"/>
    <mergeCell ref="V36:W36"/>
    <mergeCell ref="L35:M36"/>
    <mergeCell ref="N35:O36"/>
    <mergeCell ref="P35:Q36"/>
    <mergeCell ref="R35:S36"/>
    <mergeCell ref="T35:U36"/>
    <mergeCell ref="J35:K36"/>
    <mergeCell ref="K16:K27"/>
    <mergeCell ref="B73:D73"/>
    <mergeCell ref="N57:N58"/>
    <mergeCell ref="O57:O58"/>
    <mergeCell ref="A59:A68"/>
    <mergeCell ref="B47:B51"/>
    <mergeCell ref="B38:B41"/>
    <mergeCell ref="B43:B45"/>
    <mergeCell ref="D35:E36"/>
    <mergeCell ref="F35:G36"/>
    <mergeCell ref="D62:D65"/>
    <mergeCell ref="H35:I36"/>
    <mergeCell ref="B57:B58"/>
    <mergeCell ref="C57:C58"/>
    <mergeCell ref="D57:D58"/>
    <mergeCell ref="E57:E58"/>
  </mergeCells>
  <pageMargins left="0.7" right="0.7" top="0.78740157499999996" bottom="0.78740157499999996" header="0.3" footer="0.3"/>
  <pageSetup paperSize="9" orientation="landscape" horizontalDpi="1200" verticalDpi="1200" r:id="rId1"/>
  <ignoredErrors>
    <ignoredError sqref="E65:E66" formula="1"/>
  </ignoredErrors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Tabelle5">
    <tabColor theme="7" tint="0.79998168889431442"/>
  </sheetPr>
  <dimension ref="A1:Q69"/>
  <sheetViews>
    <sheetView showGridLines="0" showZeros="0" topLeftCell="A44" zoomScale="85" zoomScaleNormal="85" workbookViewId="0">
      <selection activeCell="O68" sqref="O68"/>
    </sheetView>
  </sheetViews>
  <sheetFormatPr baseColWidth="10" defaultRowHeight="15" x14ac:dyDescent="0.25"/>
  <cols>
    <col min="1" max="1" width="4.85546875" customWidth="1"/>
    <col min="2" max="2" width="17.28515625" customWidth="1"/>
    <col min="3" max="3" width="12.28515625" bestFit="1" customWidth="1"/>
    <col min="6" max="6" width="4.5703125" customWidth="1"/>
    <col min="7" max="7" width="11.5703125" customWidth="1"/>
    <col min="8" max="8" width="15.85546875" customWidth="1"/>
    <col min="9" max="9" width="12" bestFit="1" customWidth="1"/>
    <col min="11" max="11" width="12.85546875" customWidth="1"/>
    <col min="12" max="12" width="13.7109375" customWidth="1"/>
    <col min="13" max="13" width="14.5703125" customWidth="1"/>
    <col min="15" max="15" width="11.85546875" customWidth="1"/>
  </cols>
  <sheetData>
    <row r="1" spans="1:17" ht="18.75" x14ac:dyDescent="0.3">
      <c r="A1" s="305" t="s">
        <v>294</v>
      </c>
      <c r="B1" s="306"/>
      <c r="C1" s="306"/>
      <c r="D1" s="306"/>
      <c r="E1" s="306"/>
      <c r="F1" s="305"/>
      <c r="G1" s="306"/>
      <c r="H1" s="306"/>
      <c r="I1" s="306"/>
      <c r="J1" s="306"/>
      <c r="K1" s="306"/>
      <c r="L1" s="306"/>
      <c r="M1" s="306"/>
      <c r="N1" s="306"/>
      <c r="O1" s="306"/>
      <c r="P1" s="306"/>
      <c r="Q1" s="306"/>
    </row>
    <row r="2" spans="1:17" ht="15.75" thickBot="1" x14ac:dyDescent="0.3"/>
    <row r="3" spans="1:17" ht="15.75" thickBot="1" x14ac:dyDescent="0.3">
      <c r="B3" s="331" t="s">
        <v>251</v>
      </c>
      <c r="C3" s="360">
        <f>Überblick!C13</f>
        <v>2</v>
      </c>
      <c r="F3" s="541" t="s">
        <v>244</v>
      </c>
      <c r="G3" s="542"/>
      <c r="H3" s="520" t="s">
        <v>251</v>
      </c>
      <c r="I3" s="521"/>
      <c r="J3" s="521"/>
      <c r="K3" s="521"/>
      <c r="L3" s="522"/>
      <c r="M3" s="337" t="s">
        <v>176</v>
      </c>
      <c r="N3" s="2"/>
      <c r="O3" s="523" t="s">
        <v>259</v>
      </c>
      <c r="P3" s="535" t="s">
        <v>260</v>
      </c>
      <c r="Q3" s="536"/>
    </row>
    <row r="4" spans="1:17" ht="15.75" thickBot="1" x14ac:dyDescent="0.3">
      <c r="B4" s="332" t="s">
        <v>252</v>
      </c>
      <c r="C4" s="330">
        <f>Überblick!C12</f>
        <v>200</v>
      </c>
      <c r="F4" s="543"/>
      <c r="G4" s="544"/>
      <c r="H4" s="393">
        <v>1</v>
      </c>
      <c r="I4" s="336">
        <v>2</v>
      </c>
      <c r="J4" s="336" t="s">
        <v>20</v>
      </c>
      <c r="K4" s="336" t="s">
        <v>249</v>
      </c>
      <c r="L4" s="394" t="s">
        <v>250</v>
      </c>
      <c r="M4" s="335">
        <f>C3</f>
        <v>2</v>
      </c>
      <c r="O4" s="524"/>
      <c r="P4" s="312" t="s">
        <v>253</v>
      </c>
      <c r="Q4" s="313" t="s">
        <v>254</v>
      </c>
    </row>
    <row r="5" spans="1:17" ht="14.25" customHeight="1" x14ac:dyDescent="0.25">
      <c r="F5" s="525" t="s">
        <v>261</v>
      </c>
      <c r="G5" s="324" t="s">
        <v>255</v>
      </c>
      <c r="H5" s="327">
        <f>P5*C4</f>
        <v>200</v>
      </c>
      <c r="I5" s="92">
        <f>0.5*C4</f>
        <v>100</v>
      </c>
      <c r="J5" s="92">
        <f>P7*C4</f>
        <v>80</v>
      </c>
      <c r="K5" s="92">
        <f>P8*C4</f>
        <v>60</v>
      </c>
      <c r="L5" s="327">
        <f>0.5*P9*C4</f>
        <v>50</v>
      </c>
      <c r="M5" s="334">
        <f>HLOOKUP($M$4,$H$4:$L$10,2,0)</f>
        <v>100</v>
      </c>
      <c r="O5" s="310">
        <v>1</v>
      </c>
      <c r="P5" s="314">
        <v>1</v>
      </c>
      <c r="Q5" s="315"/>
    </row>
    <row r="6" spans="1:17" x14ac:dyDescent="0.25">
      <c r="F6" s="525"/>
      <c r="G6" s="324" t="s">
        <v>256</v>
      </c>
      <c r="H6" s="322"/>
      <c r="I6">
        <f>0.5*C4</f>
        <v>100</v>
      </c>
      <c r="J6">
        <f>Q7*C4</f>
        <v>120</v>
      </c>
      <c r="K6">
        <f>0.5*Q8*C4</f>
        <v>70</v>
      </c>
      <c r="L6">
        <f>0.5*P9*C4</f>
        <v>50</v>
      </c>
      <c r="M6" s="333">
        <f>HLOOKUP($M$4,$H$4:$L$10,3,0)</f>
        <v>100</v>
      </c>
      <c r="N6" s="90"/>
      <c r="O6" s="339">
        <v>2</v>
      </c>
      <c r="P6" s="316">
        <v>1</v>
      </c>
      <c r="Q6" s="317"/>
    </row>
    <row r="7" spans="1:17" x14ac:dyDescent="0.25">
      <c r="F7" s="525"/>
      <c r="G7" s="324" t="s">
        <v>257</v>
      </c>
      <c r="H7" s="322"/>
      <c r="I7" s="322"/>
      <c r="J7" s="322"/>
      <c r="K7">
        <f>0.5*Q8*C4</f>
        <v>70</v>
      </c>
      <c r="L7">
        <f>0.5*Q9*C4</f>
        <v>50</v>
      </c>
      <c r="M7" s="333">
        <f>HLOOKUP($M$4,$H$4:$L$10,4,0)</f>
        <v>0</v>
      </c>
      <c r="N7" s="90"/>
      <c r="O7" s="339" t="s">
        <v>20</v>
      </c>
      <c r="P7" s="318">
        <v>0.4</v>
      </c>
      <c r="Q7" s="319">
        <v>0.6</v>
      </c>
    </row>
    <row r="8" spans="1:17" ht="15.75" thickBot="1" x14ac:dyDescent="0.3">
      <c r="F8" s="525"/>
      <c r="G8" s="328" t="s">
        <v>258</v>
      </c>
      <c r="H8" s="323"/>
      <c r="I8" s="323"/>
      <c r="J8" s="323"/>
      <c r="K8" s="323"/>
      <c r="L8" s="12">
        <f>0.5*Q9*C4</f>
        <v>50</v>
      </c>
      <c r="M8" s="333">
        <f>HLOOKUP($M$4,$H$4:$L$10,5,0)</f>
        <v>0</v>
      </c>
      <c r="N8" s="90"/>
      <c r="O8" s="339" t="s">
        <v>249</v>
      </c>
      <c r="P8" s="318">
        <v>0.3</v>
      </c>
      <c r="Q8" s="319">
        <v>0.7</v>
      </c>
    </row>
    <row r="9" spans="1:17" ht="15.75" thickBot="1" x14ac:dyDescent="0.3">
      <c r="F9" s="525"/>
      <c r="G9" s="539" t="s">
        <v>262</v>
      </c>
      <c r="H9" s="92">
        <f>H5</f>
        <v>200</v>
      </c>
      <c r="I9" s="329"/>
      <c r="J9" s="92">
        <f>J5</f>
        <v>80</v>
      </c>
      <c r="K9" s="92">
        <f>K5</f>
        <v>60</v>
      </c>
      <c r="L9" s="329"/>
      <c r="M9" s="334">
        <f>HLOOKUP($M$4,$H$4:$L$10,6,0)</f>
        <v>0</v>
      </c>
      <c r="O9" s="311" t="s">
        <v>250</v>
      </c>
      <c r="P9" s="320">
        <v>0.5</v>
      </c>
      <c r="Q9" s="321">
        <v>0.5</v>
      </c>
    </row>
    <row r="10" spans="1:17" ht="15.75" thickBot="1" x14ac:dyDescent="0.3">
      <c r="F10" s="526"/>
      <c r="G10" s="540"/>
      <c r="H10" s="323"/>
      <c r="I10" s="323"/>
      <c r="J10" s="12">
        <f>J6</f>
        <v>120</v>
      </c>
      <c r="K10" s="323"/>
      <c r="L10" s="323"/>
      <c r="M10" s="340">
        <f>HLOOKUP($M$4,$H$4:$L$10,7,0)</f>
        <v>0</v>
      </c>
      <c r="P10" s="537">
        <v>1</v>
      </c>
      <c r="Q10" s="538"/>
    </row>
    <row r="13" spans="1:17" ht="15.75" thickBot="1" x14ac:dyDescent="0.3"/>
    <row r="14" spans="1:17" ht="17.649999999999999" customHeight="1" thickBot="1" x14ac:dyDescent="0.3">
      <c r="H14" s="375" t="s">
        <v>273</v>
      </c>
      <c r="I14" s="376" t="s">
        <v>280</v>
      </c>
      <c r="J14" s="376" t="s">
        <v>246</v>
      </c>
      <c r="K14" s="376" t="s">
        <v>262</v>
      </c>
      <c r="L14" s="377" t="s">
        <v>282</v>
      </c>
      <c r="M14" s="381" t="s">
        <v>286</v>
      </c>
    </row>
    <row r="15" spans="1:17" ht="28.15" customHeight="1" thickBot="1" x14ac:dyDescent="0.3">
      <c r="F15" s="531" t="s">
        <v>272</v>
      </c>
      <c r="G15" s="532"/>
      <c r="H15" s="378">
        <f>L26*$M$65*$P$69</f>
        <v>1333.2</v>
      </c>
      <c r="I15" s="379">
        <f>L38*$M$65*$P$69</f>
        <v>2076.8000000000002</v>
      </c>
      <c r="J15" s="379">
        <f>L49*$M$65*$P$69</f>
        <v>1892.0000000000002</v>
      </c>
      <c r="K15" s="379">
        <f>L59*$M$65*$P$69</f>
        <v>0</v>
      </c>
      <c r="L15" s="380">
        <f>L61*$M$65*$P$69</f>
        <v>66</v>
      </c>
      <c r="M15" s="382">
        <f>SUM(H15:L15)</f>
        <v>5368</v>
      </c>
      <c r="N15" s="225"/>
    </row>
    <row r="16" spans="1:17" x14ac:dyDescent="0.25">
      <c r="H16" s="225"/>
      <c r="I16" s="406"/>
      <c r="J16" s="406"/>
      <c r="K16" s="406"/>
      <c r="L16" s="44"/>
    </row>
    <row r="18" spans="1:17" ht="18.75" x14ac:dyDescent="0.3">
      <c r="A18" s="304" t="s">
        <v>273</v>
      </c>
      <c r="B18" s="167"/>
      <c r="C18" s="167"/>
      <c r="D18" s="167"/>
      <c r="E18" s="167"/>
      <c r="F18" s="167"/>
      <c r="G18" s="167"/>
      <c r="H18" s="167"/>
      <c r="I18" s="167"/>
      <c r="J18" s="167"/>
      <c r="K18" s="167"/>
      <c r="L18" s="167"/>
      <c r="M18" s="167"/>
      <c r="N18" s="167"/>
      <c r="O18" s="167"/>
      <c r="P18" s="167"/>
      <c r="Q18" s="167"/>
    </row>
    <row r="19" spans="1:17" ht="15.75" thickBot="1" x14ac:dyDescent="0.3"/>
    <row r="20" spans="1:17" ht="15.75" thickBot="1" x14ac:dyDescent="0.3">
      <c r="H20" s="342" t="s">
        <v>265</v>
      </c>
      <c r="I20" s="344">
        <v>96</v>
      </c>
      <c r="K20" s="527" t="s">
        <v>271</v>
      </c>
      <c r="L20" s="528"/>
    </row>
    <row r="21" spans="1:17" ht="15.75" thickBot="1" x14ac:dyDescent="0.3">
      <c r="B21">
        <v>0</v>
      </c>
      <c r="C21" s="341">
        <f>$I$20+$I$21*B21</f>
        <v>96</v>
      </c>
      <c r="D21" s="341"/>
      <c r="H21" s="343" t="s">
        <v>264</v>
      </c>
      <c r="I21" s="345">
        <v>5.0999999999999996</v>
      </c>
      <c r="K21" s="351" t="s">
        <v>267</v>
      </c>
      <c r="L21" s="352">
        <f>I20+I21*M5</f>
        <v>606</v>
      </c>
      <c r="N21" s="225"/>
    </row>
    <row r="22" spans="1:17" x14ac:dyDescent="0.25">
      <c r="B22">
        <v>50</v>
      </c>
      <c r="C22" s="341">
        <f t="shared" ref="C22:C27" si="0">$I$20+$I$21*B22</f>
        <v>351</v>
      </c>
      <c r="D22" s="341"/>
      <c r="K22" s="347" t="s">
        <v>268</v>
      </c>
      <c r="L22" s="349">
        <f>IF($I$24&gt;1,$I$20+M6*$I$21,0)</f>
        <v>606</v>
      </c>
      <c r="N22" s="225"/>
    </row>
    <row r="23" spans="1:17" ht="15.75" thickBot="1" x14ac:dyDescent="0.3">
      <c r="B23">
        <v>100</v>
      </c>
      <c r="C23" s="341">
        <f t="shared" si="0"/>
        <v>606</v>
      </c>
      <c r="D23" s="341"/>
      <c r="K23" s="347" t="s">
        <v>269</v>
      </c>
      <c r="L23" s="349">
        <f>IF($I$24&gt;2,$I$20+M7*$I$21,0)</f>
        <v>0</v>
      </c>
    </row>
    <row r="24" spans="1:17" ht="15.75" thickBot="1" x14ac:dyDescent="0.3">
      <c r="B24">
        <v>150</v>
      </c>
      <c r="C24" s="341">
        <f t="shared" si="0"/>
        <v>861</v>
      </c>
      <c r="D24" s="341"/>
      <c r="H24" s="96" t="s">
        <v>266</v>
      </c>
      <c r="I24" s="346">
        <f>4-COUNTIF(M5:M8,0)</f>
        <v>2</v>
      </c>
      <c r="K24" s="348" t="s">
        <v>270</v>
      </c>
      <c r="L24" s="350">
        <f>IF($I$24&gt;3,$I$20+M8*$I$21,0)</f>
        <v>0</v>
      </c>
    </row>
    <row r="25" spans="1:17" ht="15.75" thickBot="1" x14ac:dyDescent="0.3">
      <c r="B25">
        <v>200</v>
      </c>
      <c r="C25" s="341">
        <f t="shared" si="0"/>
        <v>1116</v>
      </c>
      <c r="D25" s="341"/>
    </row>
    <row r="26" spans="1:17" ht="15.75" thickBot="1" x14ac:dyDescent="0.3">
      <c r="B26">
        <v>250</v>
      </c>
      <c r="C26" s="341">
        <f t="shared" si="0"/>
        <v>1371</v>
      </c>
      <c r="D26" s="341"/>
      <c r="K26" s="354" t="s">
        <v>272</v>
      </c>
      <c r="L26" s="353">
        <f>SUM(L21:L24)</f>
        <v>1212</v>
      </c>
    </row>
    <row r="27" spans="1:17" x14ac:dyDescent="0.25">
      <c r="B27">
        <v>300</v>
      </c>
      <c r="C27" s="341">
        <f t="shared" si="0"/>
        <v>1626</v>
      </c>
      <c r="D27" s="341"/>
      <c r="H27" s="341"/>
      <c r="J27" s="341"/>
    </row>
    <row r="29" spans="1:17" ht="18.75" x14ac:dyDescent="0.3">
      <c r="A29" s="304" t="s">
        <v>245</v>
      </c>
      <c r="B29" s="167"/>
      <c r="C29" s="167"/>
      <c r="D29" s="167"/>
      <c r="E29" s="167"/>
      <c r="F29" s="167"/>
      <c r="G29" s="167"/>
      <c r="H29" s="167"/>
      <c r="I29" s="167"/>
      <c r="J29" s="167"/>
      <c r="K29" s="167"/>
      <c r="L29" s="167"/>
      <c r="M29" s="167"/>
      <c r="N29" s="167"/>
      <c r="O29" s="167"/>
      <c r="P29" s="167"/>
      <c r="Q29" s="167"/>
    </row>
    <row r="30" spans="1:17" ht="15.75" thickBot="1" x14ac:dyDescent="0.3"/>
    <row r="31" spans="1:17" ht="15.75" thickBot="1" x14ac:dyDescent="0.3">
      <c r="B31" s="280" t="s">
        <v>263</v>
      </c>
      <c r="C31" s="280" t="s">
        <v>274</v>
      </c>
      <c r="D31" s="280" t="s">
        <v>275</v>
      </c>
      <c r="G31" s="529" t="s">
        <v>10</v>
      </c>
      <c r="H31" s="342" t="s">
        <v>265</v>
      </c>
      <c r="I31" s="344">
        <v>414</v>
      </c>
      <c r="K31" s="527" t="s">
        <v>279</v>
      </c>
      <c r="L31" s="528"/>
    </row>
    <row r="32" spans="1:17" ht="15.75" thickBot="1" x14ac:dyDescent="0.3">
      <c r="B32">
        <v>0</v>
      </c>
      <c r="C32" s="225">
        <f>$I$31+$I$32*B32</f>
        <v>414</v>
      </c>
      <c r="D32" s="225">
        <f>$I$34+$I$35*B32</f>
        <v>414</v>
      </c>
      <c r="G32" s="530"/>
      <c r="H32" s="343" t="s">
        <v>264</v>
      </c>
      <c r="I32" s="345">
        <v>4.8</v>
      </c>
      <c r="K32" s="351" t="s">
        <v>267</v>
      </c>
      <c r="L32" s="352">
        <f>IF(I38="ASM",I31+M5*I32,I34+M5*I35)</f>
        <v>944</v>
      </c>
      <c r="M32" s="225"/>
    </row>
    <row r="33" spans="1:17" ht="15.75" thickBot="1" x14ac:dyDescent="0.3">
      <c r="B33">
        <v>50</v>
      </c>
      <c r="C33" s="225">
        <f t="shared" ref="C33:C38" si="1">$I$31+$I$32*B33</f>
        <v>654</v>
      </c>
      <c r="D33" s="225">
        <f t="shared" ref="D33:D38" si="2">$I$34+$I$35*B33</f>
        <v>679</v>
      </c>
      <c r="K33" s="347" t="s">
        <v>268</v>
      </c>
      <c r="L33" s="349">
        <f>IF($I$39&gt;1,IF($I$38="ASM",$I$31+M6*$I$32,$I$34+M6*$I$35),0)</f>
        <v>944</v>
      </c>
    </row>
    <row r="34" spans="1:17" x14ac:dyDescent="0.25">
      <c r="B34">
        <v>100</v>
      </c>
      <c r="C34" s="225">
        <f t="shared" si="1"/>
        <v>894</v>
      </c>
      <c r="D34" s="225">
        <f t="shared" si="2"/>
        <v>944</v>
      </c>
      <c r="G34" s="529" t="s">
        <v>9</v>
      </c>
      <c r="H34" s="342" t="s">
        <v>265</v>
      </c>
      <c r="I34" s="344">
        <v>414</v>
      </c>
      <c r="K34" s="347" t="s">
        <v>269</v>
      </c>
      <c r="L34" s="349">
        <f>IF($I$39&gt;2,IF($I$38="ASM",$I$31+M7*$I$32,$I$34+M7*$I$35),0)</f>
        <v>0</v>
      </c>
    </row>
    <row r="35" spans="1:17" ht="15.75" thickBot="1" x14ac:dyDescent="0.3">
      <c r="B35">
        <v>150</v>
      </c>
      <c r="C35" s="225">
        <f t="shared" si="1"/>
        <v>1134</v>
      </c>
      <c r="D35" s="225">
        <f t="shared" si="2"/>
        <v>1209</v>
      </c>
      <c r="G35" s="530"/>
      <c r="H35" s="343" t="s">
        <v>264</v>
      </c>
      <c r="I35" s="345">
        <v>5.3</v>
      </c>
      <c r="K35" s="348" t="s">
        <v>270</v>
      </c>
      <c r="L35" s="350">
        <f>IF($I$39&gt;3,IF($I$38="ASM",$I$31+M8*$I$32,$I$34+M8*$I$35),0)</f>
        <v>0</v>
      </c>
    </row>
    <row r="36" spans="1:17" x14ac:dyDescent="0.25">
      <c r="B36">
        <v>200</v>
      </c>
      <c r="C36" s="225">
        <f t="shared" si="1"/>
        <v>1374</v>
      </c>
      <c r="D36" s="225">
        <f t="shared" si="2"/>
        <v>1474</v>
      </c>
    </row>
    <row r="37" spans="1:17" ht="15.75" thickBot="1" x14ac:dyDescent="0.3">
      <c r="B37">
        <v>250</v>
      </c>
      <c r="C37" s="225">
        <f t="shared" si="1"/>
        <v>1614</v>
      </c>
      <c r="D37" s="225">
        <f t="shared" si="2"/>
        <v>1739</v>
      </c>
    </row>
    <row r="38" spans="1:17" ht="15.75" thickBot="1" x14ac:dyDescent="0.3">
      <c r="B38">
        <v>300</v>
      </c>
      <c r="C38" s="225">
        <f t="shared" si="1"/>
        <v>1854</v>
      </c>
      <c r="D38" s="225">
        <f t="shared" si="2"/>
        <v>2004</v>
      </c>
      <c r="H38" s="96" t="s">
        <v>4</v>
      </c>
      <c r="I38" s="355" t="str">
        <f>Überblick!C14</f>
        <v>PSM</v>
      </c>
      <c r="K38" s="354" t="s">
        <v>272</v>
      </c>
      <c r="L38" s="353">
        <f>SUM(L32:L35)</f>
        <v>1888</v>
      </c>
    </row>
    <row r="39" spans="1:17" ht="15.75" thickBot="1" x14ac:dyDescent="0.3">
      <c r="H39" s="96" t="s">
        <v>3</v>
      </c>
      <c r="I39" s="356">
        <f>4-COUNTIF(M5:M8,0)</f>
        <v>2</v>
      </c>
    </row>
    <row r="41" spans="1:17" ht="18.75" x14ac:dyDescent="0.3">
      <c r="A41" s="304" t="s">
        <v>246</v>
      </c>
      <c r="B41" s="167"/>
      <c r="C41" s="167"/>
      <c r="D41" s="167"/>
      <c r="E41" s="167"/>
      <c r="F41" s="167"/>
      <c r="G41" s="167"/>
      <c r="H41" s="167"/>
      <c r="I41" s="167"/>
      <c r="J41" s="167"/>
      <c r="K41" s="167"/>
      <c r="L41" s="167"/>
      <c r="M41" s="167"/>
      <c r="N41" s="167"/>
      <c r="O41" s="167"/>
      <c r="P41" s="167"/>
      <c r="Q41" s="167"/>
    </row>
    <row r="42" spans="1:17" ht="15.75" thickBot="1" x14ac:dyDescent="0.3"/>
    <row r="43" spans="1:17" ht="15.75" thickBot="1" x14ac:dyDescent="0.3">
      <c r="H43" s="342" t="s">
        <v>265</v>
      </c>
      <c r="I43" s="344">
        <v>510</v>
      </c>
      <c r="K43" s="527" t="s">
        <v>277</v>
      </c>
      <c r="L43" s="528"/>
    </row>
    <row r="44" spans="1:17" ht="15.75" thickBot="1" x14ac:dyDescent="0.3">
      <c r="B44">
        <v>0</v>
      </c>
      <c r="C44" s="357">
        <f>$I$43+$I$44*B44</f>
        <v>510</v>
      </c>
      <c r="H44" s="343" t="s">
        <v>264</v>
      </c>
      <c r="I44" s="345">
        <v>3.5</v>
      </c>
      <c r="K44" s="351" t="s">
        <v>267</v>
      </c>
      <c r="L44" s="352">
        <f>I43+I44*M5</f>
        <v>860</v>
      </c>
    </row>
    <row r="45" spans="1:17" x14ac:dyDescent="0.25">
      <c r="B45">
        <v>50</v>
      </c>
      <c r="C45" s="357">
        <f t="shared" ref="C45:C50" si="3">$I$43+$I$44*B45</f>
        <v>685</v>
      </c>
      <c r="K45" s="347" t="s">
        <v>268</v>
      </c>
      <c r="L45" s="349">
        <f>IF($I$47&gt;1,$I$43+M5*$I$44,0)</f>
        <v>860</v>
      </c>
    </row>
    <row r="46" spans="1:17" ht="15.75" thickBot="1" x14ac:dyDescent="0.3">
      <c r="B46">
        <v>100</v>
      </c>
      <c r="C46" s="357">
        <f t="shared" si="3"/>
        <v>860</v>
      </c>
      <c r="K46" s="347" t="s">
        <v>269</v>
      </c>
      <c r="L46" s="349">
        <f>IF($I$47&gt;2,$I$43+M6*$I$44,0)</f>
        <v>0</v>
      </c>
    </row>
    <row r="47" spans="1:17" ht="15.75" thickBot="1" x14ac:dyDescent="0.3">
      <c r="B47">
        <v>150</v>
      </c>
      <c r="C47" s="357">
        <f t="shared" si="3"/>
        <v>1035</v>
      </c>
      <c r="H47" s="96" t="s">
        <v>276</v>
      </c>
      <c r="I47" s="346">
        <f>4-COUNTIF(M5:M8,0)</f>
        <v>2</v>
      </c>
      <c r="K47" s="348" t="s">
        <v>270</v>
      </c>
      <c r="L47" s="350">
        <f>IF($I$47&gt;3,$I$43+M7*$I$44,0)</f>
        <v>0</v>
      </c>
    </row>
    <row r="48" spans="1:17" ht="15.75" thickBot="1" x14ac:dyDescent="0.3">
      <c r="B48">
        <v>200</v>
      </c>
      <c r="C48" s="357">
        <f t="shared" si="3"/>
        <v>1210</v>
      </c>
    </row>
    <row r="49" spans="1:17" ht="15.75" thickBot="1" x14ac:dyDescent="0.3">
      <c r="B49">
        <v>250</v>
      </c>
      <c r="C49" s="357">
        <f t="shared" si="3"/>
        <v>1385</v>
      </c>
      <c r="K49" s="354" t="s">
        <v>272</v>
      </c>
      <c r="L49" s="353">
        <f>SUM(L44:L47)</f>
        <v>1720</v>
      </c>
    </row>
    <row r="50" spans="1:17" x14ac:dyDescent="0.25">
      <c r="B50">
        <v>300</v>
      </c>
      <c r="C50" s="357">
        <f t="shared" si="3"/>
        <v>1560</v>
      </c>
    </row>
    <row r="52" spans="1:17" ht="18.75" x14ac:dyDescent="0.3">
      <c r="A52" s="304" t="s">
        <v>247</v>
      </c>
      <c r="B52" s="167"/>
      <c r="C52" s="167"/>
      <c r="D52" s="167"/>
      <c r="E52" s="167"/>
      <c r="F52" s="167"/>
      <c r="G52" s="167"/>
      <c r="H52" s="167"/>
      <c r="I52" s="167"/>
      <c r="J52" s="167"/>
      <c r="K52" s="167"/>
      <c r="L52" s="167"/>
      <c r="M52" s="167"/>
      <c r="N52" s="167"/>
      <c r="O52" s="167"/>
      <c r="P52" s="167"/>
      <c r="Q52" s="167"/>
    </row>
    <row r="53" spans="1:17" ht="15.75" thickBot="1" x14ac:dyDescent="0.3"/>
    <row r="54" spans="1:17" ht="15.75" thickBot="1" x14ac:dyDescent="0.3">
      <c r="B54">
        <v>0</v>
      </c>
      <c r="C54" s="357">
        <f>$I$54+$I$55*B54</f>
        <v>200</v>
      </c>
      <c r="H54" s="342" t="s">
        <v>265</v>
      </c>
      <c r="I54" s="344">
        <v>200</v>
      </c>
      <c r="K54" s="527" t="s">
        <v>278</v>
      </c>
      <c r="L54" s="528"/>
      <c r="O54" s="508" t="s">
        <v>282</v>
      </c>
      <c r="P54" s="509"/>
    </row>
    <row r="55" spans="1:17" ht="15.75" thickBot="1" x14ac:dyDescent="0.3">
      <c r="B55">
        <v>50</v>
      </c>
      <c r="C55" s="357">
        <f t="shared" ref="C55:C60" si="4">$I$54+$I$55*B55</f>
        <v>250</v>
      </c>
      <c r="H55" s="343" t="s">
        <v>264</v>
      </c>
      <c r="I55" s="345">
        <v>1</v>
      </c>
      <c r="K55" s="351" t="s">
        <v>267</v>
      </c>
      <c r="L55" s="352">
        <f>IF($I$59&gt;0,$I$54+M9*$I$55,0)</f>
        <v>0</v>
      </c>
      <c r="O55" s="368">
        <v>1</v>
      </c>
      <c r="P55" s="89">
        <v>2</v>
      </c>
    </row>
    <row r="56" spans="1:17" ht="15.75" thickBot="1" x14ac:dyDescent="0.3">
      <c r="B56">
        <v>100</v>
      </c>
      <c r="C56" s="357">
        <f t="shared" si="4"/>
        <v>300</v>
      </c>
      <c r="K56" s="348" t="s">
        <v>268</v>
      </c>
      <c r="L56" s="350">
        <f>IF($I$59&gt;1,$I$54+M10*$I$55,0)</f>
        <v>0</v>
      </c>
      <c r="O56" s="10">
        <v>2</v>
      </c>
      <c r="P56" s="90">
        <v>2</v>
      </c>
    </row>
    <row r="57" spans="1:17" x14ac:dyDescent="0.25">
      <c r="B57">
        <v>150</v>
      </c>
      <c r="C57" s="357">
        <f t="shared" si="4"/>
        <v>350</v>
      </c>
      <c r="O57" s="10" t="s">
        <v>20</v>
      </c>
      <c r="P57" s="90">
        <v>4</v>
      </c>
    </row>
    <row r="58" spans="1:17" ht="15.75" thickBot="1" x14ac:dyDescent="0.3">
      <c r="B58">
        <v>200</v>
      </c>
      <c r="C58" s="357">
        <f t="shared" si="4"/>
        <v>400</v>
      </c>
      <c r="O58" s="10" t="s">
        <v>249</v>
      </c>
      <c r="P58" s="90">
        <v>4</v>
      </c>
    </row>
    <row r="59" spans="1:17" ht="15.75" thickBot="1" x14ac:dyDescent="0.3">
      <c r="B59">
        <v>250</v>
      </c>
      <c r="C59" s="357">
        <f t="shared" si="4"/>
        <v>450</v>
      </c>
      <c r="H59" s="358" t="s">
        <v>281</v>
      </c>
      <c r="I59" s="346">
        <f>2-COUNTIF(M9:M10,0)</f>
        <v>0</v>
      </c>
      <c r="K59" s="354" t="s">
        <v>272</v>
      </c>
      <c r="L59" s="353">
        <f>SUM(L55:L56)</f>
        <v>0</v>
      </c>
      <c r="O59" s="369" t="s">
        <v>250</v>
      </c>
      <c r="P59" s="291">
        <v>4</v>
      </c>
    </row>
    <row r="60" spans="1:17" ht="15.75" thickBot="1" x14ac:dyDescent="0.3">
      <c r="B60">
        <v>300</v>
      </c>
      <c r="C60" s="357">
        <f t="shared" si="4"/>
        <v>500</v>
      </c>
    </row>
    <row r="61" spans="1:17" ht="15.75" thickBot="1" x14ac:dyDescent="0.3">
      <c r="H61" s="354" t="s">
        <v>282</v>
      </c>
      <c r="I61" s="370">
        <f>VLOOKUP(C3,O55:P59,2,1)</f>
        <v>2</v>
      </c>
      <c r="J61" s="325"/>
      <c r="K61" s="354" t="s">
        <v>272</v>
      </c>
      <c r="L61" s="373">
        <f>I61*P61</f>
        <v>60</v>
      </c>
      <c r="O61" s="372" t="s">
        <v>283</v>
      </c>
      <c r="P61" s="371">
        <v>30</v>
      </c>
    </row>
    <row r="63" spans="1:17" ht="18.75" x14ac:dyDescent="0.3">
      <c r="A63" s="304" t="s">
        <v>231</v>
      </c>
      <c r="B63" s="168"/>
      <c r="C63" s="308"/>
      <c r="D63" s="308"/>
      <c r="E63" s="309" t="str">
        <f>Überblick!C22</f>
        <v>deaktiviert</v>
      </c>
      <c r="F63" s="168"/>
      <c r="G63" s="168"/>
      <c r="H63" s="168"/>
      <c r="I63" s="168"/>
      <c r="J63" s="168"/>
      <c r="K63" s="168"/>
      <c r="L63" s="168"/>
      <c r="M63" s="168"/>
      <c r="N63" s="168"/>
      <c r="O63" s="168"/>
      <c r="P63" s="168"/>
      <c r="Q63" s="168"/>
    </row>
    <row r="64" spans="1:17" ht="15.75" thickBot="1" x14ac:dyDescent="0.3"/>
    <row r="65" spans="2:16" ht="16.5" thickBot="1" x14ac:dyDescent="0.3">
      <c r="B65" s="514" t="s">
        <v>232</v>
      </c>
      <c r="C65" s="516"/>
      <c r="D65" s="362"/>
      <c r="E65" s="362"/>
      <c r="F65" s="518"/>
      <c r="G65" s="279"/>
      <c r="H65" s="363" t="s">
        <v>233</v>
      </c>
      <c r="I65" s="364">
        <v>-0.3</v>
      </c>
      <c r="J65" s="89"/>
      <c r="L65" s="287" t="s">
        <v>143</v>
      </c>
      <c r="M65" s="359">
        <f>IF(E63="aktiviert",((Überblick!C19*I39*1000)/I66)^I65,1)</f>
        <v>1</v>
      </c>
      <c r="O65" s="533" t="s">
        <v>284</v>
      </c>
      <c r="P65" s="534"/>
    </row>
    <row r="66" spans="2:16" ht="19.5" thickBot="1" x14ac:dyDescent="0.4">
      <c r="B66" s="515"/>
      <c r="C66" s="517"/>
      <c r="D66" s="338"/>
      <c r="E66" s="338"/>
      <c r="F66" s="519"/>
      <c r="G66" s="58"/>
      <c r="H66" s="365" t="s">
        <v>234</v>
      </c>
      <c r="I66" s="366">
        <v>200000</v>
      </c>
      <c r="J66" s="367" t="s">
        <v>248</v>
      </c>
      <c r="O66" s="2" t="s">
        <v>13</v>
      </c>
      <c r="P66" s="90">
        <v>1</v>
      </c>
    </row>
    <row r="67" spans="2:16" x14ac:dyDescent="0.25">
      <c r="O67" s="2" t="s">
        <v>304</v>
      </c>
      <c r="P67" s="90">
        <v>1.1000000000000001</v>
      </c>
    </row>
    <row r="68" spans="2:16" ht="15.75" thickBot="1" x14ac:dyDescent="0.3">
      <c r="O68" s="3" t="s">
        <v>14</v>
      </c>
      <c r="P68" s="291">
        <v>0.9</v>
      </c>
    </row>
    <row r="69" spans="2:16" ht="15.75" thickBot="1" x14ac:dyDescent="0.3">
      <c r="C69" s="307"/>
      <c r="D69" s="307"/>
      <c r="E69" s="307"/>
      <c r="O69" s="374" t="s">
        <v>285</v>
      </c>
      <c r="P69" s="326">
        <f>VLOOKUP(Überblick!C21,Antriebseinheit!O66:P68,2,0)</f>
        <v>1.1000000000000001</v>
      </c>
    </row>
  </sheetData>
  <mergeCells count="19">
    <mergeCell ref="P10:Q10"/>
    <mergeCell ref="G9:G10"/>
    <mergeCell ref="F3:G4"/>
    <mergeCell ref="B65:B66"/>
    <mergeCell ref="C65:C66"/>
    <mergeCell ref="F65:F66"/>
    <mergeCell ref="H3:L3"/>
    <mergeCell ref="O3:O4"/>
    <mergeCell ref="F5:F10"/>
    <mergeCell ref="K20:L20"/>
    <mergeCell ref="G31:G32"/>
    <mergeCell ref="G34:G35"/>
    <mergeCell ref="K31:L31"/>
    <mergeCell ref="K43:L43"/>
    <mergeCell ref="K54:L54"/>
    <mergeCell ref="F15:G15"/>
    <mergeCell ref="O54:P54"/>
    <mergeCell ref="O65:P65"/>
    <mergeCell ref="P3:Q3"/>
  </mergeCells>
  <conditionalFormatting sqref="I59">
    <cfRule type="cellIs" dxfId="1" priority="1" operator="equal">
      <formula>0</formula>
    </cfRule>
  </conditionalFormatting>
  <conditionalFormatting sqref="M5:M10">
    <cfRule type="cellIs" dxfId="0" priority="2" operator="equal">
      <formula>0</formula>
    </cfRule>
  </conditionalFormatting>
  <pageMargins left="0.7" right="0.7" top="0.78740157499999996" bottom="0.78740157499999996" header="0.3" footer="0.3"/>
  <pageSetup paperSize="9" orientation="portrait" r:id="rId1"/>
  <ignoredErrors>
    <ignoredError sqref="L23" formula="1"/>
  </ignoredErrors>
  <drawing r:id="rId2"/>
  <legacyDrawing r:id="rId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F2AD34E-4764-4B10-8FE2-EB43D75B1FE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5</vt:i4>
      </vt:variant>
      <vt:variant>
        <vt:lpstr>Benannte Bereiche</vt:lpstr>
      </vt:variant>
      <vt:variant>
        <vt:i4>8</vt:i4>
      </vt:variant>
    </vt:vector>
  </HeadingPairs>
  <TitlesOfParts>
    <vt:vector size="13" baseType="lpstr">
      <vt:lpstr>Überblick</vt:lpstr>
      <vt:lpstr>Batterieeinheit</vt:lpstr>
      <vt:lpstr>Fertigungskosten</vt:lpstr>
      <vt:lpstr>Materialkosten</vt:lpstr>
      <vt:lpstr>Antriebseinheit</vt:lpstr>
      <vt:lpstr>Liste_Abschreibezeitraum</vt:lpstr>
      <vt:lpstr>Liste_Anzahl_Motoren</vt:lpstr>
      <vt:lpstr>Liste_Fahrzeugkategorien</vt:lpstr>
      <vt:lpstr>Liste_Motortyp</vt:lpstr>
      <vt:lpstr>Liste_Produktionsstandort</vt:lpstr>
      <vt:lpstr>Liste_Skalierungsfaktor</vt:lpstr>
      <vt:lpstr>Liste_Zellchemie</vt:lpstr>
      <vt:lpstr>Liste_Zelltyp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Kostentool Antriebsstrang</dc:title>
  <dc:creator>peter sticht</dc:creator>
  <cp:lastModifiedBy>Daniel Meyer</cp:lastModifiedBy>
  <cp:lastPrinted>2023-01-11T17:19:33Z</cp:lastPrinted>
  <dcterms:created xsi:type="dcterms:W3CDTF">2022-09-15T10:25:07Z</dcterms:created>
  <dcterms:modified xsi:type="dcterms:W3CDTF">2023-12-13T16:27:59Z</dcterms:modified>
</cp:coreProperties>
</file>