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4ruk\Documents\01_AuVeCoDe-Tool\01_Matlab\01_MAIN_functions\05_Cost Model\"/>
    </mc:Choice>
  </mc:AlternateContent>
  <xr:revisionPtr revIDLastSave="0" documentId="13_ncr:1_{BF885CED-33A3-4204-A1FB-FCB43C3CD16B}" xr6:coauthVersionLast="36" xr6:coauthVersionMax="47" xr10:uidLastSave="{00000000-0000-0000-0000-000000000000}"/>
  <bookViews>
    <workbookView xWindow="-110" yWindow="-110" windowWidth="23260" windowHeight="12580" tabRatio="807" activeTab="9" xr2:uid="{72C1A6FD-81B7-41FA-B69D-884C39388251}"/>
  </bookViews>
  <sheets>
    <sheet name="INFO" sheetId="8" r:id="rId1"/>
    <sheet name="Databank" sheetId="1" r:id="rId2"/>
    <sheet name="Wheels &amp; Tires" sheetId="3" r:id="rId3"/>
    <sheet name="Calculations" sheetId="2" r:id="rId4"/>
    <sheet name="Vehicle Body" sheetId="4" r:id="rId5"/>
    <sheet name="Battery_development" sheetId="7" r:id="rId6"/>
    <sheet name="DB" sheetId="5" r:id="rId7"/>
    <sheet name="Batteriepreis" sheetId="9" r:id="rId8"/>
    <sheet name="PSM + Inverter" sheetId="10" r:id="rId9"/>
    <sheet name="Matlab_Export" sheetId="6" r:id="rId10"/>
  </sheets>
  <externalReferences>
    <externalReference r:id="rId11"/>
  </externalReferences>
  <definedNames>
    <definedName name="ROHPREIS_ABS">Calculations!$F$26</definedName>
    <definedName name="ROHPREIS_ASA">Calculations!$F$29</definedName>
    <definedName name="ROHPREIS_PA">Calculations!$F$28</definedName>
    <definedName name="ROHPREIS_PBT_PET">Calculations!$F$33</definedName>
    <definedName name="ROHPREIS_PC">Calculations!$F$34</definedName>
    <definedName name="ROHPREIS_PE">Calculations!$F$31</definedName>
    <definedName name="ROHPREIS_PMMA">Calculations!$F$32</definedName>
    <definedName name="ROHPREIS_POM">Calculations!$F$30</definedName>
    <definedName name="RoHPREIS_PP">Calculations!$F$27</definedName>
    <definedName name="ROHPREIS_PU">Calculations!$F$36</definedName>
    <definedName name="ROHPREIS_PVC">Calculations!$F$35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6" l="1"/>
  <c r="F12" i="6" l="1"/>
  <c r="E12" i="6"/>
  <c r="D12" i="6"/>
  <c r="F10" i="6"/>
  <c r="E10" i="6"/>
  <c r="D10" i="6"/>
  <c r="F11" i="6"/>
  <c r="E11" i="6"/>
  <c r="D11" i="6"/>
  <c r="F9" i="6"/>
  <c r="E9" i="6"/>
  <c r="D9" i="6"/>
  <c r="K2" i="10" l="1"/>
  <c r="G40" i="10"/>
  <c r="G41" i="10"/>
  <c r="G44" i="10" s="1"/>
  <c r="F40" i="10"/>
  <c r="F41" i="10"/>
  <c r="F47" i="10" s="1"/>
  <c r="C29" i="10"/>
  <c r="G88" i="9"/>
  <c r="G87" i="9"/>
  <c r="G86" i="9"/>
  <c r="G85" i="9"/>
  <c r="G84" i="9"/>
  <c r="D88" i="9"/>
  <c r="D87" i="9"/>
  <c r="D86" i="9"/>
  <c r="F44" i="10" l="1"/>
  <c r="G47" i="10"/>
  <c r="I6" i="10"/>
  <c r="H6" i="10"/>
  <c r="K5" i="10" s="1"/>
  <c r="G6" i="10"/>
  <c r="K4" i="10" s="1"/>
  <c r="G11" i="10" s="1"/>
  <c r="F6" i="10"/>
  <c r="K3" i="10" s="1"/>
  <c r="F23" i="10" s="1"/>
  <c r="F28" i="10" s="1"/>
  <c r="E6" i="10"/>
  <c r="D6" i="10"/>
  <c r="C6" i="10"/>
  <c r="B6" i="10"/>
  <c r="D83" i="9"/>
  <c r="G83" i="9" s="1"/>
  <c r="D82" i="9"/>
  <c r="D81" i="9"/>
  <c r="G81" i="9" s="1"/>
  <c r="D80" i="9"/>
  <c r="D79" i="9"/>
  <c r="D78" i="9"/>
  <c r="D77" i="9"/>
  <c r="G77" i="9" s="1"/>
  <c r="D76" i="9"/>
  <c r="G76" i="9" s="1"/>
  <c r="D75" i="9"/>
  <c r="D73" i="9"/>
  <c r="D72" i="9"/>
  <c r="D74" i="9"/>
  <c r="G36" i="9"/>
  <c r="D46" i="9"/>
  <c r="D59" i="9"/>
  <c r="G59" i="9" s="1"/>
  <c r="D58" i="9"/>
  <c r="D57" i="9"/>
  <c r="D56" i="9"/>
  <c r="D62" i="9"/>
  <c r="D61" i="9"/>
  <c r="G61" i="9" s="1"/>
  <c r="D20" i="9"/>
  <c r="D60" i="9"/>
  <c r="G60" i="9" s="1"/>
  <c r="D55" i="9"/>
  <c r="G55" i="9" s="1"/>
  <c r="D53" i="9"/>
  <c r="D52" i="9"/>
  <c r="D51" i="9"/>
  <c r="G51" i="9" s="1"/>
  <c r="D50" i="9"/>
  <c r="D49" i="9"/>
  <c r="D48" i="9"/>
  <c r="D47" i="9"/>
  <c r="F33" i="10" l="1"/>
  <c r="F30" i="10"/>
  <c r="F29" i="10"/>
  <c r="D63" i="9"/>
  <c r="F11" i="10"/>
  <c r="D64" i="9"/>
  <c r="D65" i="9"/>
  <c r="F34" i="10" l="1"/>
  <c r="F35" i="10" s="1"/>
  <c r="F24" i="10"/>
  <c r="F25" i="10" s="1"/>
  <c r="G10" i="10"/>
  <c r="G12" i="10" s="1"/>
  <c r="F10" i="10"/>
  <c r="F12" i="10" s="1"/>
  <c r="D35" i="9"/>
  <c r="G35" i="9" s="1"/>
  <c r="D34" i="9"/>
  <c r="G34" i="9" s="1"/>
  <c r="D33" i="9"/>
  <c r="G33" i="9" s="1"/>
  <c r="D32" i="9"/>
  <c r="G32" i="9" s="1"/>
  <c r="D31" i="9"/>
  <c r="G31" i="9" s="1"/>
  <c r="D30" i="9"/>
  <c r="G30" i="9" s="1"/>
  <c r="D29" i="9"/>
  <c r="D28" i="9"/>
  <c r="D27" i="9"/>
  <c r="D26" i="9"/>
  <c r="D25" i="9"/>
  <c r="D24" i="9"/>
  <c r="D23" i="9"/>
  <c r="D22" i="9"/>
  <c r="G22" i="9" s="1"/>
  <c r="D21" i="9"/>
  <c r="G21" i="9" s="1"/>
  <c r="G20" i="9"/>
  <c r="D19" i="9"/>
  <c r="D18" i="9"/>
  <c r="G18" i="9" s="1"/>
  <c r="D17" i="9"/>
  <c r="D16" i="9"/>
  <c r="D15" i="9"/>
  <c r="D14" i="9"/>
  <c r="D13" i="9"/>
  <c r="D12" i="9"/>
  <c r="D11" i="9"/>
  <c r="D10" i="9"/>
  <c r="D9" i="9"/>
  <c r="L8" i="9"/>
  <c r="C6" i="9"/>
  <c r="D6" i="9"/>
  <c r="E6" i="9"/>
  <c r="F6" i="9"/>
  <c r="G6" i="9"/>
  <c r="H6" i="9"/>
  <c r="I6" i="9"/>
  <c r="B6" i="9"/>
  <c r="F74" i="6"/>
  <c r="E74" i="6"/>
  <c r="D41" i="9" l="1"/>
  <c r="D40" i="9"/>
  <c r="D39" i="9"/>
  <c r="K5" i="9"/>
  <c r="G57" i="9" s="1"/>
  <c r="F18" i="10"/>
  <c r="F15" i="10"/>
  <c r="G18" i="10"/>
  <c r="G15" i="10"/>
  <c r="K3" i="9"/>
  <c r="K4" i="9"/>
  <c r="G16" i="9" s="1"/>
  <c r="K2" i="9"/>
  <c r="G29" i="9" s="1"/>
  <c r="N31" i="9"/>
  <c r="N35" i="9"/>
  <c r="M35" i="9"/>
  <c r="L28" i="9"/>
  <c r="L38" i="9"/>
  <c r="L33" i="9"/>
  <c r="L37" i="9"/>
  <c r="L32" i="9"/>
  <c r="L29" i="9"/>
  <c r="L34" i="9"/>
  <c r="L36" i="9"/>
  <c r="M31" i="9"/>
  <c r="M32" i="9"/>
  <c r="N27" i="9"/>
  <c r="N32" i="9"/>
  <c r="L30" i="9"/>
  <c r="M30" i="9"/>
  <c r="N30" i="9"/>
  <c r="L31" i="9"/>
  <c r="L27" i="9"/>
  <c r="M27" i="9"/>
  <c r="F77" i="6"/>
  <c r="E77" i="6"/>
  <c r="F75" i="6"/>
  <c r="E75" i="6"/>
  <c r="D75" i="6"/>
  <c r="K118" i="5"/>
  <c r="D74" i="6"/>
  <c r="G14" i="6"/>
  <c r="N10" i="7"/>
  <c r="N11" i="7"/>
  <c r="N12" i="7"/>
  <c r="N13" i="7"/>
  <c r="N14" i="7"/>
  <c r="N15" i="7"/>
  <c r="N16" i="7"/>
  <c r="N17" i="7"/>
  <c r="N18" i="7"/>
  <c r="N19" i="7"/>
  <c r="N20" i="7"/>
  <c r="K153" i="5"/>
  <c r="D81" i="6"/>
  <c r="G82" i="6"/>
  <c r="B16" i="5"/>
  <c r="H156" i="5"/>
  <c r="J156" i="5"/>
  <c r="K156" i="5"/>
  <c r="D82" i="6"/>
  <c r="E82" i="6" s="1"/>
  <c r="F82" i="6" s="1"/>
  <c r="H157" i="5"/>
  <c r="J157" i="5"/>
  <c r="K157" i="5"/>
  <c r="D83" i="6"/>
  <c r="E83" i="6" s="1"/>
  <c r="F83" i="6" s="1"/>
  <c r="G83" i="6"/>
  <c r="J161" i="5"/>
  <c r="K161" i="5"/>
  <c r="D56" i="6"/>
  <c r="E56" i="6" s="1"/>
  <c r="F56" i="6" s="1"/>
  <c r="G56" i="6"/>
  <c r="H61" i="5"/>
  <c r="J61" i="5"/>
  <c r="K61" i="5"/>
  <c r="F16" i="6"/>
  <c r="G16" i="6"/>
  <c r="E16" i="6"/>
  <c r="D16" i="6"/>
  <c r="C16" i="5"/>
  <c r="H56" i="5"/>
  <c r="J56" i="5"/>
  <c r="K56" i="5"/>
  <c r="D17" i="6"/>
  <c r="E17" i="6"/>
  <c r="F17" i="6"/>
  <c r="L56" i="5"/>
  <c r="G17" i="6"/>
  <c r="F16" i="5"/>
  <c r="H76" i="5"/>
  <c r="J76" i="5"/>
  <c r="K76" i="5"/>
  <c r="G55" i="6"/>
  <c r="J160" i="5"/>
  <c r="K159" i="5"/>
  <c r="D55" i="6"/>
  <c r="E55" i="6" s="1"/>
  <c r="F55" i="6" s="1"/>
  <c r="H100" i="5"/>
  <c r="H81" i="5"/>
  <c r="J81" i="5"/>
  <c r="K81" i="5"/>
  <c r="H79" i="5"/>
  <c r="J79" i="5"/>
  <c r="K79" i="5"/>
  <c r="H83" i="5"/>
  <c r="J83" i="5"/>
  <c r="K83" i="5"/>
  <c r="D16" i="5"/>
  <c r="I114" i="5"/>
  <c r="J114" i="5"/>
  <c r="K114" i="5"/>
  <c r="F115" i="5"/>
  <c r="F117" i="5"/>
  <c r="H97" i="5"/>
  <c r="J97" i="5"/>
  <c r="K97" i="5"/>
  <c r="H16" i="5"/>
  <c r="H116" i="5"/>
  <c r="I116" i="5"/>
  <c r="J116" i="5"/>
  <c r="K116" i="5"/>
  <c r="H103" i="5"/>
  <c r="J103" i="5"/>
  <c r="K103" i="5"/>
  <c r="L108" i="5"/>
  <c r="G65" i="6"/>
  <c r="H108" i="5"/>
  <c r="J108" i="5"/>
  <c r="K108" i="5"/>
  <c r="F65" i="6"/>
  <c r="E65" i="6"/>
  <c r="D65" i="6"/>
  <c r="L107" i="5"/>
  <c r="G64" i="6"/>
  <c r="H107" i="5"/>
  <c r="J107" i="5"/>
  <c r="K107" i="5"/>
  <c r="F64" i="6"/>
  <c r="E64" i="6"/>
  <c r="D64" i="6"/>
  <c r="L106" i="5"/>
  <c r="G63" i="6"/>
  <c r="H106" i="5"/>
  <c r="J106" i="5"/>
  <c r="K106" i="5"/>
  <c r="F63" i="6"/>
  <c r="E63" i="6"/>
  <c r="D63" i="6"/>
  <c r="L105" i="5"/>
  <c r="G62" i="6"/>
  <c r="H105" i="5"/>
  <c r="I105" i="5"/>
  <c r="J105" i="5"/>
  <c r="K105" i="5"/>
  <c r="F62" i="6"/>
  <c r="E62" i="6"/>
  <c r="D62" i="6"/>
  <c r="L104" i="5"/>
  <c r="G61" i="6"/>
  <c r="H104" i="5"/>
  <c r="J104" i="5"/>
  <c r="K104" i="5"/>
  <c r="F61" i="6"/>
  <c r="E61" i="6"/>
  <c r="D61" i="6"/>
  <c r="H75" i="5"/>
  <c r="J75" i="5"/>
  <c r="K75" i="5"/>
  <c r="D34" i="6"/>
  <c r="E34" i="6"/>
  <c r="F34" i="6"/>
  <c r="L75" i="5"/>
  <c r="G34" i="6"/>
  <c r="I504" i="1"/>
  <c r="H504" i="1"/>
  <c r="H492" i="1"/>
  <c r="L95" i="5"/>
  <c r="G45" i="6"/>
  <c r="G84" i="6"/>
  <c r="L102" i="5"/>
  <c r="G51" i="6"/>
  <c r="L101" i="5"/>
  <c r="G50" i="6"/>
  <c r="H468" i="1"/>
  <c r="H463" i="1"/>
  <c r="H458" i="1"/>
  <c r="G16" i="5"/>
  <c r="H152" i="5"/>
  <c r="J152" i="5"/>
  <c r="K152" i="5"/>
  <c r="F80" i="6"/>
  <c r="E47" i="6"/>
  <c r="J96" i="5"/>
  <c r="K96" i="5"/>
  <c r="E46" i="6"/>
  <c r="K65" i="5"/>
  <c r="H564" i="1"/>
  <c r="F40" i="6"/>
  <c r="F41" i="6"/>
  <c r="F42" i="6"/>
  <c r="H90" i="5"/>
  <c r="J90" i="5"/>
  <c r="F24" i="6"/>
  <c r="H155" i="5"/>
  <c r="J155" i="5"/>
  <c r="K155" i="5"/>
  <c r="H154" i="5"/>
  <c r="J154" i="5"/>
  <c r="K154" i="5"/>
  <c r="G81" i="6"/>
  <c r="J250" i="1"/>
  <c r="H250" i="1"/>
  <c r="K143" i="5"/>
  <c r="K139" i="5"/>
  <c r="K133" i="5"/>
  <c r="E76" i="6"/>
  <c r="K128" i="5"/>
  <c r="K126" i="5"/>
  <c r="H34" i="5"/>
  <c r="H37" i="5"/>
  <c r="I37" i="5"/>
  <c r="J37" i="5"/>
  <c r="H35" i="5"/>
  <c r="I35" i="5"/>
  <c r="H38" i="5"/>
  <c r="H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E24" i="6"/>
  <c r="E40" i="6"/>
  <c r="E41" i="6"/>
  <c r="E42" i="6"/>
  <c r="H94" i="5"/>
  <c r="J94" i="5"/>
  <c r="J30" i="5"/>
  <c r="I32" i="5"/>
  <c r="H46" i="5"/>
  <c r="I46" i="5"/>
  <c r="J46" i="5"/>
  <c r="I48" i="5"/>
  <c r="H50" i="5"/>
  <c r="I50" i="5"/>
  <c r="J50" i="5"/>
  <c r="H52" i="5"/>
  <c r="I52" i="5"/>
  <c r="K124" i="5"/>
  <c r="H138" i="1"/>
  <c r="H137" i="1"/>
  <c r="H136" i="1"/>
  <c r="H125" i="1"/>
  <c r="H118" i="1"/>
  <c r="H117" i="1"/>
  <c r="J138" i="1"/>
  <c r="J133" i="1"/>
  <c r="J134" i="1"/>
  <c r="J135" i="1"/>
  <c r="G16" i="1"/>
  <c r="J136" i="1"/>
  <c r="J139" i="1"/>
  <c r="H16" i="1"/>
  <c r="J137" i="1"/>
  <c r="C16" i="1"/>
  <c r="H119" i="1"/>
  <c r="J119" i="1"/>
  <c r="H116" i="1"/>
  <c r="J116" i="1"/>
  <c r="J125" i="1"/>
  <c r="J118" i="1"/>
  <c r="J117" i="1"/>
  <c r="G13" i="6"/>
  <c r="L55" i="5"/>
  <c r="G15" i="6"/>
  <c r="L57" i="5"/>
  <c r="G18" i="6"/>
  <c r="L58" i="5"/>
  <c r="G19" i="6"/>
  <c r="L59" i="5"/>
  <c r="G20" i="6"/>
  <c r="L60" i="5"/>
  <c r="G21" i="6"/>
  <c r="L62" i="5"/>
  <c r="G22" i="6"/>
  <c r="G23" i="6"/>
  <c r="L65" i="5"/>
  <c r="G24" i="6"/>
  <c r="L66" i="5"/>
  <c r="G25" i="6"/>
  <c r="L67" i="5"/>
  <c r="G26" i="6"/>
  <c r="L68" i="5"/>
  <c r="G27" i="6"/>
  <c r="L69" i="5"/>
  <c r="G28" i="6"/>
  <c r="L70" i="5"/>
  <c r="G29" i="6"/>
  <c r="L71" i="5"/>
  <c r="G30" i="6"/>
  <c r="L72" i="5"/>
  <c r="G31" i="6"/>
  <c r="L73" i="5"/>
  <c r="G32" i="6"/>
  <c r="L74" i="5"/>
  <c r="G33" i="6"/>
  <c r="G35" i="6"/>
  <c r="L79" i="5"/>
  <c r="G36" i="6"/>
  <c r="L81" i="5"/>
  <c r="G37" i="6"/>
  <c r="L83" i="5"/>
  <c r="G38" i="6"/>
  <c r="G39" i="6"/>
  <c r="L87" i="5"/>
  <c r="G40" i="6"/>
  <c r="L88" i="5"/>
  <c r="G41" i="6"/>
  <c r="L89" i="5"/>
  <c r="G42" i="6"/>
  <c r="G43" i="6"/>
  <c r="G44" i="6"/>
  <c r="L96" i="5"/>
  <c r="G46" i="6"/>
  <c r="L97" i="5"/>
  <c r="G47" i="6"/>
  <c r="L99" i="5"/>
  <c r="G48" i="6"/>
  <c r="L100" i="5"/>
  <c r="G49" i="6"/>
  <c r="L103" i="5"/>
  <c r="G53" i="6"/>
  <c r="G54" i="6"/>
  <c r="G57" i="6"/>
  <c r="G58" i="6"/>
  <c r="G59" i="6"/>
  <c r="L109" i="5"/>
  <c r="G66" i="6"/>
  <c r="L110" i="5"/>
  <c r="G67" i="6"/>
  <c r="L111" i="5"/>
  <c r="G68" i="6"/>
  <c r="L112" i="5"/>
  <c r="G69" i="6"/>
  <c r="L113" i="5"/>
  <c r="G70" i="6"/>
  <c r="L114" i="5"/>
  <c r="G71" i="6"/>
  <c r="L116" i="5"/>
  <c r="G72" i="6"/>
  <c r="G73" i="6"/>
  <c r="G74" i="6"/>
  <c r="L147" i="5"/>
  <c r="G76" i="6"/>
  <c r="G78" i="6"/>
  <c r="G77" i="6"/>
  <c r="L152" i="5"/>
  <c r="G80" i="6"/>
  <c r="G79" i="6"/>
  <c r="D24" i="6"/>
  <c r="D40" i="6"/>
  <c r="D41" i="6"/>
  <c r="D42" i="6"/>
  <c r="D76" i="6"/>
  <c r="H150" i="5"/>
  <c r="J150" i="5"/>
  <c r="K150" i="5"/>
  <c r="D78" i="6"/>
  <c r="H51" i="5"/>
  <c r="I51" i="5"/>
  <c r="J51" i="5"/>
  <c r="H53" i="5"/>
  <c r="I53" i="5"/>
  <c r="J53" i="5"/>
  <c r="H54" i="5"/>
  <c r="I54" i="5"/>
  <c r="J54" i="5"/>
  <c r="J45" i="5"/>
  <c r="H47" i="5"/>
  <c r="I47" i="5"/>
  <c r="J47" i="5"/>
  <c r="H49" i="5"/>
  <c r="I49" i="5"/>
  <c r="H147" i="5"/>
  <c r="J147" i="5"/>
  <c r="K147" i="5"/>
  <c r="F78" i="6"/>
  <c r="H151" i="5"/>
  <c r="J151" i="5"/>
  <c r="K151" i="5"/>
  <c r="D72" i="6"/>
  <c r="H110" i="5"/>
  <c r="I112" i="5"/>
  <c r="H99" i="5"/>
  <c r="J99" i="5"/>
  <c r="K99" i="5"/>
  <c r="J100" i="5"/>
  <c r="K100" i="5"/>
  <c r="F49" i="6"/>
  <c r="D58" i="6"/>
  <c r="H70" i="5"/>
  <c r="J70" i="5"/>
  <c r="K70" i="5"/>
  <c r="H57" i="5"/>
  <c r="J57" i="5"/>
  <c r="K57" i="5"/>
  <c r="D18" i="6"/>
  <c r="H62" i="5"/>
  <c r="J62" i="5"/>
  <c r="K62" i="5"/>
  <c r="D22" i="6"/>
  <c r="H36" i="5"/>
  <c r="E16" i="5"/>
  <c r="F10" i="4"/>
  <c r="F9" i="4"/>
  <c r="F8" i="4"/>
  <c r="G15" i="2"/>
  <c r="G16" i="2"/>
  <c r="G17" i="2"/>
  <c r="G18" i="2"/>
  <c r="G19" i="2"/>
  <c r="G20" i="2"/>
  <c r="G21" i="2"/>
  <c r="G22" i="2"/>
  <c r="G23" i="2"/>
  <c r="H12" i="2"/>
  <c r="F503" i="1"/>
  <c r="H503" i="1"/>
  <c r="H497" i="1"/>
  <c r="H491" i="1"/>
  <c r="I11" i="3"/>
  <c r="J11" i="3"/>
  <c r="G11" i="3"/>
  <c r="H11" i="3"/>
  <c r="K11" i="3"/>
  <c r="J14" i="3"/>
  <c r="H14" i="3"/>
  <c r="H330" i="1"/>
  <c r="H325" i="1"/>
  <c r="H320" i="1"/>
  <c r="F16" i="1"/>
  <c r="E16" i="1"/>
  <c r="D16" i="1"/>
  <c r="B16" i="1"/>
  <c r="H451" i="1"/>
  <c r="H427" i="1"/>
  <c r="H421" i="1"/>
  <c r="H414" i="1"/>
  <c r="H409" i="1"/>
  <c r="H404" i="1"/>
  <c r="H398" i="1"/>
  <c r="H393" i="1"/>
  <c r="H388" i="1"/>
  <c r="H366" i="1"/>
  <c r="H361" i="1"/>
  <c r="H356" i="1"/>
  <c r="H351" i="1"/>
  <c r="H346" i="1"/>
  <c r="H341" i="1"/>
  <c r="H315" i="1"/>
  <c r="H310" i="1"/>
  <c r="H305" i="1"/>
  <c r="H265" i="1"/>
  <c r="H108" i="1"/>
  <c r="H104" i="1"/>
  <c r="H99" i="1"/>
  <c r="H94" i="1"/>
  <c r="H89" i="1"/>
  <c r="H299" i="1"/>
  <c r="H152" i="1"/>
  <c r="H151" i="1"/>
  <c r="H150" i="1"/>
  <c r="H149" i="1"/>
  <c r="H148" i="1"/>
  <c r="H147" i="1"/>
  <c r="I163" i="1"/>
  <c r="H163" i="1"/>
  <c r="H222" i="1"/>
  <c r="H221" i="1"/>
  <c r="H220" i="1"/>
  <c r="H219" i="1"/>
  <c r="H218" i="1"/>
  <c r="H217" i="1"/>
  <c r="H216" i="1"/>
  <c r="H215" i="1"/>
  <c r="H214" i="1"/>
  <c r="H213" i="1"/>
  <c r="H212" i="1"/>
  <c r="H210" i="1"/>
  <c r="H211" i="1"/>
  <c r="H209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F81" i="1"/>
  <c r="J65" i="1"/>
  <c r="I74" i="1"/>
  <c r="H74" i="1"/>
  <c r="J74" i="1"/>
  <c r="H73" i="1"/>
  <c r="I73" i="1"/>
  <c r="I72" i="1"/>
  <c r="H72" i="1"/>
  <c r="H69" i="1"/>
  <c r="I71" i="1"/>
  <c r="I70" i="1"/>
  <c r="H71" i="1"/>
  <c r="H70" i="1"/>
  <c r="I69" i="1"/>
  <c r="I68" i="1"/>
  <c r="H68" i="1"/>
  <c r="I67" i="1"/>
  <c r="H67" i="1"/>
  <c r="J67" i="1"/>
  <c r="I66" i="1"/>
  <c r="H66" i="1"/>
  <c r="J66" i="1"/>
  <c r="I64" i="1"/>
  <c r="H64" i="1"/>
  <c r="J64" i="1"/>
  <c r="I59" i="1"/>
  <c r="H59" i="1"/>
  <c r="I63" i="1"/>
  <c r="H63" i="1"/>
  <c r="J63" i="1"/>
  <c r="I62" i="1"/>
  <c r="H62" i="1"/>
  <c r="I61" i="1"/>
  <c r="H61" i="1"/>
  <c r="J61" i="1"/>
  <c r="I60" i="1"/>
  <c r="H60" i="1"/>
  <c r="J70" i="1"/>
  <c r="J60" i="1"/>
  <c r="J62" i="1"/>
  <c r="J59" i="1"/>
  <c r="J68" i="1"/>
  <c r="J72" i="1"/>
  <c r="J69" i="1"/>
  <c r="J73" i="1"/>
  <c r="J71" i="1"/>
  <c r="N30" i="2"/>
  <c r="N36" i="2"/>
  <c r="N21" i="2"/>
  <c r="D69" i="2"/>
  <c r="D75" i="2"/>
  <c r="D50" i="2"/>
  <c r="D63" i="2"/>
  <c r="D57" i="2"/>
  <c r="G31" i="2"/>
  <c r="G32" i="2"/>
  <c r="G33" i="2"/>
  <c r="G34" i="2"/>
  <c r="G35" i="2"/>
  <c r="G36" i="2"/>
  <c r="G30" i="2"/>
  <c r="H27" i="2"/>
  <c r="H420" i="1"/>
  <c r="H52" i="1"/>
  <c r="H53" i="1"/>
  <c r="I53" i="1"/>
  <c r="I52" i="1"/>
  <c r="I46" i="1"/>
  <c r="H46" i="1"/>
  <c r="I45" i="1"/>
  <c r="H45" i="1"/>
  <c r="J46" i="1"/>
  <c r="J52" i="1"/>
  <c r="J53" i="1"/>
  <c r="J45" i="1"/>
  <c r="I44" i="1"/>
  <c r="H44" i="1"/>
  <c r="J44" i="1"/>
  <c r="I43" i="1"/>
  <c r="H43" i="1"/>
  <c r="J43" i="1"/>
  <c r="I36" i="1"/>
  <c r="H36" i="1"/>
  <c r="J36" i="1"/>
  <c r="I35" i="1"/>
  <c r="H35" i="1"/>
  <c r="I34" i="1"/>
  <c r="J35" i="1"/>
  <c r="H34" i="1"/>
  <c r="J34" i="1"/>
  <c r="G52" i="6"/>
  <c r="G60" i="6"/>
  <c r="F71" i="6"/>
  <c r="E71" i="6"/>
  <c r="D71" i="6"/>
  <c r="D77" i="6"/>
  <c r="H95" i="5"/>
  <c r="J95" i="5"/>
  <c r="K95" i="5"/>
  <c r="H158" i="5"/>
  <c r="J158" i="5"/>
  <c r="K158" i="5"/>
  <c r="D84" i="6"/>
  <c r="E84" i="6" s="1"/>
  <c r="F84" i="6" s="1"/>
  <c r="H102" i="5"/>
  <c r="J102" i="5"/>
  <c r="K102" i="5"/>
  <c r="H101" i="5"/>
  <c r="J101" i="5"/>
  <c r="K101" i="5"/>
  <c r="H63" i="5"/>
  <c r="J63" i="5"/>
  <c r="H77" i="5"/>
  <c r="J77" i="5"/>
  <c r="I110" i="5"/>
  <c r="J110" i="5"/>
  <c r="K110" i="5"/>
  <c r="I109" i="5"/>
  <c r="H88" i="5"/>
  <c r="J88" i="5"/>
  <c r="H67" i="5"/>
  <c r="J67" i="5"/>
  <c r="K67" i="5"/>
  <c r="H71" i="5"/>
  <c r="J71" i="5"/>
  <c r="K71" i="5"/>
  <c r="H58" i="5"/>
  <c r="J58" i="5"/>
  <c r="K58" i="5"/>
  <c r="H66" i="5"/>
  <c r="J66" i="5"/>
  <c r="K66" i="5"/>
  <c r="D25" i="6"/>
  <c r="H68" i="5"/>
  <c r="J68" i="5"/>
  <c r="K68" i="5"/>
  <c r="H91" i="5"/>
  <c r="J91" i="5"/>
  <c r="K90" i="5"/>
  <c r="H72" i="5"/>
  <c r="J72" i="5"/>
  <c r="K72" i="5"/>
  <c r="H59" i="5"/>
  <c r="J59" i="5"/>
  <c r="K59" i="5"/>
  <c r="I34" i="5"/>
  <c r="J34" i="5"/>
  <c r="H33" i="5"/>
  <c r="I33" i="5"/>
  <c r="J33" i="5"/>
  <c r="J35" i="5"/>
  <c r="K33" i="5"/>
  <c r="H31" i="5"/>
  <c r="H55" i="5"/>
  <c r="J55" i="5"/>
  <c r="K55" i="5"/>
  <c r="E78" i="6"/>
  <c r="E79" i="6"/>
  <c r="F79" i="6"/>
  <c r="H85" i="5"/>
  <c r="J85" i="5"/>
  <c r="E80" i="6"/>
  <c r="D80" i="6"/>
  <c r="H69" i="5"/>
  <c r="J69" i="5"/>
  <c r="K69" i="5"/>
  <c r="H87" i="5"/>
  <c r="J87" i="5"/>
  <c r="F48" i="6"/>
  <c r="E48" i="6"/>
  <c r="D48" i="6"/>
  <c r="J52" i="5"/>
  <c r="K51" i="5"/>
  <c r="E72" i="6"/>
  <c r="H74" i="5"/>
  <c r="J74" i="5"/>
  <c r="K74" i="5"/>
  <c r="E59" i="6"/>
  <c r="F59" i="6"/>
  <c r="D59" i="6"/>
  <c r="H109" i="5"/>
  <c r="J109" i="5"/>
  <c r="K109" i="5"/>
  <c r="I111" i="5"/>
  <c r="H60" i="5"/>
  <c r="J60" i="5"/>
  <c r="K60" i="5"/>
  <c r="H73" i="5"/>
  <c r="J73" i="5"/>
  <c r="K73" i="5"/>
  <c r="D32" i="6"/>
  <c r="H89" i="5"/>
  <c r="J89" i="5"/>
  <c r="H111" i="5"/>
  <c r="J111" i="5"/>
  <c r="K111" i="5"/>
  <c r="J49" i="5"/>
  <c r="D79" i="6"/>
  <c r="H92" i="5"/>
  <c r="J92" i="5"/>
  <c r="K92" i="5"/>
  <c r="F44" i="6"/>
  <c r="J44" i="5"/>
  <c r="F72" i="6"/>
  <c r="I113" i="5"/>
  <c r="H30" i="5"/>
  <c r="H78" i="5"/>
  <c r="J78" i="5"/>
  <c r="K77" i="5"/>
  <c r="E35" i="6"/>
  <c r="H64" i="5"/>
  <c r="J64" i="5"/>
  <c r="H112" i="5"/>
  <c r="J112" i="5"/>
  <c r="K112" i="5"/>
  <c r="H113" i="5"/>
  <c r="J113" i="5"/>
  <c r="K113" i="5"/>
  <c r="H48" i="5"/>
  <c r="J48" i="5"/>
  <c r="H32" i="5"/>
  <c r="J32" i="5"/>
  <c r="K30" i="5"/>
  <c r="H86" i="5"/>
  <c r="J86" i="5"/>
  <c r="K85" i="5"/>
  <c r="I38" i="5"/>
  <c r="J38" i="5"/>
  <c r="K37" i="5"/>
  <c r="D29" i="6"/>
  <c r="F29" i="6"/>
  <c r="E29" i="6"/>
  <c r="E44" i="6"/>
  <c r="E49" i="6"/>
  <c r="K39" i="5"/>
  <c r="K63" i="5"/>
  <c r="D23" i="6"/>
  <c r="E58" i="6"/>
  <c r="E15" i="6"/>
  <c r="F25" i="6"/>
  <c r="F20" i="6"/>
  <c r="F53" i="6"/>
  <c r="K45" i="5"/>
  <c r="E25" i="6"/>
  <c r="F26" i="6"/>
  <c r="E26" i="6"/>
  <c r="D26" i="6"/>
  <c r="D28" i="6"/>
  <c r="F28" i="6"/>
  <c r="E28" i="6"/>
  <c r="F30" i="6"/>
  <c r="E30" i="6"/>
  <c r="D30" i="6"/>
  <c r="E32" i="6"/>
  <c r="D47" i="6"/>
  <c r="F47" i="6"/>
  <c r="D46" i="6"/>
  <c r="E31" i="6"/>
  <c r="E27" i="6"/>
  <c r="E22" i="6"/>
  <c r="E18" i="6"/>
  <c r="F22" i="6"/>
  <c r="F18" i="6"/>
  <c r="F46" i="6"/>
  <c r="F58" i="6"/>
  <c r="D49" i="6"/>
  <c r="D44" i="6"/>
  <c r="E21" i="6"/>
  <c r="F37" i="6"/>
  <c r="E37" i="6"/>
  <c r="D37" i="6"/>
  <c r="D36" i="6"/>
  <c r="F36" i="6"/>
  <c r="E36" i="6"/>
  <c r="D60" i="6"/>
  <c r="F60" i="6"/>
  <c r="E60" i="6"/>
  <c r="F43" i="6"/>
  <c r="E43" i="6"/>
  <c r="D43" i="6"/>
  <c r="F67" i="6"/>
  <c r="E67" i="6"/>
  <c r="D67" i="6"/>
  <c r="E39" i="6"/>
  <c r="F39" i="6"/>
  <c r="D39" i="6"/>
  <c r="F70" i="6"/>
  <c r="E70" i="6"/>
  <c r="D70" i="6"/>
  <c r="F19" i="6"/>
  <c r="D19" i="6"/>
  <c r="E19" i="6"/>
  <c r="F51" i="6"/>
  <c r="D51" i="6"/>
  <c r="E51" i="6"/>
  <c r="D52" i="6"/>
  <c r="F52" i="6"/>
  <c r="E52" i="6"/>
  <c r="F69" i="6"/>
  <c r="D69" i="6"/>
  <c r="E69" i="6"/>
  <c r="F38" i="6"/>
  <c r="D38" i="6"/>
  <c r="E38" i="6"/>
  <c r="F32" i="6"/>
  <c r="F21" i="6"/>
  <c r="D21" i="6"/>
  <c r="D20" i="6"/>
  <c r="E20" i="6"/>
  <c r="F27" i="6"/>
  <c r="D27" i="6"/>
  <c r="E53" i="6"/>
  <c r="D53" i="6"/>
  <c r="D45" i="6"/>
  <c r="E45" i="6"/>
  <c r="F45" i="6"/>
  <c r="F66" i="6"/>
  <c r="E66" i="6"/>
  <c r="D66" i="6"/>
  <c r="D33" i="6"/>
  <c r="F33" i="6"/>
  <c r="E33" i="6"/>
  <c r="E23" i="6"/>
  <c r="F57" i="6"/>
  <c r="D57" i="6"/>
  <c r="E57" i="6"/>
  <c r="D68" i="6"/>
  <c r="E68" i="6"/>
  <c r="F68" i="6"/>
  <c r="F15" i="6"/>
  <c r="F31" i="6"/>
  <c r="D31" i="6"/>
  <c r="F50" i="6"/>
  <c r="D50" i="6"/>
  <c r="E50" i="6"/>
  <c r="F23" i="6"/>
  <c r="F35" i="6"/>
  <c r="D35" i="6"/>
  <c r="D54" i="6"/>
  <c r="F54" i="6"/>
  <c r="E54" i="6"/>
  <c r="G13" i="9" l="1"/>
  <c r="G37" i="9"/>
  <c r="G38" i="9"/>
  <c r="G12" i="9"/>
  <c r="G23" i="9"/>
  <c r="G27" i="9"/>
  <c r="G25" i="9"/>
  <c r="G26" i="9"/>
  <c r="G79" i="9"/>
  <c r="G58" i="9"/>
  <c r="G28" i="9"/>
  <c r="G52" i="9"/>
  <c r="G62" i="9"/>
  <c r="G19" i="9"/>
  <c r="G74" i="9"/>
  <c r="G80" i="9"/>
  <c r="G56" i="9"/>
  <c r="G73" i="9"/>
  <c r="G50" i="9"/>
  <c r="G49" i="9"/>
  <c r="G24" i="9"/>
  <c r="G11" i="9"/>
  <c r="G14" i="9"/>
  <c r="G48" i="9"/>
  <c r="G17" i="9"/>
  <c r="G9" i="9"/>
  <c r="G10" i="9"/>
  <c r="G72" i="9"/>
  <c r="G15" i="9"/>
  <c r="G54" i="9"/>
  <c r="G46" i="9"/>
  <c r="G53" i="9"/>
  <c r="G78" i="9"/>
  <c r="G82" i="9"/>
  <c r="G75" i="9"/>
  <c r="G47" i="9"/>
  <c r="G41" i="9" l="1"/>
  <c r="G39" i="9"/>
  <c r="G40" i="9"/>
  <c r="G63" i="9"/>
  <c r="G65" i="9"/>
  <c r="G6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König, Adrian</author>
  </authors>
  <commentList>
    <comment ref="C9" authorId="0" shapeId="0" xr:uid="{9E96C839-A0D3-4A43-8352-34AB55CC6E53}">
      <text>
        <r>
          <rPr>
            <b/>
            <sz val="9"/>
            <color indexed="81"/>
            <rFont val="Segoe UI"/>
            <charset val="1"/>
          </rPr>
          <t>König, Adrian:</t>
        </r>
        <r>
          <rPr>
            <sz val="9"/>
            <color indexed="81"/>
            <rFont val="Segoe UI"/>
            <charset val="1"/>
          </rPr>
          <t xml:space="preserve">
Aus Berechnung von Fabian</t>
        </r>
      </text>
    </comment>
  </commentList>
</comments>
</file>

<file path=xl/sharedStrings.xml><?xml version="1.0" encoding="utf-8"?>
<sst xmlns="http://schemas.openxmlformats.org/spreadsheetml/2006/main" count="2293" uniqueCount="509">
  <si>
    <t>5G</t>
  </si>
  <si>
    <t>POWERTRAIN</t>
  </si>
  <si>
    <t>SENSORS</t>
  </si>
  <si>
    <t>UMRECHNUNG</t>
  </si>
  <si>
    <t>1 Eur = Dollar</t>
  </si>
  <si>
    <t>Inflation EU</t>
  </si>
  <si>
    <t>COST</t>
  </si>
  <si>
    <t>SOURCE</t>
  </si>
  <si>
    <t>YEAR</t>
  </si>
  <si>
    <t>MAX</t>
  </si>
  <si>
    <t>MIN</t>
  </si>
  <si>
    <t>ASM</t>
  </si>
  <si>
    <t>Widmer</t>
  </si>
  <si>
    <t>Fries</t>
  </si>
  <si>
    <t xml:space="preserve">Borwell </t>
  </si>
  <si>
    <t>2020 COST [ [€/kW]</t>
  </si>
  <si>
    <t>UNIT</t>
  </si>
  <si>
    <t>€/kW</t>
  </si>
  <si>
    <t>$/50kW</t>
  </si>
  <si>
    <t>$/kW</t>
  </si>
  <si>
    <t>MEAN</t>
  </si>
  <si>
    <t>Material Costs</t>
  </si>
  <si>
    <t>Production Costs</t>
  </si>
  <si>
    <t>PMS</t>
  </si>
  <si>
    <t>PERMANENT MAGNET SYNCHRONOUS ENGINE</t>
  </si>
  <si>
    <t>ASYNCHRONOUS ENGINE</t>
  </si>
  <si>
    <t>Borwell</t>
  </si>
  <si>
    <t xml:space="preserve">Widmer </t>
  </si>
  <si>
    <t xml:space="preserve">Fries </t>
  </si>
  <si>
    <t xml:space="preserve">Angerer </t>
  </si>
  <si>
    <t>INVERTER</t>
  </si>
  <si>
    <t xml:space="preserve">Altenburg </t>
  </si>
  <si>
    <t>Comments</t>
  </si>
  <si>
    <t>Production Costs + 425€</t>
  </si>
  <si>
    <t>BATTERY PACK</t>
  </si>
  <si>
    <t xml:space="preserve">Cano </t>
  </si>
  <si>
    <t xml:space="preserve">Heitesheimer </t>
  </si>
  <si>
    <t xml:space="preserve">Schmuch </t>
  </si>
  <si>
    <t xml:space="preserve">NPM </t>
  </si>
  <si>
    <t xml:space="preserve">Philippot </t>
  </si>
  <si>
    <t xml:space="preserve">Wentker </t>
  </si>
  <si>
    <t>€/kWh</t>
  </si>
  <si>
    <t>INVENTER</t>
  </si>
  <si>
    <t>RADAR</t>
  </si>
  <si>
    <t>€2017/kWh</t>
  </si>
  <si>
    <t>€2018/kWh</t>
  </si>
  <si>
    <t>€2019/kWh</t>
  </si>
  <si>
    <t>LIDAR</t>
  </si>
  <si>
    <t xml:space="preserve">GPS </t>
  </si>
  <si>
    <t>COMPUTER</t>
  </si>
  <si>
    <t>SONAR (ULTRASONIC SENSORS)</t>
  </si>
  <si>
    <t>SURROUND CAMERA</t>
  </si>
  <si>
    <t>FRONT CAMERA</t>
  </si>
  <si>
    <t>YOLE DEVELOPMENT AUTOMOTIVE TECHNOLOGY TREND  https://image.slidesharecdn.com/yolecameramoduleindustryaugust2015reportsample-150827081628-lva1-app6891/95/camera-module-industry-august-2015-report-by-yole-developpement-7-638.jpg?cb=1440663755</t>
  </si>
  <si>
    <t>€2015/Piece</t>
  </si>
  <si>
    <t>€2011/Piece</t>
  </si>
  <si>
    <t>YOLE DEVELOPMENT AUTOMOTIVE TECHNOLOGY TREND  https://image.slidesharecdn.com/yolecameramoduleindustryaugust2015reportsample-150827081628-lva1-app6891/95/camera-module-industry-august-2015-report-by-yole-developpement-7-638.jpg?cb=1440663756</t>
  </si>
  <si>
    <t>YOLE DEVELOPMENT AUTOMOTIVE TECHNOLOGY TREND  https://image.slidesharecdn.com/yolecameramoduleindustryaugust2015reportsample-150827081628-lva1-app6891/95/camera-module-industry-august-2015-report-by-yole-developpement-7-638.jpg?cb=1440663757</t>
  </si>
  <si>
    <t>YOLE DEVELOPMENT AUTOMOTIVE TECHNOLOGY TREND  https://image.slidesharecdn.com/yolecameramoduleindustryaugust2015reportsample-150827081628-lva1-app6891/95/camera-module-industry-august-2015-report-by-yole-developpement-7-638.jpg?cb=1440663758</t>
  </si>
  <si>
    <t>YOLE DEVELOPMENT AUTOMOTIVE TECHNOLOGY TREND  https://image.slidesharecdn.com/yolecameramoduleindustryaugust2015reportsample-150827081628-lva1-app6891/95/camera-module-industry-august-2015-report-by-yole-developpement-7-638.jpg?cb=1440663759</t>
  </si>
  <si>
    <t>YOLE DEVELOPMENT AUTOMOTIVE TECHNOLOGY TREND  https://image.slidesharecdn.com/yolecameramoduleindustryaugust2015reportsample-150827081628-lva1-app6891/95/camera-module-industry-august-2015-report-by-yole-developpement-7-638.jpg?cb=1440663760</t>
  </si>
  <si>
    <t>YOLE DEVELOPMENT AUTOMOTIVE TECHNOLOGY TREND  https://image.slidesharecdn.com/yolecameramoduleindustryaugust2015reportsample-150827081628-lva1-app6891/95/camera-module-industry-august-2015-report-by-yole-developpement-7-638.jpg?cb=1440663761</t>
  </si>
  <si>
    <t>YOLE DEVELOPMENT AUTOMOTIVE TECHNOLOGY TREND  https://image.slidesharecdn.com/yolecameramoduleindustryaugust2015reportsample-150827081628-lva1-app6891/95/camera-module-industry-august-2015-report-by-yole-developpement-7-638.jpg?cb=1440663762</t>
  </si>
  <si>
    <t>YOLE DEVELOPMENT AUTOMOTIVE TECHNOLOGY TREND  https://image.slidesharecdn.com/yolecameramoduleindustryaugust2015reportsample-150827081628-lva1-app6891/95/camera-module-industry-august-2015-report-by-yole-developpement-7-638.jpg?cb=1440663763</t>
  </si>
  <si>
    <t>YOLE DEVELOPMENT AUTOMOTIVE TECHNOLOGY TREND  https://image.slidesharecdn.com/yolecameramoduleindustryaugust2015reportsample-150827081628-lva1-app6891/95/camera-module-industry-august-2015-report-by-yole-developpement-7-638.jpg?cb=1440663764</t>
  </si>
  <si>
    <t>YOLE DEVELOPMENT AUTOMOTIVE TECHNOLOGY TREND  https://image.slidesharecdn.com/yolecameramoduleindustryaugust2015reportsample-150827081628-lva1-app6891/95/camera-module-industry-august-2015-report-by-yole-developpement-7-638.jpg?cb=1440663765</t>
  </si>
  <si>
    <t>YOLE DEVELOPMENT AUTOMOTIVE TECHNOLOGY TREND  https://image.slidesharecdn.com/yolecameramoduleindustryaugust2015reportsample-150827081628-lva1-app6891/95/camera-module-industry-august-2015-report-by-yole-developpement-7-638.jpg?cb=1440663766</t>
  </si>
  <si>
    <t>€2012/Piece</t>
  </si>
  <si>
    <t>€2013/Piece</t>
  </si>
  <si>
    <t>€2014/Piece</t>
  </si>
  <si>
    <t>YOLE DEVELOPMENT AUTOMOTIVE TECHNOLOGY TREND  https://image.slidesharecdn.com/yolecameramoduleindustryaugust2015reportsample-150827081628-lva1-app6891/95/camera-module-industry-august-2015-report-by-yole-developpement-7-638.jpg?cb=1440663767</t>
  </si>
  <si>
    <t>YOLE DEVELOPMENT AUTOMOTIVE TECHNOLOGY TREND  https://image.slidesharecdn.com/yolecameramoduleindustryaugust2015reportsample-150827081628-lva1-app6891/95/camera-module-industry-august-2015-report-by-yole-developpement-7-638.jpg?cb=1440663768</t>
  </si>
  <si>
    <t>CRISP RESEARCH                     https://www.crisp-research.com/das-iot-trend-jahr-2018-nimmt-fahrt-auf/</t>
  </si>
  <si>
    <t>MONITORS</t>
  </si>
  <si>
    <t>PNEUMATIC INDOOR SWINGING DOORS</t>
  </si>
  <si>
    <t>€/Piece</t>
  </si>
  <si>
    <t>from BoDe (of the record Info)</t>
  </si>
  <si>
    <t>MAN Turkey</t>
  </si>
  <si>
    <t>$/Piece</t>
  </si>
  <si>
    <t>from Funtoro (of the record Info)</t>
  </si>
  <si>
    <t>[THY13a]</t>
  </si>
  <si>
    <t>[THY13b]</t>
  </si>
  <si>
    <t>[THY13c]</t>
  </si>
  <si>
    <t>[HUS12]</t>
  </si>
  <si>
    <t>[VDI98] VDI-Norm 2225 S. 15</t>
  </si>
  <si>
    <t>[VDI98] VDI-Norm 2225 S. 16 mit Korrekturfaktor</t>
  </si>
  <si>
    <t>[VDI98] VDI-Norm 2225 S. 16</t>
  </si>
  <si>
    <t>[VDI98] VDI-Norm 2225 S. 17</t>
  </si>
  <si>
    <t>Steel-DP500</t>
  </si>
  <si>
    <t>Steel-DP800</t>
  </si>
  <si>
    <t>Steel-HF 1500</t>
  </si>
  <si>
    <t>Steel-HSLA450</t>
  </si>
  <si>
    <t>Steel-MildSteel</t>
  </si>
  <si>
    <t>Steel-MS1200</t>
  </si>
  <si>
    <t>Steel-TRIP/TWIP</t>
  </si>
  <si>
    <t>Steel-CP1000</t>
  </si>
  <si>
    <t>Steel-DP1000</t>
  </si>
  <si>
    <t>Type of Steel</t>
  </si>
  <si>
    <t>Materials</t>
  </si>
  <si>
    <t>Raw Cost [€/kg]</t>
  </si>
  <si>
    <t>Proportion</t>
  </si>
  <si>
    <t>€/kg</t>
  </si>
  <si>
    <t>Purpose of use: Body Frame</t>
  </si>
  <si>
    <t>Stahl-HX340</t>
  </si>
  <si>
    <t>Stahl-HX260</t>
  </si>
  <si>
    <t>Stahl-HSZ260</t>
  </si>
  <si>
    <t>Stahl-BHZ260</t>
  </si>
  <si>
    <t>Stahl-HX500</t>
  </si>
  <si>
    <t>Stahl-HX460</t>
  </si>
  <si>
    <t>Stahl-HX420</t>
  </si>
  <si>
    <t>Purpose of use: Exterior</t>
  </si>
  <si>
    <t>Purpose of use: drive shaft</t>
  </si>
  <si>
    <t>Round steel</t>
  </si>
  <si>
    <t>Purpose of use: differential</t>
  </si>
  <si>
    <t>Cast steel</t>
  </si>
  <si>
    <t>Source</t>
  </si>
  <si>
    <t>Purpose of use: casing for differential and gearbox</t>
  </si>
  <si>
    <t>Cast Steel</t>
  </si>
  <si>
    <t>Purpose of use: gear</t>
  </si>
  <si>
    <t>Purpose of use: rims</t>
  </si>
  <si>
    <t>Purpose of use: front and rear axle</t>
  </si>
  <si>
    <t>Round Steel</t>
  </si>
  <si>
    <t>Processed Cost [€/kg]</t>
  </si>
  <si>
    <t>PROCESSED</t>
  </si>
  <si>
    <t>MATERIALS</t>
  </si>
  <si>
    <t>nach [VDI98] VDI-Norm 2225</t>
  </si>
  <si>
    <t>[VDI98] VDI-Norm 2225 S. 28</t>
  </si>
  <si>
    <t>[VDI98] VDI-Norm 2225 S. 29</t>
  </si>
  <si>
    <t>STEEL</t>
  </si>
  <si>
    <t>ALUMINIUM</t>
  </si>
  <si>
    <t>Type</t>
  </si>
  <si>
    <t>Aluminium</t>
  </si>
  <si>
    <t>Purpose of use: Rims/Casing</t>
  </si>
  <si>
    <t>Type of Aluminium</t>
  </si>
  <si>
    <t>Forged Steel</t>
  </si>
  <si>
    <t>Diecast Aluminium</t>
  </si>
  <si>
    <t>Purpose of use: Gearbox</t>
  </si>
  <si>
    <t>CFK</t>
  </si>
  <si>
    <t>€</t>
  </si>
  <si>
    <t>MECHANICAL LIDAR</t>
  </si>
  <si>
    <t>See technical data Sheet</t>
  </si>
  <si>
    <t>Puck, Velodyn</t>
  </si>
  <si>
    <t>HDL-32E</t>
  </si>
  <si>
    <t>ABS</t>
  </si>
  <si>
    <t>PP</t>
  </si>
  <si>
    <t>PA</t>
  </si>
  <si>
    <t>ASA/SMA</t>
  </si>
  <si>
    <t>POM</t>
  </si>
  <si>
    <t>PE</t>
  </si>
  <si>
    <t>PMMA</t>
  </si>
  <si>
    <t>PBT/PET</t>
  </si>
  <si>
    <t>PC</t>
  </si>
  <si>
    <t>PVC</t>
  </si>
  <si>
    <t>PU</t>
  </si>
  <si>
    <t>PLASTICS</t>
  </si>
  <si>
    <t>Type of Plastic</t>
  </si>
  <si>
    <t>Industry</t>
  </si>
  <si>
    <t>€2013/kg</t>
  </si>
  <si>
    <t>Manufacturing Cost (€2013/kg)</t>
  </si>
  <si>
    <t>Production&gt;0.5e9</t>
  </si>
  <si>
    <t>Min:Pouch, Max: 21700</t>
  </si>
  <si>
    <t>2030: 35 GWh Produktion, 80% Cost Share Material</t>
  </si>
  <si>
    <t>Just the module</t>
  </si>
  <si>
    <t>Materialkosten</t>
  </si>
  <si>
    <t>RELUCTANCE</t>
  </si>
  <si>
    <t>€/ kW</t>
  </si>
  <si>
    <t>Prediction</t>
  </si>
  <si>
    <t>Lienkamp 2019 FAS Lecture</t>
  </si>
  <si>
    <t>Automotive Radar Market Report Coverage</t>
  </si>
  <si>
    <t>MEMS LIDAR</t>
  </si>
  <si>
    <t>SONAR</t>
  </si>
  <si>
    <t>[VDI98] VDI-Norm     2225 S. 17</t>
  </si>
  <si>
    <t>FRONT/REAR AXL STEEL</t>
  </si>
  <si>
    <t>CHASIS</t>
  </si>
  <si>
    <t xml:space="preserve">MUTE </t>
  </si>
  <si>
    <t>Fuchs,2014 includes Steerwheel, Steering and Steering Coulumn</t>
  </si>
  <si>
    <t>BRAKING SYSTEM</t>
  </si>
  <si>
    <t>STEERING SYSTEM</t>
  </si>
  <si>
    <t>FUCHS 2014</t>
  </si>
  <si>
    <t xml:space="preserve">Based on Fuchs' estimations </t>
  </si>
  <si>
    <t>SHOCK ABSORBER (VEHICHLE SUSPENSION)</t>
  </si>
  <si>
    <t>MATERIALS for the GEARBOX- DIFFERENTIAL - COOLING SYSTEM - DRIVE SHAFT</t>
  </si>
  <si>
    <t>FUCHS 14</t>
  </si>
  <si>
    <t xml:space="preserve">€/kg </t>
  </si>
  <si>
    <t>PROCESSED ALUMINIUM FOR THE DIFFERENTIAL</t>
  </si>
  <si>
    <t>PROCESSED STEEL FOR THE DIFFERENTIAL</t>
  </si>
  <si>
    <t>PROCESSED STEEL FOR THE DRIVESHAFT</t>
  </si>
  <si>
    <t>PROCESSED STEEL FOR THE GEARBOX</t>
  </si>
  <si>
    <t>PROCESSED ALUMINIUM FOR THE GEARBOX</t>
  </si>
  <si>
    <t>ELECTRIC &amp; ELECTRONICS</t>
  </si>
  <si>
    <t>FRONT HEADLIGHT</t>
  </si>
  <si>
    <t>MUTE</t>
  </si>
  <si>
    <t>Fuchs 2014</t>
  </si>
  <si>
    <t>BACK HEADLIGHT</t>
  </si>
  <si>
    <t xml:space="preserve">FUCHS </t>
  </si>
  <si>
    <t>Fuchs' estimation</t>
  </si>
  <si>
    <t>Fuchs' assumption</t>
  </si>
  <si>
    <t>HIGH VOLTAGE BATTERY CHARGER</t>
  </si>
  <si>
    <t>Strategien zur Elektrifizierung des Antriebsstrangs p 119/120</t>
  </si>
  <si>
    <t>LOW VOLTAGE BACKUP BATTERY</t>
  </si>
  <si>
    <t>LOW WOLTAGE STRUCTURED CABLING</t>
  </si>
  <si>
    <t>OTHERS</t>
  </si>
  <si>
    <t>INTERIEUR</t>
  </si>
  <si>
    <t xml:space="preserve">AUTOMATIC ADJUSTABLE FRONT SEAT </t>
  </si>
  <si>
    <t xml:space="preserve">MECHANICAL ADJUSTABLE FRONT SEAT </t>
  </si>
  <si>
    <t xml:space="preserve">BACKSEAT </t>
  </si>
  <si>
    <t>SEAT WARMER</t>
  </si>
  <si>
    <t>FUCHS</t>
  </si>
  <si>
    <t>AIRBAG</t>
  </si>
  <si>
    <t>STANDARD AIRBAG</t>
  </si>
  <si>
    <t>Driver and passenger</t>
  </si>
  <si>
    <t>Side Airbags -Curtain Airbags</t>
  </si>
  <si>
    <t>FRONT SEATBELT SYSTEM</t>
  </si>
  <si>
    <t>BACK SEATBELT SYSTEM</t>
  </si>
  <si>
    <t>EXTERIEUR</t>
  </si>
  <si>
    <t>HVEC (heating w/o AC)</t>
  </si>
  <si>
    <t>WINDSHIELD WIPER</t>
  </si>
  <si>
    <t>WHEELS AND TIRES PROCESSED ALUMINIUM</t>
  </si>
  <si>
    <t>WHEELS AND TIRES PROCESSED STEEL</t>
  </si>
  <si>
    <t>WHEELS AND TIRES PROCESSED ELASTOMER</t>
  </si>
  <si>
    <t>Fuchs</t>
  </si>
  <si>
    <t>EASY INFLATION FACTOR FOR €</t>
  </si>
  <si>
    <t>[VDI98] VDI-Norm      2225 S. 28</t>
  </si>
  <si>
    <t>[VDI98] VDI-Norm   2225 S. 16</t>
  </si>
  <si>
    <t>Section w</t>
  </si>
  <si>
    <t>Aspect Ratio</t>
  </si>
  <si>
    <t>Rim Diameter</t>
  </si>
  <si>
    <t>TIRE STANDARD DIMENSION</t>
  </si>
  <si>
    <t>Mass of the Used Materials</t>
  </si>
  <si>
    <t>RIM</t>
  </si>
  <si>
    <t>TIRE</t>
  </si>
  <si>
    <t>Method</t>
  </si>
  <si>
    <t>Lin. Regression</t>
  </si>
  <si>
    <t>mm</t>
  </si>
  <si>
    <t>%</t>
  </si>
  <si>
    <t>Zoll</t>
  </si>
  <si>
    <t>Slope</t>
  </si>
  <si>
    <t>Intercep</t>
  </si>
  <si>
    <t>Mass</t>
  </si>
  <si>
    <t>Value 1</t>
  </si>
  <si>
    <t>Value 2</t>
  </si>
  <si>
    <t>Unit</t>
  </si>
  <si>
    <t>kg</t>
  </si>
  <si>
    <t>FTM14a</t>
  </si>
  <si>
    <t>4 Pieces, Cost-Databasis</t>
  </si>
  <si>
    <t>Estimations from Cost-Databasis</t>
  </si>
  <si>
    <t>WINDOWS</t>
  </si>
  <si>
    <t>Cost-Databasis</t>
  </si>
  <si>
    <t>WINDOW LIFTER</t>
  </si>
  <si>
    <t>ASSEMBLY</t>
  </si>
  <si>
    <t>sub-compact car - Cost-Databasis</t>
  </si>
  <si>
    <t>Mid-range car - Cost-Databasis</t>
  </si>
  <si>
    <t>Large car (SUV) - Cost-Databasis</t>
  </si>
  <si>
    <t xml:space="preserve">Fuchs </t>
  </si>
  <si>
    <t>BODY IN WHITE</t>
  </si>
  <si>
    <t>Masse Karosserie</t>
  </si>
  <si>
    <t>h/vehicle</t>
  </si>
  <si>
    <t xml:space="preserve">ADDITIONAL COSTS, OVERHEAD, </t>
  </si>
  <si>
    <t>DEVELOPMENT OF VEHICLE SERIES PRODUCTION</t>
  </si>
  <si>
    <t>WARRANTY</t>
  </si>
  <si>
    <t>MARGIN MANUFACTURER</t>
  </si>
  <si>
    <t>MARGIN DISTRIBUTOR</t>
  </si>
  <si>
    <t>MARGIN RETAILER</t>
  </si>
  <si>
    <t>CUE99, DOU11, IKA12, MCK12</t>
  </si>
  <si>
    <t>CAR13, DOU11, IKA12</t>
  </si>
  <si>
    <t>based on expert estimation</t>
  </si>
  <si>
    <t>INVESTITIONSKOSTEN</t>
  </si>
  <si>
    <t>WAGE COSTS</t>
  </si>
  <si>
    <t>WAGE COSTS = ASSEMBLY + PUNCHING/ PRESSING</t>
  </si>
  <si>
    <t>ENERGY COSTS</t>
  </si>
  <si>
    <t>SCRAP COSTS</t>
  </si>
  <si>
    <t>MIX</t>
  </si>
  <si>
    <t>€/vehicle</t>
  </si>
  <si>
    <t>based on Fuchs' lineear regression</t>
  </si>
  <si>
    <t>Steel</t>
  </si>
  <si>
    <t>Alu</t>
  </si>
  <si>
    <t>CFRP</t>
  </si>
  <si>
    <t>Percentage</t>
  </si>
  <si>
    <t>Mass of the Body</t>
  </si>
  <si>
    <t>Min: 198.53  kg Max: 351 kg</t>
  </si>
  <si>
    <t>PSM</t>
  </si>
  <si>
    <t>Inverter</t>
  </si>
  <si>
    <t>Battery Pack</t>
  </si>
  <si>
    <t>Reluctance</t>
  </si>
  <si>
    <t>Front/Rear Axl</t>
  </si>
  <si>
    <t>Steering System</t>
  </si>
  <si>
    <t>Braking System</t>
  </si>
  <si>
    <t>Shock Absorber</t>
  </si>
  <si>
    <t>Rim Processed Alu</t>
  </si>
  <si>
    <t>Rim Processed Steel</t>
  </si>
  <si>
    <t>Tires Elastomere</t>
  </si>
  <si>
    <t>Differential Processed Steel</t>
  </si>
  <si>
    <t>Driveshaft Processed Steel</t>
  </si>
  <si>
    <t>Differential Processed Alu</t>
  </si>
  <si>
    <t>Gearbox Processed Steel</t>
  </si>
  <si>
    <t>Gearbox Processed Alu</t>
  </si>
  <si>
    <t>Front Headlight</t>
  </si>
  <si>
    <t>Back Headlight</t>
  </si>
  <si>
    <t>Low Voltage Backup Battery</t>
  </si>
  <si>
    <t>High Voltage Battery Charger</t>
  </si>
  <si>
    <t>Electronics</t>
  </si>
  <si>
    <t>Mech. Adjustable Fr. Seat</t>
  </si>
  <si>
    <t>Aut. Adjustable Fr. Seat</t>
  </si>
  <si>
    <t>Seat Warmer</t>
  </si>
  <si>
    <t>Airbag</t>
  </si>
  <si>
    <t>Front Seatbelt System</t>
  </si>
  <si>
    <t>Back Seatbelt System</t>
  </si>
  <si>
    <t>Monitors/Displays</t>
  </si>
  <si>
    <t>Interieur</t>
  </si>
  <si>
    <t>Chasis</t>
  </si>
  <si>
    <t>Powertrain</t>
  </si>
  <si>
    <t>Windows Lifter</t>
  </si>
  <si>
    <t>Windshield Wiper</t>
  </si>
  <si>
    <t>Exterieur</t>
  </si>
  <si>
    <t>CRFP</t>
  </si>
  <si>
    <t xml:space="preserve">Steel Scrap </t>
  </si>
  <si>
    <t>Alu Scrap</t>
  </si>
  <si>
    <t>Mix Scrap</t>
  </si>
  <si>
    <t>Wage Costs</t>
  </si>
  <si>
    <t>Energy Costs</t>
  </si>
  <si>
    <t>Investment Costs</t>
  </si>
  <si>
    <t>Body in White</t>
  </si>
  <si>
    <t>AUTOMATION SENSORS &amp; TECH</t>
  </si>
  <si>
    <t>Radar</t>
  </si>
  <si>
    <t>Ultrasonic Sensors</t>
  </si>
  <si>
    <t>Lidar- Mems</t>
  </si>
  <si>
    <t>Lidar -Mech</t>
  </si>
  <si>
    <t>Surround Camera</t>
  </si>
  <si>
    <t>Front Camera</t>
  </si>
  <si>
    <t>Computer</t>
  </si>
  <si>
    <t>Lienkamp- FAS VL 2019</t>
  </si>
  <si>
    <t>Standard Airbag</t>
  </si>
  <si>
    <t>GPS receiver</t>
  </si>
  <si>
    <t>GPS Subscription</t>
  </si>
  <si>
    <t>GPS Mutireceiver</t>
  </si>
  <si>
    <t>GPS Annual Correction Subscriptions</t>
  </si>
  <si>
    <t>International Federation of Surveyors</t>
  </si>
  <si>
    <t>CPU</t>
  </si>
  <si>
    <t>Jahncke</t>
  </si>
  <si>
    <t>Steer by Wire (elektronic)</t>
  </si>
  <si>
    <t>Fahrzeugkonzepte 19/20 Skript</t>
  </si>
  <si>
    <t>Backseats</t>
  </si>
  <si>
    <t>Pneumatic Indoor Swing Doors</t>
  </si>
  <si>
    <t>2020 COST  [€2020]</t>
  </si>
  <si>
    <t>2016-2020</t>
  </si>
  <si>
    <t>$</t>
  </si>
  <si>
    <t>Waymo                                 https://www.mes-insights.com/lidar-systems-costs-integration-and-major-manufacturers-a-908358/</t>
  </si>
  <si>
    <t>Velodyn Lidar                   https://www.mes-insights.com/lidar-systems-costs-integration-and-major-manufacturers-a-908358/</t>
  </si>
  <si>
    <t>Luminar                                https://www.wired.com/story/lidar-cheap-make-self-driving-reality/</t>
  </si>
  <si>
    <t>Velodyn Lidar                   https://www.spar3d.com/news/lidar/velodyne-releases-100-lidar-sensor/</t>
  </si>
  <si>
    <t>https://www.engadget.com/2020/01/07/velodyne-velabit-ces-2020/?guccounter=1&amp;guce_referrer=aHR0cHM6Ly93d3cuZ29vZ2xlLmNvbS91cmw_c2E9dCZyY3Q9aiZxPSZlc3JjPXMmc291cmNlPXdlYiZjZD0xJnZlZD0yYWhVS0V3aUs1Tkt0OGRYbkFoVklkY0FLSGZUUkEzd1FGakFBZWdRSUJSQUImdXJsPWh0dHBzJTNBJTJGJTJGd3d3LmVuZ2FkZ2V0LmNvbSUyRjIwMjAlMkYwMSUyRjA3JTJGdmVsb2R5bmUtdmVsYWJpdC1jZXMtMjAyMCUyRiZ1c2c9QU92VmF3MzAzUWJuSzZaMFFmS19MZGpIc3RIWg&amp;guce_referrer_sig=AQAAAIM4_Ud8C7B1r-pjNC-2jLQeNwhkgim0hsmlfbqwLiweD0iVplAdTFCZtQ4pNZEVyfNgqs7HA9ehRBGOliZAMgP3r1ZgAIB9xPV1vZaOg1UDSlD9X1mNMhEQvfQ6tu75F9_db3bAnxo66xaEebiVcBJqrQTjn30861R7NQ7ynEIe</t>
  </si>
  <si>
    <t>https://medium.com/self-driving-cars/velodyne-lidar-price-reduction-d358f245f086</t>
  </si>
  <si>
    <t>https://www.prnewswire.com/news-releases/robosense-worlds-leading-autonomous-driving-lidar-provider-receives-chinas-largest-funding-for-a-lidar-company-at-over-45-million-300728729.html</t>
  </si>
  <si>
    <t>https://www.general-laser.at/shop-de/lidar-de?start=0</t>
  </si>
  <si>
    <t>https://ieeexplore.ieee.org/stamp/stamp.jsp?tp=&amp;arnumber=7539258</t>
  </si>
  <si>
    <t>http://www.woodsidecap.com/wp-content/uploads/2018/04/Yole_WCP-LiDAR-Report_April-2018-FINAL.pdf</t>
  </si>
  <si>
    <t>https://www.spar3d.com/news/hardware/innoviz-offers-different-kind-solid-state-lidar-autonomous-driving/</t>
  </si>
  <si>
    <t>https://arstechnica.com/cars/2020/01/most-lidars-today-has-between-1-and-128-lasers-this-one-has-11000/</t>
  </si>
  <si>
    <t>https://www.businesswire.com/news/home/20200213005321/en/%C2%A0RoboSense-LiDAR-Announced-Finalist-Transportation-Logistics-Category</t>
  </si>
  <si>
    <t>https://venturebeat.com/2019/07/11/lidar-startup-luminar-raises-100-million-unveils-iris-sensors/</t>
  </si>
  <si>
    <t>C2X</t>
  </si>
  <si>
    <t>https://www.itscosts.its.dot.gov/ITS/benecost.nsf/ID/8C2875E02CD554D3852582910068E4F8?OpenDocument&amp;Query=CApp</t>
  </si>
  <si>
    <t>Investment Costs per Vehicle</t>
  </si>
  <si>
    <t>ELECTRONICS</t>
  </si>
  <si>
    <t>SENSORS&amp;TECH</t>
  </si>
  <si>
    <t>Wage Costs per Vehicle</t>
  </si>
  <si>
    <t>Wage Costs per vehicle</t>
  </si>
  <si>
    <t>Final Assembly</t>
  </si>
  <si>
    <t>€/h</t>
  </si>
  <si>
    <t>Final Assembly and Lacquer</t>
  </si>
  <si>
    <t>DOORS - ENGINE HOOD- TAILGATE</t>
  </si>
  <si>
    <t>INVESTMENT COSTS</t>
  </si>
  <si>
    <t>€/veh</t>
  </si>
  <si>
    <t>They are considered fix, from FUCHS' work</t>
  </si>
  <si>
    <t>ENERGY/WAGE COSTS</t>
  </si>
  <si>
    <t>WINDSHIELD</t>
  </si>
  <si>
    <t>Basic Spare Part for Glass</t>
  </si>
  <si>
    <t>Windows - Glass</t>
  </si>
  <si>
    <t xml:space="preserve">Door- Tailgate -Hood Investmet </t>
  </si>
  <si>
    <t>Insulation</t>
  </si>
  <si>
    <t>Door- Tailgate -Hood Energy/Wage</t>
  </si>
  <si>
    <t>FTM14b, VDI98</t>
  </si>
  <si>
    <t>FTM14b, HUS12, LAE12, THY13a, THY13b, THY13c, WOR13</t>
  </si>
  <si>
    <t>y = -25.376x + 51419</t>
  </si>
  <si>
    <t>y = -1.9143x + 3991.1</t>
  </si>
  <si>
    <t xml:space="preserve">Low Voltage Cabling </t>
  </si>
  <si>
    <t>HVAC</t>
  </si>
  <si>
    <t>Ford Turkey</t>
  </si>
  <si>
    <t>Plastic -ABS</t>
  </si>
  <si>
    <t>Plastic -PP</t>
  </si>
  <si>
    <t>EXTERUEUR - CLOSURES</t>
  </si>
  <si>
    <t>Wiring Harness</t>
  </si>
  <si>
    <t>FTM14</t>
  </si>
  <si>
    <t>ESP</t>
  </si>
  <si>
    <t>ACC</t>
  </si>
  <si>
    <t>On board Charger</t>
  </si>
  <si>
    <t>Fitted Value</t>
  </si>
  <si>
    <t>Year</t>
  </si>
  <si>
    <t>Cost Tool Jahncke</t>
  </si>
  <si>
    <t>This cost databank is created to be used with the cost estimation tool in MATLAB.</t>
  </si>
  <si>
    <t>Databank</t>
  </si>
  <si>
    <t xml:space="preserve">General overview, easy to the eye. </t>
  </si>
  <si>
    <t>Wheels &amp; Tires</t>
  </si>
  <si>
    <t>Calculates the mass of a wheel (Rim and Tire), with the linear regression values of FUCHS. Rather use Mr. Romano's tool.</t>
  </si>
  <si>
    <t>Calculations</t>
  </si>
  <si>
    <t>Calculates the cost of raw material.</t>
  </si>
  <si>
    <t>Battery Development</t>
  </si>
  <si>
    <t>The sources have all different approaches for the cost of battery but the cost should eventually drop over time. Calculates the course of battery cost.</t>
  </si>
  <si>
    <t>DB</t>
  </si>
  <si>
    <t>THE DATABANK WHICH SHOULD BE UPDATED. DO NOT REARRANGE THE COMPONENTS; MAKE AS LITTLE CHANGE AS POSSIBLE.</t>
  </si>
  <si>
    <t>Matlab_Export</t>
  </si>
  <si>
    <t>Matlab extracts data from this sheet. DO NOT CHANGE THE ORDER, IT HAS TO MATCH WITH THE "COST" FUNCTION IN MATLAB.</t>
  </si>
  <si>
    <t>COST DATABANK</t>
  </si>
  <si>
    <t>Wechselkurs</t>
  </si>
  <si>
    <t>€ zu $</t>
  </si>
  <si>
    <t>Inflation</t>
  </si>
  <si>
    <t>Ahmed 2018</t>
  </si>
  <si>
    <t>Berckmanns 2017 High Cost</t>
  </si>
  <si>
    <t>Berckmanns 2017 Low Cost</t>
  </si>
  <si>
    <t>UBS 2017</t>
  </si>
  <si>
    <t>Lienert &amp; White 2018</t>
  </si>
  <si>
    <t>Tesla 2018</t>
  </si>
  <si>
    <t>Witter VW 2018</t>
  </si>
  <si>
    <t>P3 Tesla 2020</t>
  </si>
  <si>
    <t>Lutsey  &amp; Nicholas 2019</t>
  </si>
  <si>
    <t>Catarc 2019 low end</t>
  </si>
  <si>
    <t>National Advisory Comitee 2018</t>
  </si>
  <si>
    <t>Catarc 2019 high end</t>
  </si>
  <si>
    <t>ThIs 2021</t>
  </si>
  <si>
    <t>Anderman 2018</t>
  </si>
  <si>
    <t>Quelle</t>
  </si>
  <si>
    <t>Lutsey 2021</t>
  </si>
  <si>
    <t>Lutsey 2019</t>
  </si>
  <si>
    <t>Yuan to $</t>
  </si>
  <si>
    <t>Yuan</t>
  </si>
  <si>
    <t>SAE China 2020</t>
  </si>
  <si>
    <t>CAEV 2020 low end</t>
  </si>
  <si>
    <t>CAEV 2020 high end</t>
  </si>
  <si>
    <t>SAE China 2016</t>
  </si>
  <si>
    <t>MIIT 2017</t>
  </si>
  <si>
    <t>Catarc 2019 for VW</t>
  </si>
  <si>
    <t>Catarc 2019 for CATL</t>
  </si>
  <si>
    <t>Ma 2020 LFP</t>
  </si>
  <si>
    <t>Ma 2020 NMC/NCA</t>
  </si>
  <si>
    <t>Davies 2017</t>
  </si>
  <si>
    <t>Analysis Shows Continued Industry-Wide Decline in Electric Vehicle Battery Costs (upenn.edu)</t>
  </si>
  <si>
    <t>Why building an electric car is so expensive, for now, Companies &amp; Markets News &amp; Top Stories - The Straits Times</t>
  </si>
  <si>
    <t>Electric cars and batteries: how will the world produce enough? (nature.com)</t>
  </si>
  <si>
    <t>Bloomberg 2020</t>
  </si>
  <si>
    <t>upenn.edu 2020</t>
  </si>
  <si>
    <t>The Straits Times 2020</t>
  </si>
  <si>
    <t>nature.com 2021</t>
  </si>
  <si>
    <t>Prognose 2020 ohne Inflation</t>
  </si>
  <si>
    <t>Microsoft Word - Roadmap 27 March.docx (battery2030.eu)</t>
  </si>
  <si>
    <t>A Behind the Scenes Take on Lithium-ion Battery Prices | BloombergNEF (bnef.com)</t>
  </si>
  <si>
    <t>Battery Pack Prices Cited Below $100/kWh for the First Time in 2020, While Market Average Sits at $137/kWh | BloombergNEF (bnef.com)</t>
  </si>
  <si>
    <t>Prognose 2020 mit Inflation</t>
  </si>
  <si>
    <t>Preis in $/kWh</t>
  </si>
  <si>
    <t>Preis in €/kWh</t>
  </si>
  <si>
    <t>Schmuch 2018</t>
  </si>
  <si>
    <t>Fraunhofer 2017</t>
  </si>
  <si>
    <t>EIN 2020</t>
  </si>
  <si>
    <t>Bloomberg 2019</t>
  </si>
  <si>
    <t>Prognose 2025 ohne Inflation</t>
  </si>
  <si>
    <t>Prognose 2025 mit Inflation 2020</t>
  </si>
  <si>
    <t>Inflation Multiplier</t>
  </si>
  <si>
    <t>Jahr</t>
  </si>
  <si>
    <t>2017-2020</t>
  </si>
  <si>
    <t>2018-2020</t>
  </si>
  <si>
    <t>2019-2020</t>
  </si>
  <si>
    <t>Battery 2030+ Roadmap 2020</t>
  </si>
  <si>
    <t>Cano 2018</t>
  </si>
  <si>
    <t>Prognose 2030 ohne Inflation</t>
  </si>
  <si>
    <t>Prognose 2030 mit Inflation 2020</t>
  </si>
  <si>
    <t>Propfe 2016</t>
  </si>
  <si>
    <t>a</t>
  </si>
  <si>
    <t>b</t>
  </si>
  <si>
    <t>Angerer 2018</t>
  </si>
  <si>
    <t>PSM Modell ohne Inflation</t>
  </si>
  <si>
    <t>PSM Modell mit Inflation</t>
  </si>
  <si>
    <t>Ouyang 2020</t>
  </si>
  <si>
    <t>Annual decline rate 2020-2030</t>
  </si>
  <si>
    <t xml:space="preserve">Motor </t>
  </si>
  <si>
    <t>Invertermodell ohne Inflation</t>
  </si>
  <si>
    <t>Fries 2017</t>
  </si>
  <si>
    <t>Invertermodell mit Inflation</t>
  </si>
  <si>
    <t>Fries 2017 mit decline rate</t>
  </si>
  <si>
    <t>UBS 2017 mit decline rate</t>
  </si>
  <si>
    <t>Fries 2017 mit Inflation</t>
  </si>
  <si>
    <t>Literaturquelle</t>
  </si>
  <si>
    <t>http://dx.doi.org/10.13140/RG.2.2.17760.00005</t>
  </si>
  <si>
    <t>(PDF) Evaluating electric vehicle costs and benefits in China in the 2020-2035 time frame (researchgate.net)</t>
  </si>
  <si>
    <t>http://dx.doi.org/10.13140/RG.2.2.25390.56646</t>
  </si>
  <si>
    <t>(PDF) Update on electric vehicle costs in the United States through 2030 (researchgate.net)</t>
  </si>
  <si>
    <t>Fries Large Cell 60 Ah 2017</t>
  </si>
  <si>
    <t>Fries Small Cell 4,5 Ah 2017</t>
  </si>
  <si>
    <t>http://dx.doi.org/10.13140/RG.2.2.11685.40164</t>
  </si>
  <si>
    <t>(PDF) An Overview of Costs for Vehicle Components, Fuels, Greenhouse Gas Emissions and Total Cost of Ownership - Update 2017 (researchgate.net)</t>
  </si>
  <si>
    <t>Preis in Yuan/kWh</t>
  </si>
  <si>
    <t>ASM Modell ohne Inflation</t>
  </si>
  <si>
    <t>ASM_cons</t>
  </si>
  <si>
    <t>ASM_var</t>
  </si>
  <si>
    <t>PSM_cons</t>
  </si>
  <si>
    <t>PSM_var</t>
  </si>
  <si>
    <t>2016_2020</t>
  </si>
  <si>
    <t>2020_2025</t>
  </si>
  <si>
    <t>2025_2030</t>
  </si>
  <si>
    <t>Component_Groups</t>
  </si>
  <si>
    <t>Vehicle_Components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</si>
</sst>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_-;\-* #,##0_-;_-* &quot;-&quot;_-;_-@_-"/>
    <numFmt numFmtId="165" formatCode="_-* #,##0.00_-;\-* #,##0.00_-;_-* &quot;-&quot;??_-;_-@_-"/>
    <numFmt numFmtId="166" formatCode="#,##0.0000"/>
    <numFmt numFmtId="167" formatCode="[$€-2]\ #,##0;[Red]\-[$€-2]\ #,##0"/>
    <numFmt numFmtId="168" formatCode="0.000"/>
    <numFmt numFmtId="169" formatCode="0.0%"/>
    <numFmt numFmtId="170" formatCode="0.0000E+00"/>
    <numFmt numFmtId="171" formatCode="_-* #,##0.000_-;\-* #,##0.0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3" fillId="0" borderId="0"/>
    <xf numFmtId="0" fontId="1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9" fillId="3" borderId="0" applyNumberFormat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6" fillId="0" borderId="0">
      <alignment vertical="center"/>
    </xf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26" fillId="0" borderId="0">
      <alignment vertical="center"/>
    </xf>
    <xf numFmtId="0" fontId="28" fillId="20" borderId="0">
      <alignment vertical="center"/>
    </xf>
    <xf numFmtId="0" fontId="29" fillId="0" borderId="0"/>
  </cellStyleXfs>
  <cellXfs count="350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textRotation="90"/>
    </xf>
    <xf numFmtId="165" fontId="5" fillId="0" borderId="0" xfId="9" applyFont="1" applyAlignment="1">
      <alignment horizontal="center"/>
    </xf>
    <xf numFmtId="165" fontId="0" fillId="0" borderId="0" xfId="9" applyFont="1"/>
    <xf numFmtId="165" fontId="5" fillId="7" borderId="0" xfId="9" applyFont="1" applyFill="1"/>
    <xf numFmtId="165" fontId="5" fillId="8" borderId="0" xfId="9" applyFont="1" applyFill="1" applyAlignment="1">
      <alignment vertical="center"/>
    </xf>
    <xf numFmtId="165" fontId="0" fillId="10" borderId="0" xfId="9" applyFont="1" applyFill="1"/>
    <xf numFmtId="165" fontId="0" fillId="11" borderId="0" xfId="9" applyFont="1" applyFill="1"/>
    <xf numFmtId="165" fontId="0" fillId="12" borderId="0" xfId="9" applyFont="1" applyFill="1"/>
    <xf numFmtId="165" fontId="5" fillId="9" borderId="0" xfId="9" applyFont="1" applyFill="1"/>
    <xf numFmtId="165" fontId="5" fillId="9" borderId="0" xfId="9" applyFont="1" applyFill="1" applyAlignment="1">
      <alignment horizontal="center"/>
    </xf>
    <xf numFmtId="0" fontId="0" fillId="10" borderId="0" xfId="9" applyNumberFormat="1" applyFont="1" applyFill="1" applyAlignment="1">
      <alignment horizontal="center"/>
    </xf>
    <xf numFmtId="0" fontId="0" fillId="11" borderId="0" xfId="9" applyNumberFormat="1" applyFont="1" applyFill="1" applyAlignment="1">
      <alignment horizontal="center"/>
    </xf>
    <xf numFmtId="0" fontId="0" fillId="12" borderId="0" xfId="9" applyNumberFormat="1" applyFont="1" applyFill="1" applyAlignment="1">
      <alignment horizontal="center"/>
    </xf>
    <xf numFmtId="1" fontId="11" fillId="12" borderId="1" xfId="0" applyNumberFormat="1" applyFont="1" applyFill="1" applyBorder="1" applyAlignment="1">
      <alignment horizontal="center" vertical="center" wrapText="1" readingOrder="1"/>
    </xf>
    <xf numFmtId="0" fontId="0" fillId="12" borderId="0" xfId="0" applyFill="1" applyAlignment="1">
      <alignment horizontal="center"/>
    </xf>
    <xf numFmtId="2" fontId="0" fillId="12" borderId="0" xfId="0" applyNumberFormat="1" applyFill="1"/>
    <xf numFmtId="2" fontId="11" fillId="11" borderId="1" xfId="0" applyNumberFormat="1" applyFont="1" applyFill="1" applyBorder="1" applyAlignment="1">
      <alignment horizontal="center" vertical="center" wrapText="1" readingOrder="1"/>
    </xf>
    <xf numFmtId="0" fontId="0" fillId="11" borderId="0" xfId="0" applyFill="1" applyAlignment="1">
      <alignment horizontal="center"/>
    </xf>
    <xf numFmtId="2" fontId="0" fillId="11" borderId="0" xfId="0" applyNumberFormat="1" applyFill="1"/>
    <xf numFmtId="2" fontId="11" fillId="12" borderId="1" xfId="0" applyNumberFormat="1" applyFont="1" applyFill="1" applyBorder="1" applyAlignment="1">
      <alignment horizontal="center" vertical="center" wrapText="1" readingOrder="1"/>
    </xf>
    <xf numFmtId="2" fontId="10" fillId="11" borderId="2" xfId="0" applyNumberFormat="1" applyFont="1" applyFill="1" applyBorder="1" applyAlignment="1">
      <alignment horizontal="center" vertical="center" wrapText="1" readingOrder="1"/>
    </xf>
    <xf numFmtId="0" fontId="0" fillId="11" borderId="0" xfId="0" applyFill="1"/>
    <xf numFmtId="0" fontId="0" fillId="12" borderId="0" xfId="0" applyFill="1"/>
    <xf numFmtId="165" fontId="5" fillId="9" borderId="0" xfId="9" applyFont="1" applyFill="1" applyAlignment="1">
      <alignment horizontal="center"/>
    </xf>
    <xf numFmtId="0" fontId="4" fillId="0" borderId="0" xfId="0" applyFont="1"/>
    <xf numFmtId="0" fontId="2" fillId="0" borderId="0" xfId="3"/>
    <xf numFmtId="0" fontId="1" fillId="0" borderId="0" xfId="2"/>
    <xf numFmtId="0" fontId="0" fillId="0" borderId="0" xfId="0" applyFill="1"/>
    <xf numFmtId="0" fontId="2" fillId="0" borderId="0" xfId="10"/>
    <xf numFmtId="0" fontId="0" fillId="0" borderId="0" xfId="0" applyFill="1" applyAlignment="1">
      <alignment horizontal="center"/>
    </xf>
    <xf numFmtId="168" fontId="0" fillId="0" borderId="0" xfId="9" applyNumberFormat="1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9" fontId="1" fillId="0" borderId="0" xfId="1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/>
    </xf>
    <xf numFmtId="168" fontId="0" fillId="0" borderId="0" xfId="9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168" fontId="0" fillId="0" borderId="0" xfId="9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/>
    <xf numFmtId="2" fontId="16" fillId="0" borderId="0" xfId="0" applyNumberFormat="1" applyFont="1" applyFill="1" applyAlignment="1">
      <alignment horizontal="right"/>
    </xf>
    <xf numFmtId="0" fontId="17" fillId="0" borderId="0" xfId="0" applyFont="1" applyFill="1"/>
    <xf numFmtId="165" fontId="5" fillId="0" borderId="0" xfId="9" applyFont="1" applyFill="1"/>
    <xf numFmtId="165" fontId="5" fillId="0" borderId="0" xfId="9" applyFont="1" applyFill="1" applyAlignment="1">
      <alignment horizontal="center"/>
    </xf>
    <xf numFmtId="165" fontId="5" fillId="0" borderId="0" xfId="9" applyFont="1" applyFill="1" applyAlignment="1">
      <alignment vertical="center"/>
    </xf>
    <xf numFmtId="166" fontId="0" fillId="12" borderId="0" xfId="0" applyNumberFormat="1" applyFill="1"/>
    <xf numFmtId="165" fontId="5" fillId="9" borderId="0" xfId="9" applyFont="1" applyFill="1" applyAlignment="1">
      <alignment horizontal="center"/>
    </xf>
    <xf numFmtId="0" fontId="0" fillId="12" borderId="0" xfId="0" applyNumberFormat="1" applyFill="1"/>
    <xf numFmtId="167" fontId="0" fillId="12" borderId="0" xfId="0" applyNumberFormat="1" applyFill="1"/>
    <xf numFmtId="0" fontId="15" fillId="12" borderId="0" xfId="0" applyFont="1" applyFill="1"/>
    <xf numFmtId="0" fontId="18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6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0" fontId="2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 readingOrder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 vertical="center" wrapText="1" readingOrder="1"/>
    </xf>
    <xf numFmtId="0" fontId="11" fillId="16" borderId="0" xfId="0" applyFont="1" applyFill="1" applyBorder="1" applyAlignment="1">
      <alignment horizontal="center" vertical="center" wrapText="1" readingOrder="1"/>
    </xf>
    <xf numFmtId="0" fontId="0" fillId="16" borderId="0" xfId="0" applyFill="1" applyBorder="1" applyAlignment="1">
      <alignment horizontal="center"/>
    </xf>
    <xf numFmtId="0" fontId="11" fillId="12" borderId="0" xfId="0" applyFont="1" applyFill="1" applyBorder="1" applyAlignment="1">
      <alignment horizontal="center" vertical="center" wrapText="1" readingOrder="1"/>
    </xf>
    <xf numFmtId="0" fontId="0" fillId="12" borderId="0" xfId="0" applyFill="1" applyBorder="1" applyAlignment="1">
      <alignment horizontal="center"/>
    </xf>
    <xf numFmtId="2" fontId="0" fillId="12" borderId="0" xfId="0" applyNumberFormat="1" applyFill="1" applyBorder="1" applyAlignment="1">
      <alignment horizontal="center" vertical="center"/>
    </xf>
    <xf numFmtId="2" fontId="0" fillId="16" borderId="0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168" fontId="0" fillId="16" borderId="0" xfId="0" applyNumberFormat="1" applyFill="1" applyBorder="1" applyAlignment="1">
      <alignment horizontal="center"/>
    </xf>
    <xf numFmtId="168" fontId="0" fillId="12" borderId="0" xfId="0" applyNumberFormat="1" applyFill="1" applyBorder="1" applyAlignment="1">
      <alignment horizontal="center"/>
    </xf>
    <xf numFmtId="0" fontId="21" fillId="0" borderId="0" xfId="0" applyFont="1" applyFill="1" applyBorder="1" applyAlignment="1"/>
    <xf numFmtId="0" fontId="5" fillId="0" borderId="0" xfId="0" applyFont="1" applyAlignment="1">
      <alignment horizontal="left"/>
    </xf>
    <xf numFmtId="2" fontId="0" fillId="16" borderId="0" xfId="0" applyNumberFormat="1" applyFill="1"/>
    <xf numFmtId="0" fontId="0" fillId="11" borderId="0" xfId="0" applyFill="1" applyBorder="1"/>
    <xf numFmtId="0" fontId="0" fillId="12" borderId="0" xfId="0" applyFill="1" applyBorder="1"/>
    <xf numFmtId="2" fontId="11" fillId="12" borderId="5" xfId="0" applyNumberFormat="1" applyFont="1" applyFill="1" applyBorder="1" applyAlignment="1">
      <alignment horizontal="center" vertical="center" wrapText="1" readingOrder="1"/>
    </xf>
    <xf numFmtId="0" fontId="0" fillId="11" borderId="0" xfId="0" applyFill="1" applyBorder="1" applyAlignment="1">
      <alignment horizontal="center"/>
    </xf>
    <xf numFmtId="0" fontId="4" fillId="11" borderId="0" xfId="0" applyFont="1" applyFill="1"/>
    <xf numFmtId="0" fontId="4" fillId="12" borderId="0" xfId="0" applyFont="1" applyFill="1"/>
    <xf numFmtId="0" fontId="0" fillId="0" borderId="0" xfId="0" applyAlignment="1">
      <alignment vertical="top" wrapText="1"/>
    </xf>
    <xf numFmtId="0" fontId="0" fillId="16" borderId="0" xfId="0" applyFill="1"/>
    <xf numFmtId="0" fontId="4" fillId="16" borderId="0" xfId="0" applyFont="1" applyFill="1"/>
    <xf numFmtId="0" fontId="0" fillId="16" borderId="0" xfId="0" applyFill="1" applyAlignment="1">
      <alignment horizontal="center"/>
    </xf>
    <xf numFmtId="0" fontId="24" fillId="16" borderId="0" xfId="0" applyFont="1" applyFill="1" applyAlignment="1">
      <alignment wrapText="1"/>
    </xf>
    <xf numFmtId="0" fontId="24" fillId="12" borderId="0" xfId="0" applyFont="1" applyFill="1" applyAlignment="1">
      <alignment wrapText="1"/>
    </xf>
    <xf numFmtId="165" fontId="5" fillId="9" borderId="0" xfId="9" applyFont="1" applyFill="1" applyAlignment="1">
      <alignment horizontal="center"/>
    </xf>
    <xf numFmtId="165" fontId="19" fillId="0" borderId="0" xfId="9" applyFont="1" applyFill="1" applyAlignment="1"/>
    <xf numFmtId="2" fontId="0" fillId="0" borderId="0" xfId="0" applyNumberFormat="1" applyFill="1"/>
    <xf numFmtId="0" fontId="10" fillId="0" borderId="0" xfId="0" applyFont="1" applyFill="1" applyBorder="1" applyAlignment="1">
      <alignment horizontal="center" vertical="center" textRotation="90" wrapText="1" readingOrder="1"/>
    </xf>
    <xf numFmtId="0" fontId="17" fillId="12" borderId="0" xfId="0" applyFont="1" applyFill="1"/>
    <xf numFmtId="0" fontId="11" fillId="16" borderId="0" xfId="0" applyNumberFormat="1" applyFont="1" applyFill="1" applyBorder="1" applyAlignment="1">
      <alignment horizontal="center" vertical="center" wrapText="1" readingOrder="1"/>
    </xf>
    <xf numFmtId="0" fontId="0" fillId="16" borderId="0" xfId="0" applyFill="1" applyAlignment="1">
      <alignment horizontal="left"/>
    </xf>
    <xf numFmtId="168" fontId="0" fillId="16" borderId="0" xfId="9" applyNumberFormat="1" applyFont="1" applyFill="1" applyAlignment="1">
      <alignment horizontal="right"/>
    </xf>
    <xf numFmtId="2" fontId="0" fillId="16" borderId="0" xfId="0" applyNumberFormat="1" applyFill="1" applyAlignment="1">
      <alignment horizontal="right"/>
    </xf>
    <xf numFmtId="2" fontId="16" fillId="16" borderId="0" xfId="0" applyNumberFormat="1" applyFont="1" applyFill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5" fillId="9" borderId="0" xfId="9" applyFont="1" applyFill="1" applyAlignment="1">
      <alignment horizontal="center"/>
    </xf>
    <xf numFmtId="165" fontId="5" fillId="9" borderId="0" xfId="9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67" fontId="0" fillId="0" borderId="0" xfId="0" applyNumberFormat="1" applyFill="1"/>
    <xf numFmtId="0" fontId="15" fillId="0" borderId="0" xfId="0" applyFont="1" applyFill="1"/>
    <xf numFmtId="168" fontId="0" fillId="12" borderId="0" xfId="0" applyNumberForma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17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3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165" fontId="5" fillId="9" borderId="0" xfId="9" applyFont="1" applyFill="1" applyAlignment="1">
      <alignment horizontal="center"/>
    </xf>
    <xf numFmtId="0" fontId="19" fillId="0" borderId="0" xfId="9" applyNumberFormat="1" applyFont="1" applyFill="1" applyAlignment="1">
      <alignment horizontal="center"/>
    </xf>
    <xf numFmtId="2" fontId="5" fillId="0" borderId="0" xfId="9" applyNumberFormat="1" applyFont="1" applyFill="1" applyAlignment="1"/>
    <xf numFmtId="2" fontId="1" fillId="0" borderId="0" xfId="9" applyNumberFormat="1" applyFont="1" applyFill="1" applyAlignment="1"/>
    <xf numFmtId="2" fontId="5" fillId="0" borderId="0" xfId="9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5" fillId="9" borderId="0" xfId="9" applyFont="1" applyFill="1" applyAlignment="1">
      <alignment horizontal="center"/>
    </xf>
    <xf numFmtId="1" fontId="0" fillId="0" borderId="0" xfId="0" applyNumberFormat="1" applyFill="1" applyAlignment="1">
      <alignment horizontal="right"/>
    </xf>
    <xf numFmtId="3" fontId="3" fillId="12" borderId="6" xfId="0" applyNumberFormat="1" applyFont="1" applyFill="1" applyBorder="1" applyAlignment="1">
      <alignment vertical="center"/>
    </xf>
    <xf numFmtId="3" fontId="3" fillId="12" borderId="7" xfId="0" applyNumberFormat="1" applyFont="1" applyFill="1" applyBorder="1" applyAlignment="1">
      <alignment vertical="center"/>
    </xf>
    <xf numFmtId="3" fontId="3" fillId="12" borderId="8" xfId="0" applyNumberFormat="1" applyFont="1" applyFill="1" applyBorder="1" applyAlignment="1">
      <alignment vertical="center"/>
    </xf>
    <xf numFmtId="3" fontId="3" fillId="11" borderId="7" xfId="0" applyNumberFormat="1" applyFont="1" applyFill="1" applyBorder="1" applyAlignment="1">
      <alignment vertical="center"/>
    </xf>
    <xf numFmtId="9" fontId="0" fillId="0" borderId="0" xfId="11" applyFont="1"/>
    <xf numFmtId="0" fontId="0" fillId="18" borderId="0" xfId="0" applyFill="1"/>
    <xf numFmtId="0" fontId="0" fillId="18" borderId="0" xfId="0" applyFill="1" applyAlignment="1">
      <alignment horizontal="center"/>
    </xf>
    <xf numFmtId="0" fontId="11" fillId="0" borderId="0" xfId="0" applyFont="1"/>
    <xf numFmtId="0" fontId="0" fillId="0" borderId="0" xfId="0" applyAlignment="1"/>
    <xf numFmtId="0" fontId="5" fillId="0" borderId="0" xfId="0" applyFont="1" applyAlignment="1"/>
    <xf numFmtId="168" fontId="0" fillId="12" borderId="0" xfId="0" applyNumberFormat="1" applyFill="1" applyAlignment="1"/>
    <xf numFmtId="0" fontId="0" fillId="12" borderId="0" xfId="0" applyFill="1" applyAlignment="1"/>
    <xf numFmtId="166" fontId="0" fillId="12" borderId="0" xfId="0" applyNumberFormat="1" applyFill="1" applyAlignment="1"/>
    <xf numFmtId="0" fontId="0" fillId="11" borderId="0" xfId="0" applyFill="1" applyAlignment="1"/>
    <xf numFmtId="165" fontId="5" fillId="9" borderId="0" xfId="9" applyFont="1" applyFill="1" applyAlignment="1"/>
    <xf numFmtId="165" fontId="5" fillId="7" borderId="0" xfId="9" applyFont="1" applyFill="1" applyAlignment="1"/>
    <xf numFmtId="165" fontId="5" fillId="8" borderId="0" xfId="9" applyFont="1" applyFill="1" applyAlignment="1"/>
    <xf numFmtId="0" fontId="0" fillId="0" borderId="9" xfId="0" applyFill="1" applyBorder="1" applyAlignment="1"/>
    <xf numFmtId="2" fontId="0" fillId="0" borderId="9" xfId="0" applyNumberFormat="1" applyFill="1" applyBorder="1" applyAlignment="1"/>
    <xf numFmtId="2" fontId="11" fillId="0" borderId="9" xfId="0" applyNumberFormat="1" applyFont="1" applyFill="1" applyBorder="1" applyAlignment="1">
      <alignment wrapText="1" readingOrder="1"/>
    </xf>
    <xf numFmtId="0" fontId="17" fillId="0" borderId="9" xfId="0" applyFont="1" applyFill="1" applyBorder="1" applyAlignment="1"/>
    <xf numFmtId="167" fontId="0" fillId="0" borderId="9" xfId="0" applyNumberFormat="1" applyFill="1" applyBorder="1" applyAlignment="1"/>
    <xf numFmtId="0" fontId="15" fillId="0" borderId="9" xfId="0" applyFont="1" applyFill="1" applyBorder="1" applyAlignment="1"/>
    <xf numFmtId="168" fontId="0" fillId="0" borderId="9" xfId="9" applyNumberFormat="1" applyFont="1" applyFill="1" applyBorder="1" applyAlignment="1"/>
    <xf numFmtId="0" fontId="0" fillId="0" borderId="0" xfId="0" applyAlignment="1">
      <alignment horizontal="center"/>
    </xf>
    <xf numFmtId="165" fontId="5" fillId="9" borderId="0" xfId="9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12" borderId="9" xfId="0" applyFill="1" applyBorder="1" applyAlignment="1"/>
    <xf numFmtId="165" fontId="0" fillId="12" borderId="9" xfId="9" applyFont="1" applyFill="1" applyBorder="1" applyAlignment="1"/>
    <xf numFmtId="0" fontId="0" fillId="12" borderId="9" xfId="9" applyNumberFormat="1" applyFont="1" applyFill="1" applyBorder="1" applyAlignment="1"/>
    <xf numFmtId="0" fontId="0" fillId="19" borderId="9" xfId="0" applyFill="1" applyBorder="1" applyAlignment="1"/>
    <xf numFmtId="1" fontId="11" fillId="19" borderId="9" xfId="0" applyNumberFormat="1" applyFont="1" applyFill="1" applyBorder="1" applyAlignment="1">
      <alignment wrapText="1" readingOrder="1"/>
    </xf>
    <xf numFmtId="165" fontId="0" fillId="19" borderId="9" xfId="9" applyFont="1" applyFill="1" applyBorder="1" applyAlignment="1"/>
    <xf numFmtId="2" fontId="0" fillId="19" borderId="9" xfId="0" applyNumberFormat="1" applyFill="1" applyBorder="1" applyAlignment="1"/>
    <xf numFmtId="2" fontId="11" fillId="19" borderId="9" xfId="0" applyNumberFormat="1" applyFont="1" applyFill="1" applyBorder="1" applyAlignment="1">
      <alignment wrapText="1" readingOrder="1"/>
    </xf>
    <xf numFmtId="2" fontId="11" fillId="12" borderId="9" xfId="0" applyNumberFormat="1" applyFont="1" applyFill="1" applyBorder="1" applyAlignment="1">
      <alignment wrapText="1" readingOrder="1"/>
    </xf>
    <xf numFmtId="2" fontId="0" fillId="12" borderId="9" xfId="0" applyNumberFormat="1" applyFill="1" applyBorder="1" applyAlignment="1"/>
    <xf numFmtId="0" fontId="11" fillId="12" borderId="9" xfId="0" applyFont="1" applyFill="1" applyBorder="1" applyAlignment="1">
      <alignment wrapText="1" readingOrder="1"/>
    </xf>
    <xf numFmtId="0" fontId="11" fillId="19" borderId="9" xfId="0" applyFont="1" applyFill="1" applyBorder="1" applyAlignment="1">
      <alignment wrapText="1" readingOrder="1"/>
    </xf>
    <xf numFmtId="168" fontId="0" fillId="19" borderId="9" xfId="0" applyNumberFormat="1" applyFill="1" applyBorder="1" applyAlignment="1"/>
    <xf numFmtId="0" fontId="11" fillId="12" borderId="9" xfId="0" applyNumberFormat="1" applyFont="1" applyFill="1" applyBorder="1" applyAlignment="1">
      <alignment wrapText="1" readingOrder="1"/>
    </xf>
    <xf numFmtId="0" fontId="17" fillId="12" borderId="9" xfId="0" applyFont="1" applyFill="1" applyBorder="1" applyAlignment="1"/>
    <xf numFmtId="167" fontId="0" fillId="12" borderId="9" xfId="0" applyNumberFormat="1" applyFill="1" applyBorder="1" applyAlignment="1"/>
    <xf numFmtId="0" fontId="15" fillId="12" borderId="9" xfId="0" applyFont="1" applyFill="1" applyBorder="1" applyAlignment="1"/>
    <xf numFmtId="0" fontId="17" fillId="19" borderId="9" xfId="0" applyFont="1" applyFill="1" applyBorder="1" applyAlignment="1"/>
    <xf numFmtId="167" fontId="0" fillId="19" borderId="9" xfId="0" applyNumberFormat="1" applyFill="1" applyBorder="1" applyAlignment="1"/>
    <xf numFmtId="0" fontId="15" fillId="19" borderId="9" xfId="0" applyFont="1" applyFill="1" applyBorder="1" applyAlignment="1"/>
    <xf numFmtId="168" fontId="0" fillId="12" borderId="9" xfId="9" applyNumberFormat="1" applyFont="1" applyFill="1" applyBorder="1" applyAlignment="1"/>
    <xf numFmtId="0" fontId="0" fillId="12" borderId="9" xfId="0" applyNumberFormat="1" applyFill="1" applyBorder="1" applyAlignment="1"/>
    <xf numFmtId="0" fontId="0" fillId="12" borderId="13" xfId="0" applyFill="1" applyBorder="1" applyAlignment="1"/>
    <xf numFmtId="0" fontId="0" fillId="19" borderId="13" xfId="0" applyFill="1" applyBorder="1" applyAlignment="1"/>
    <xf numFmtId="0" fontId="0" fillId="0" borderId="13" xfId="0" applyFill="1" applyBorder="1" applyAlignment="1"/>
    <xf numFmtId="165" fontId="5" fillId="9" borderId="0" xfId="9" applyFont="1" applyFill="1" applyAlignment="1">
      <alignment horizontal="center"/>
    </xf>
    <xf numFmtId="0" fontId="0" fillId="0" borderId="0" xfId="0" applyAlignment="1"/>
    <xf numFmtId="0" fontId="5" fillId="12" borderId="9" xfId="0" applyFont="1" applyFill="1" applyBorder="1" applyAlignment="1">
      <alignment textRotation="90"/>
    </xf>
    <xf numFmtId="0" fontId="2" fillId="12" borderId="0" xfId="10" applyFill="1"/>
    <xf numFmtId="0" fontId="2" fillId="16" borderId="0" xfId="10" applyFill="1"/>
    <xf numFmtId="0" fontId="1" fillId="12" borderId="0" xfId="2" applyFill="1"/>
    <xf numFmtId="168" fontId="0" fillId="0" borderId="0" xfId="0" applyNumberFormat="1"/>
    <xf numFmtId="0" fontId="0" fillId="13" borderId="9" xfId="0" applyFill="1" applyBorder="1" applyAlignment="1"/>
    <xf numFmtId="0" fontId="0" fillId="0" borderId="0" xfId="0" applyBorder="1" applyAlignment="1"/>
    <xf numFmtId="2" fontId="0" fillId="12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0" fontId="0" fillId="0" borderId="9" xfId="0" applyFill="1" applyBorder="1"/>
    <xf numFmtId="0" fontId="4" fillId="0" borderId="9" xfId="0" applyFont="1" applyFill="1" applyBorder="1"/>
    <xf numFmtId="2" fontId="0" fillId="0" borderId="9" xfId="0" applyNumberFormat="1" applyFill="1" applyBorder="1"/>
    <xf numFmtId="0" fontId="0" fillId="0" borderId="12" xfId="0" applyFill="1" applyBorder="1" applyAlignment="1"/>
    <xf numFmtId="0" fontId="0" fillId="0" borderId="11" xfId="0" applyFill="1" applyBorder="1" applyAlignment="1"/>
    <xf numFmtId="2" fontId="0" fillId="12" borderId="9" xfId="0" applyNumberFormat="1" applyFill="1" applyBorder="1" applyAlignment="1">
      <alignment horizontal="center"/>
    </xf>
    <xf numFmtId="0" fontId="0" fillId="1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/>
    <xf numFmtId="168" fontId="0" fillId="0" borderId="9" xfId="0" applyNumberFormat="1" applyFill="1" applyBorder="1" applyAlignment="1"/>
    <xf numFmtId="0" fontId="0" fillId="16" borderId="9" xfId="0" applyFill="1" applyBorder="1" applyAlignment="1"/>
    <xf numFmtId="2" fontId="0" fillId="16" borderId="9" xfId="0" applyNumberFormat="1" applyFill="1" applyBorder="1" applyAlignment="1">
      <alignment horizontal="center"/>
    </xf>
    <xf numFmtId="0" fontId="0" fillId="16" borderId="9" xfId="0" applyFill="1" applyBorder="1" applyAlignment="1">
      <alignment horizontal="center" vertical="center"/>
    </xf>
    <xf numFmtId="0" fontId="25" fillId="0" borderId="0" xfId="0" applyFont="1" applyAlignment="1">
      <alignment horizontal="center" vertical="center" readingOrder="1"/>
    </xf>
    <xf numFmtId="3" fontId="3" fillId="0" borderId="7" xfId="0" applyNumberFormat="1" applyFont="1" applyFill="1" applyBorder="1" applyAlignment="1">
      <alignment vertical="center"/>
    </xf>
    <xf numFmtId="3" fontId="3" fillId="0" borderId="6" xfId="0" applyNumberFormat="1" applyFont="1" applyFill="1" applyBorder="1" applyAlignment="1">
      <alignment vertical="center"/>
    </xf>
    <xf numFmtId="0" fontId="0" fillId="0" borderId="9" xfId="0" applyFont="1" applyFill="1" applyBorder="1" applyAlignment="1"/>
    <xf numFmtId="3" fontId="0" fillId="12" borderId="7" xfId="0" applyNumberFormat="1" applyFont="1" applyFill="1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/>
    <xf numFmtId="0" fontId="0" fillId="16" borderId="12" xfId="0" applyFill="1" applyBorder="1" applyAlignment="1"/>
    <xf numFmtId="0" fontId="0" fillId="16" borderId="0" xfId="0" applyFill="1" applyAlignment="1"/>
    <xf numFmtId="2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9" xfId="0" applyNumberFormat="1" applyFill="1" applyBorder="1" applyAlignment="1">
      <alignment horizontal="center"/>
    </xf>
    <xf numFmtId="0" fontId="0" fillId="1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/>
    <xf numFmtId="0" fontId="5" fillId="12" borderId="9" xfId="0" applyFont="1" applyFill="1" applyBorder="1" applyAlignment="1">
      <alignment textRotation="90"/>
    </xf>
    <xf numFmtId="2" fontId="26" fillId="0" borderId="0" xfId="18" applyNumberFormat="1" applyFont="1" applyAlignment="1">
      <alignment vertical="center"/>
    </xf>
    <xf numFmtId="2" fontId="5" fillId="0" borderId="0" xfId="0" applyNumberFormat="1" applyFont="1"/>
    <xf numFmtId="2" fontId="26" fillId="0" borderId="0" xfId="18" applyNumberFormat="1" applyFont="1" applyAlignment="1">
      <alignment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168" fontId="0" fillId="0" borderId="0" xfId="0" applyNumberFormat="1" applyBorder="1"/>
    <xf numFmtId="0" fontId="0" fillId="0" borderId="0" xfId="0" applyFill="1" applyBorder="1" applyAlignment="1"/>
    <xf numFmtId="2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/>
    <xf numFmtId="2" fontId="0" fillId="13" borderId="9" xfId="0" applyNumberForma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9" borderId="13" xfId="0" applyFill="1" applyBorder="1"/>
    <xf numFmtId="0" fontId="5" fillId="12" borderId="10" xfId="0" applyFont="1" applyFill="1" applyBorder="1" applyAlignment="1">
      <alignment vertical="center" textRotation="90"/>
    </xf>
    <xf numFmtId="0" fontId="5" fillId="12" borderId="11" xfId="0" applyFont="1" applyFill="1" applyBorder="1" applyAlignment="1">
      <alignment vertical="center" textRotation="90"/>
    </xf>
    <xf numFmtId="2" fontId="0" fillId="0" borderId="15" xfId="0" applyNumberFormat="1" applyFill="1" applyBorder="1" applyAlignment="1">
      <alignment horizontal="center" vertical="center"/>
    </xf>
    <xf numFmtId="10" fontId="0" fillId="0" borderId="0" xfId="11" applyNumberFormat="1" applyFont="1"/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0" fontId="0" fillId="0" borderId="20" xfId="0" applyBorder="1"/>
    <xf numFmtId="2" fontId="0" fillId="0" borderId="21" xfId="0" applyNumberFormat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/>
    <xf numFmtId="0" fontId="0" fillId="0" borderId="9" xfId="0" applyBorder="1"/>
    <xf numFmtId="2" fontId="0" fillId="0" borderId="9" xfId="0" applyNumberFormat="1" applyBorder="1"/>
    <xf numFmtId="3" fontId="0" fillId="0" borderId="0" xfId="0" applyNumberFormat="1"/>
    <xf numFmtId="3" fontId="0" fillId="0" borderId="9" xfId="0" applyNumberFormat="1" applyBorder="1"/>
    <xf numFmtId="2" fontId="0" fillId="0" borderId="0" xfId="0" applyNumberFormat="1" applyBorder="1"/>
    <xf numFmtId="2" fontId="0" fillId="0" borderId="18" xfId="0" applyNumberFormat="1" applyBorder="1"/>
    <xf numFmtId="2" fontId="0" fillId="0" borderId="23" xfId="0" applyNumberFormat="1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10" fontId="0" fillId="0" borderId="0" xfId="11" applyNumberFormat="1" applyFont="1" applyBorder="1"/>
    <xf numFmtId="10" fontId="0" fillId="0" borderId="21" xfId="11" applyNumberFormat="1" applyFont="1" applyBorder="1"/>
    <xf numFmtId="10" fontId="0" fillId="0" borderId="23" xfId="11" applyNumberFormat="1" applyFont="1" applyBorder="1"/>
    <xf numFmtId="10" fontId="0" fillId="0" borderId="24" xfId="11" applyNumberFormat="1" applyFont="1" applyBorder="1"/>
    <xf numFmtId="165" fontId="0" fillId="0" borderId="9" xfId="9" applyFont="1" applyBorder="1"/>
    <xf numFmtId="165" fontId="0" fillId="0" borderId="9" xfId="9" applyFont="1" applyFill="1" applyBorder="1"/>
    <xf numFmtId="2" fontId="0" fillId="0" borderId="9" xfId="0" applyNumberFormat="1" applyBorder="1" applyAlignment="1">
      <alignment horizontal="right"/>
    </xf>
    <xf numFmtId="0" fontId="0" fillId="0" borderId="25" xfId="0" applyBorder="1"/>
    <xf numFmtId="2" fontId="0" fillId="0" borderId="26" xfId="0" applyNumberFormat="1" applyBorder="1"/>
    <xf numFmtId="2" fontId="0" fillId="0" borderId="27" xfId="0" applyNumberFormat="1" applyBorder="1"/>
    <xf numFmtId="171" fontId="0" fillId="0" borderId="27" xfId="9" applyNumberFormat="1" applyFont="1" applyBorder="1"/>
    <xf numFmtId="168" fontId="0" fillId="0" borderId="27" xfId="0" applyNumberFormat="1" applyBorder="1"/>
    <xf numFmtId="2" fontId="0" fillId="0" borderId="0" xfId="11" applyNumberFormat="1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12" fillId="9" borderId="0" xfId="9" applyFont="1" applyFill="1" applyAlignment="1">
      <alignment horizontal="center"/>
    </xf>
    <xf numFmtId="165" fontId="13" fillId="9" borderId="0" xfId="9" applyFont="1" applyFill="1" applyAlignment="1">
      <alignment horizontal="center"/>
    </xf>
    <xf numFmtId="165" fontId="5" fillId="7" borderId="0" xfId="9" applyFont="1" applyFill="1" applyAlignment="1">
      <alignment horizontal="center"/>
    </xf>
    <xf numFmtId="165" fontId="5" fillId="8" borderId="0" xfId="9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textRotation="90" wrapText="1" readingOrder="1"/>
    </xf>
    <xf numFmtId="0" fontId="10" fillId="0" borderId="0" xfId="0" applyFont="1" applyFill="1" applyBorder="1" applyAlignment="1">
      <alignment horizontal="center" vertical="center" wrapText="1" readingOrder="1"/>
    </xf>
    <xf numFmtId="0" fontId="5" fillId="0" borderId="0" xfId="0" applyFont="1" applyFill="1" applyAlignment="1">
      <alignment horizontal="center" vertical="center" textRotation="90"/>
    </xf>
    <xf numFmtId="0" fontId="0" fillId="0" borderId="0" xfId="0" applyFill="1" applyAlignment="1">
      <alignment horizontal="center" vertical="center" textRotation="90"/>
    </xf>
    <xf numFmtId="165" fontId="5" fillId="9" borderId="0" xfId="9" applyFont="1" applyFill="1" applyAlignment="1">
      <alignment horizontal="center"/>
    </xf>
    <xf numFmtId="165" fontId="5" fillId="0" borderId="0" xfId="9" applyFont="1" applyFill="1" applyAlignment="1">
      <alignment horizontal="center" vertical="center" textRotation="90"/>
    </xf>
    <xf numFmtId="0" fontId="5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65" fontId="12" fillId="0" borderId="0" xfId="9" applyFont="1" applyFill="1" applyAlignment="1">
      <alignment horizontal="center"/>
    </xf>
    <xf numFmtId="165" fontId="13" fillId="0" borderId="0" xfId="9" applyFont="1" applyFill="1" applyAlignment="1">
      <alignment horizontal="center"/>
    </xf>
    <xf numFmtId="165" fontId="5" fillId="0" borderId="0" xfId="9" applyFont="1" applyFill="1" applyAlignment="1">
      <alignment horizontal="center"/>
    </xf>
    <xf numFmtId="165" fontId="5" fillId="0" borderId="0" xfId="9" applyFont="1" applyFill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14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0" fillId="12" borderId="0" xfId="0" applyFont="1" applyFill="1" applyAlignment="1">
      <alignment horizontal="center" vertical="center" textRotation="90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/>
    </xf>
    <xf numFmtId="2" fontId="0" fillId="12" borderId="15" xfId="0" applyNumberFormat="1" applyFill="1" applyBorder="1" applyAlignment="1">
      <alignment horizont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13" borderId="9" xfId="0" applyNumberForma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/>
    </xf>
    <xf numFmtId="0" fontId="0" fillId="12" borderId="9" xfId="0" applyFill="1" applyBorder="1" applyAlignment="1">
      <alignment horizontal="center" vertical="center"/>
    </xf>
    <xf numFmtId="2" fontId="0" fillId="12" borderId="9" xfId="0" applyNumberFormat="1" applyFill="1" applyBorder="1" applyAlignment="1">
      <alignment horizontal="center" vertical="center"/>
    </xf>
    <xf numFmtId="2" fontId="0" fillId="19" borderId="9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165" fontId="5" fillId="7" borderId="0" xfId="9" applyFont="1" applyFill="1" applyAlignment="1"/>
    <xf numFmtId="165" fontId="5" fillId="8" borderId="0" xfId="9" applyFont="1" applyFill="1" applyAlignment="1"/>
    <xf numFmtId="0" fontId="5" fillId="19" borderId="9" xfId="0" applyFont="1" applyFill="1" applyBorder="1" applyAlignment="1">
      <alignment horizontal="center" vertical="center" textRotation="90"/>
    </xf>
    <xf numFmtId="0" fontId="5" fillId="12" borderId="9" xfId="0" applyFont="1" applyFill="1" applyBorder="1" applyAlignment="1">
      <alignment textRotation="90"/>
    </xf>
    <xf numFmtId="0" fontId="5" fillId="19" borderId="9" xfId="0" applyFont="1" applyFill="1" applyBorder="1" applyAlignment="1">
      <alignment textRotation="90"/>
    </xf>
    <xf numFmtId="0" fontId="5" fillId="19" borderId="14" xfId="0" applyFont="1" applyFill="1" applyBorder="1" applyAlignment="1">
      <alignment horizontal="center" textRotation="90"/>
    </xf>
    <xf numFmtId="0" fontId="5" fillId="19" borderId="12" xfId="0" applyFont="1" applyFill="1" applyBorder="1" applyAlignment="1">
      <alignment horizontal="center" textRotation="90"/>
    </xf>
    <xf numFmtId="0" fontId="5" fillId="19" borderId="15" xfId="0" applyFont="1" applyFill="1" applyBorder="1" applyAlignment="1">
      <alignment horizontal="center" textRotation="90"/>
    </xf>
    <xf numFmtId="0" fontId="5" fillId="12" borderId="14" xfId="0" applyFont="1" applyFill="1" applyBorder="1" applyAlignment="1">
      <alignment horizontal="center" vertical="center" textRotation="90"/>
    </xf>
    <xf numFmtId="0" fontId="5" fillId="12" borderId="12" xfId="0" applyFont="1" applyFill="1" applyBorder="1" applyAlignment="1">
      <alignment horizontal="center" vertical="center" textRotation="90"/>
    </xf>
    <xf numFmtId="0" fontId="5" fillId="12" borderId="15" xfId="0" applyFont="1" applyFill="1" applyBorder="1" applyAlignment="1">
      <alignment horizontal="center" vertical="center" textRotation="90"/>
    </xf>
    <xf numFmtId="0" fontId="0" fillId="0" borderId="0" xfId="0" applyAlignment="1"/>
    <xf numFmtId="0" fontId="0" fillId="16" borderId="9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21" borderId="13" xfId="0" applyFill="1" applyBorder="1" applyAlignment="1"/>
  </cellXfs>
  <cellStyles count="21">
    <cellStyle name="20 % - Akzent1 2" xfId="6" xr:uid="{B2F38AD5-671E-4DE9-9B8A-3BBB7F6CF5C5}"/>
    <cellStyle name="20 % - Akzent4 2" xfId="7" xr:uid="{A3B6BF1F-35A2-4A1D-82B4-A5049E729726}"/>
    <cellStyle name="Comma" xfId="16" xr:uid="{379581FD-BA95-4ADA-A8CE-F0B4DA26C2CD}"/>
    <cellStyle name="Comma [0]" xfId="17" xr:uid="{FE5C666D-9B8F-49B4-9C61-E301025C9D3D}"/>
    <cellStyle name="Currency" xfId="14" xr:uid="{6F7B77A5-4B57-4B8C-B743-071010C27BA5}"/>
    <cellStyle name="Currency [0]" xfId="15" xr:uid="{61486E56-BA13-463C-BF83-2A592D6AB4EF}"/>
    <cellStyle name="Gut 2" xfId="4" xr:uid="{80D17407-3898-416E-A5BF-F95D24BA7A7C}"/>
    <cellStyle name="Komma" xfId="9" builtinId="3"/>
    <cellStyle name="Link" xfId="10" builtinId="8"/>
    <cellStyle name="Link 2" xfId="3" xr:uid="{D4E45F3F-0F22-43DF-91B1-E4324BB0A458}"/>
    <cellStyle name="Link 3" xfId="20" xr:uid="{9CE16489-6D21-42F7-AC00-39C28AC7EA9E}"/>
    <cellStyle name="Neutral 2" xfId="5" xr:uid="{8D8778DE-E375-4686-8B3B-87EA71C6FA33}"/>
    <cellStyle name="Normal" xfId="18" xr:uid="{D5CE4DA4-DF5F-4FA0-A1D4-4380FBE0F7B3}"/>
    <cellStyle name="Percent" xfId="13" xr:uid="{AD3E238B-F4CD-4EC0-A2D3-A81C4FB60718}"/>
    <cellStyle name="Prozent" xfId="11" builtinId="5"/>
    <cellStyle name="Schlecht 2" xfId="8" xr:uid="{E8575BC8-31AF-47B2-BEDA-916BC8436B09}"/>
    <cellStyle name="Standard" xfId="0" builtinId="0"/>
    <cellStyle name="Standard 2" xfId="1" xr:uid="{73A3458B-3B73-47A1-9735-54D8420111DC}"/>
    <cellStyle name="Standard 2 2" xfId="2" xr:uid="{00A8C7F4-D193-4D31-99EE-65FCF53A6849}"/>
    <cellStyle name="Standard 3" xfId="12" xr:uid="{37A964D1-16D0-4C2E-8977-A1BF5BC1DAE3}"/>
    <cellStyle name="Standard 4" xfId="19" xr:uid="{A94E6DC7-F53C-43FC-8E43-50FA6EE686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</a:t>
            </a:r>
            <a:r>
              <a:rPr lang="en-GB" baseline="0"/>
              <a:t> the Battery Pack in the near future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[1]DB!$E$39:$E$54</c:f>
              <c:numCache>
                <c:formatCode>General</c:formatCode>
                <c:ptCount val="16"/>
                <c:pt idx="0">
                  <c:v>2017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2020</c:v>
                </c:pt>
                <c:pt idx="7">
                  <c:v>2020</c:v>
                </c:pt>
                <c:pt idx="8">
                  <c:v>2025</c:v>
                </c:pt>
                <c:pt idx="9">
                  <c:v>2025</c:v>
                </c:pt>
                <c:pt idx="10">
                  <c:v>2025</c:v>
                </c:pt>
                <c:pt idx="11">
                  <c:v>2025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  <c:pt idx="15">
                  <c:v>2030</c:v>
                </c:pt>
              </c:numCache>
            </c:numRef>
          </c:xVal>
          <c:yVal>
            <c:numRef>
              <c:f>[1]DB!$H$39:$H$54</c:f>
              <c:numCache>
                <c:formatCode>General</c:formatCode>
                <c:ptCount val="16"/>
                <c:pt idx="0">
                  <c:v>260.62169223600006</c:v>
                </c:pt>
                <c:pt idx="1">
                  <c:v>151.21921752000003</c:v>
                </c:pt>
                <c:pt idx="2">
                  <c:v>226.31447520000003</c:v>
                </c:pt>
                <c:pt idx="3">
                  <c:v>133.73128080000001</c:v>
                </c:pt>
                <c:pt idx="4">
                  <c:v>173.27430000000001</c:v>
                </c:pt>
                <c:pt idx="5">
                  <c:v>145.94814765216003</c:v>
                </c:pt>
                <c:pt idx="6">
                  <c:v>149.1</c:v>
                </c:pt>
                <c:pt idx="7">
                  <c:v>72.009151200000005</c:v>
                </c:pt>
                <c:pt idx="8">
                  <c:v>114.67354458384003</c:v>
                </c:pt>
                <c:pt idx="9">
                  <c:v>88.611375360240018</c:v>
                </c:pt>
                <c:pt idx="10">
                  <c:v>128.58777000000001</c:v>
                </c:pt>
                <c:pt idx="11">
                  <c:v>93.426260000000013</c:v>
                </c:pt>
                <c:pt idx="12">
                  <c:v>101.33000000000001</c:v>
                </c:pt>
                <c:pt idx="13">
                  <c:v>175.90806936000001</c:v>
                </c:pt>
                <c:pt idx="14">
                  <c:v>127.18338581116804</c:v>
                </c:pt>
                <c:pt idx="15">
                  <c:v>121.97095196644803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E-48F5-8C17-E22C1C8413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[1]DB!$E$39:$E$54</c:f>
              <c:numCache>
                <c:formatCode>General</c:formatCode>
                <c:ptCount val="16"/>
                <c:pt idx="0">
                  <c:v>2017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2020</c:v>
                </c:pt>
                <c:pt idx="7">
                  <c:v>2020</c:v>
                </c:pt>
                <c:pt idx="8">
                  <c:v>2025</c:v>
                </c:pt>
                <c:pt idx="9">
                  <c:v>2025</c:v>
                </c:pt>
                <c:pt idx="10">
                  <c:v>2025</c:v>
                </c:pt>
                <c:pt idx="11">
                  <c:v>2025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  <c:pt idx="15">
                  <c:v>2030</c:v>
                </c:pt>
              </c:numCache>
            </c:numRef>
          </c:xVal>
          <c:yVal>
            <c:numRef>
              <c:f>[1]DB!$I$39:$I$54</c:f>
              <c:numCache>
                <c:formatCode>General</c:formatCode>
                <c:ptCount val="16"/>
                <c:pt idx="1">
                  <c:v>216.02745360000003</c:v>
                </c:pt>
                <c:pt idx="2">
                  <c:v>257.17554000000001</c:v>
                </c:pt>
                <c:pt idx="3">
                  <c:v>172.26100000000002</c:v>
                </c:pt>
                <c:pt idx="4">
                  <c:v>256.36490000000003</c:v>
                </c:pt>
                <c:pt idx="5">
                  <c:v>212.94134712000002</c:v>
                </c:pt>
                <c:pt idx="6">
                  <c:v>203.8</c:v>
                </c:pt>
                <c:pt idx="7">
                  <c:v>72.009151200000005</c:v>
                </c:pt>
                <c:pt idx="8">
                  <c:v>131.35333288694403</c:v>
                </c:pt>
                <c:pt idx="9">
                  <c:v>104.24867689440003</c:v>
                </c:pt>
                <c:pt idx="10">
                  <c:v>128.58777000000001</c:v>
                </c:pt>
                <c:pt idx="11">
                  <c:v>127.77713</c:v>
                </c:pt>
                <c:pt idx="12">
                  <c:v>151.995</c:v>
                </c:pt>
                <c:pt idx="13">
                  <c:v>260.26164648000002</c:v>
                </c:pt>
                <c:pt idx="14">
                  <c:v>212.66730086457605</c:v>
                </c:pt>
                <c:pt idx="15">
                  <c:v>208.49735378880007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4E-48F5-8C17-E22C1C8413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[1]DB!$E$39:$E$54</c:f>
              <c:numCache>
                <c:formatCode>General</c:formatCode>
                <c:ptCount val="16"/>
                <c:pt idx="0">
                  <c:v>2017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2020</c:v>
                </c:pt>
                <c:pt idx="7">
                  <c:v>2020</c:v>
                </c:pt>
                <c:pt idx="8">
                  <c:v>2025</c:v>
                </c:pt>
                <c:pt idx="9">
                  <c:v>2025</c:v>
                </c:pt>
                <c:pt idx="10">
                  <c:v>2025</c:v>
                </c:pt>
                <c:pt idx="11">
                  <c:v>2025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  <c:pt idx="15">
                  <c:v>2030</c:v>
                </c:pt>
              </c:numCache>
            </c:numRef>
          </c:xVal>
          <c:yVal>
            <c:numRef>
              <c:f>[1]DB!$J$39:$J$54</c:f>
              <c:numCache>
                <c:formatCode>General</c:formatCode>
                <c:ptCount val="16"/>
                <c:pt idx="0">
                  <c:v>260.62169223600006</c:v>
                </c:pt>
                <c:pt idx="1">
                  <c:v>183.62333556000004</c:v>
                </c:pt>
                <c:pt idx="2">
                  <c:v>241.74500760000001</c:v>
                </c:pt>
                <c:pt idx="3">
                  <c:v>152.9961404</c:v>
                </c:pt>
                <c:pt idx="4">
                  <c:v>214.81960000000004</c:v>
                </c:pt>
                <c:pt idx="5">
                  <c:v>179.44474738608002</c:v>
                </c:pt>
                <c:pt idx="6">
                  <c:v>176.45</c:v>
                </c:pt>
                <c:pt idx="7">
                  <c:v>72.009151200000005</c:v>
                </c:pt>
                <c:pt idx="8">
                  <c:v>123.01343873539203</c:v>
                </c:pt>
                <c:pt idx="9">
                  <c:v>96.430026127320019</c:v>
                </c:pt>
                <c:pt idx="10">
                  <c:v>128.58777000000001</c:v>
                </c:pt>
                <c:pt idx="11">
                  <c:v>110.60169500000001</c:v>
                </c:pt>
                <c:pt idx="12">
                  <c:v>126.66250000000001</c:v>
                </c:pt>
                <c:pt idx="13">
                  <c:v>218.08485792000002</c:v>
                </c:pt>
                <c:pt idx="14">
                  <c:v>169.92534333787205</c:v>
                </c:pt>
                <c:pt idx="15">
                  <c:v>165.23415287762404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4E-48F5-8C17-E22C1C84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24896"/>
        <c:axId val="918843056"/>
      </c:scatterChart>
      <c:valAx>
        <c:axId val="11818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8843056"/>
        <c:crosses val="autoZero"/>
        <c:crossBetween val="midCat"/>
      </c:valAx>
      <c:valAx>
        <c:axId val="9188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82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</a:t>
            </a:r>
            <a:r>
              <a:rPr lang="en-GB" baseline="0"/>
              <a:t> the Battery Pack in the near future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DB!$E$39:$E$54</c:f>
              <c:numCache>
                <c:formatCode>General</c:formatCode>
                <c:ptCount val="16"/>
                <c:pt idx="0">
                  <c:v>2017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2020</c:v>
                </c:pt>
                <c:pt idx="7">
                  <c:v>2020</c:v>
                </c:pt>
                <c:pt idx="8">
                  <c:v>2025</c:v>
                </c:pt>
                <c:pt idx="9">
                  <c:v>2025</c:v>
                </c:pt>
                <c:pt idx="10">
                  <c:v>2025</c:v>
                </c:pt>
                <c:pt idx="11">
                  <c:v>2025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  <c:pt idx="15">
                  <c:v>2030</c:v>
                </c:pt>
              </c:numCache>
            </c:numRef>
          </c:xVal>
          <c:yVal>
            <c:numRef>
              <c:f>DB!$H$39:$H$54</c:f>
              <c:numCache>
                <c:formatCode>0.00</c:formatCode>
                <c:ptCount val="16"/>
                <c:pt idx="0">
                  <c:v>260.62169223600006</c:v>
                </c:pt>
                <c:pt idx="1">
                  <c:v>151.21921752000003</c:v>
                </c:pt>
                <c:pt idx="2">
                  <c:v>226.31447520000003</c:v>
                </c:pt>
                <c:pt idx="3">
                  <c:v>133.73128080000001</c:v>
                </c:pt>
                <c:pt idx="4">
                  <c:v>173.27430000000001</c:v>
                </c:pt>
                <c:pt idx="5">
                  <c:v>145.94814765216003</c:v>
                </c:pt>
                <c:pt idx="6" formatCode="General">
                  <c:v>149.1</c:v>
                </c:pt>
                <c:pt idx="7">
                  <c:v>72.009151200000005</c:v>
                </c:pt>
                <c:pt idx="8">
                  <c:v>114.67354458384003</c:v>
                </c:pt>
                <c:pt idx="9">
                  <c:v>88.611375360240018</c:v>
                </c:pt>
                <c:pt idx="10">
                  <c:v>128.58777000000001</c:v>
                </c:pt>
                <c:pt idx="11">
                  <c:v>93.426260000000013</c:v>
                </c:pt>
                <c:pt idx="12">
                  <c:v>101.33000000000001</c:v>
                </c:pt>
                <c:pt idx="13">
                  <c:v>175.90806936000001</c:v>
                </c:pt>
                <c:pt idx="14" formatCode="0.000">
                  <c:v>127.18338581116804</c:v>
                </c:pt>
                <c:pt idx="15" formatCode="0.000">
                  <c:v>121.97095196644803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B-4A2A-A72F-073F6CC2C2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DB!$E$39:$E$54</c:f>
              <c:numCache>
                <c:formatCode>General</c:formatCode>
                <c:ptCount val="16"/>
                <c:pt idx="0">
                  <c:v>2017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2020</c:v>
                </c:pt>
                <c:pt idx="7">
                  <c:v>2020</c:v>
                </c:pt>
                <c:pt idx="8">
                  <c:v>2025</c:v>
                </c:pt>
                <c:pt idx="9">
                  <c:v>2025</c:v>
                </c:pt>
                <c:pt idx="10">
                  <c:v>2025</c:v>
                </c:pt>
                <c:pt idx="11">
                  <c:v>2025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  <c:pt idx="15">
                  <c:v>2030</c:v>
                </c:pt>
              </c:numCache>
            </c:numRef>
          </c:xVal>
          <c:yVal>
            <c:numRef>
              <c:f>DB!$I$39:$I$54</c:f>
              <c:numCache>
                <c:formatCode>0.00</c:formatCode>
                <c:ptCount val="16"/>
                <c:pt idx="1">
                  <c:v>216.02745360000003</c:v>
                </c:pt>
                <c:pt idx="2">
                  <c:v>257.17554000000001</c:v>
                </c:pt>
                <c:pt idx="3">
                  <c:v>172.26100000000002</c:v>
                </c:pt>
                <c:pt idx="4">
                  <c:v>256.36490000000003</c:v>
                </c:pt>
                <c:pt idx="5">
                  <c:v>212.94134712000002</c:v>
                </c:pt>
                <c:pt idx="6" formatCode="General">
                  <c:v>203.8</c:v>
                </c:pt>
                <c:pt idx="7">
                  <c:v>72.009151200000005</c:v>
                </c:pt>
                <c:pt idx="8">
                  <c:v>131.35333288694403</c:v>
                </c:pt>
                <c:pt idx="9">
                  <c:v>104.24867689440003</c:v>
                </c:pt>
                <c:pt idx="10">
                  <c:v>128.58777000000001</c:v>
                </c:pt>
                <c:pt idx="11">
                  <c:v>127.77713</c:v>
                </c:pt>
                <c:pt idx="12">
                  <c:v>151.995</c:v>
                </c:pt>
                <c:pt idx="13">
                  <c:v>260.26164648000002</c:v>
                </c:pt>
                <c:pt idx="14" formatCode="0.000">
                  <c:v>212.66730086457605</c:v>
                </c:pt>
                <c:pt idx="15" formatCode="0.000">
                  <c:v>208.49735378880007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B-4A2A-A72F-073F6CC2C2F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DB!$E$39:$E$54</c:f>
              <c:numCache>
                <c:formatCode>General</c:formatCode>
                <c:ptCount val="16"/>
                <c:pt idx="0">
                  <c:v>2017</c:v>
                </c:pt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2020</c:v>
                </c:pt>
                <c:pt idx="7">
                  <c:v>2020</c:v>
                </c:pt>
                <c:pt idx="8">
                  <c:v>2025</c:v>
                </c:pt>
                <c:pt idx="9">
                  <c:v>2025</c:v>
                </c:pt>
                <c:pt idx="10">
                  <c:v>2025</c:v>
                </c:pt>
                <c:pt idx="11">
                  <c:v>2025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  <c:pt idx="15">
                  <c:v>2030</c:v>
                </c:pt>
              </c:numCache>
            </c:numRef>
          </c:xVal>
          <c:yVal>
            <c:numRef>
              <c:f>DB!$J$39:$J$54</c:f>
              <c:numCache>
                <c:formatCode>0.00</c:formatCode>
                <c:ptCount val="16"/>
                <c:pt idx="0">
                  <c:v>260.62169223600006</c:v>
                </c:pt>
                <c:pt idx="1">
                  <c:v>183.62333556000004</c:v>
                </c:pt>
                <c:pt idx="2">
                  <c:v>241.74500760000001</c:v>
                </c:pt>
                <c:pt idx="3">
                  <c:v>152.9961404</c:v>
                </c:pt>
                <c:pt idx="4">
                  <c:v>214.81960000000004</c:v>
                </c:pt>
                <c:pt idx="5">
                  <c:v>179.44474738608002</c:v>
                </c:pt>
                <c:pt idx="6">
                  <c:v>176.45</c:v>
                </c:pt>
                <c:pt idx="7">
                  <c:v>72.009151200000005</c:v>
                </c:pt>
                <c:pt idx="8">
                  <c:v>123.01343873539203</c:v>
                </c:pt>
                <c:pt idx="9">
                  <c:v>96.430026127320019</c:v>
                </c:pt>
                <c:pt idx="10">
                  <c:v>128.58777000000001</c:v>
                </c:pt>
                <c:pt idx="11">
                  <c:v>110.60169500000001</c:v>
                </c:pt>
                <c:pt idx="12">
                  <c:v>126.66250000000001</c:v>
                </c:pt>
                <c:pt idx="13">
                  <c:v>218.08485792000002</c:v>
                </c:pt>
                <c:pt idx="14">
                  <c:v>169.92534333787205</c:v>
                </c:pt>
                <c:pt idx="15">
                  <c:v>165.23415287762404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B-4A2A-A72F-073F6CC2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824896"/>
        <c:axId val="918843056"/>
      </c:scatterChart>
      <c:valAx>
        <c:axId val="11818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8843056"/>
        <c:crosses val="autoZero"/>
        <c:crossBetween val="midCat"/>
      </c:valAx>
      <c:valAx>
        <c:axId val="9188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182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233362</xdr:colOff>
      <xdr:row>33</xdr:row>
      <xdr:rowOff>38101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14F6A5-C6AE-4EE3-9BBE-A648246AB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109538</xdr:colOff>
      <xdr:row>0</xdr:row>
      <xdr:rowOff>0</xdr:rowOff>
    </xdr:from>
    <xdr:to>
      <xdr:col>19</xdr:col>
      <xdr:colOff>90487</xdr:colOff>
      <xdr:row>27</xdr:row>
      <xdr:rowOff>38101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695F72-C890-4ABC-A6DB-3293F4F60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K_Fahrzeugkonzeptoptimierung\SS20\03_Akg&#252;l\Databank\Kopie%20von%20Databank.v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nk"/>
      <sheetName val="Wheels &amp; Tires"/>
      <sheetName val="Calculations"/>
      <sheetName val="Vehicle Body"/>
      <sheetName val="DB"/>
      <sheetName val="Matlab_Export"/>
    </sheetNames>
    <sheetDataSet>
      <sheetData sheetId="0"/>
      <sheetData sheetId="1"/>
      <sheetData sheetId="2"/>
      <sheetData sheetId="3"/>
      <sheetData sheetId="4">
        <row r="33">
          <cell r="B33" t="str">
            <v>PSM</v>
          </cell>
          <cell r="C33" t="str">
            <v>Borwell</v>
          </cell>
          <cell r="D33" t="str">
            <v>$/50kW</v>
          </cell>
          <cell r="E33">
            <v>2013</v>
          </cell>
          <cell r="F33">
            <v>260</v>
          </cell>
          <cell r="G33">
            <v>590</v>
          </cell>
          <cell r="H33">
            <v>7.3505090250875922</v>
          </cell>
          <cell r="I33">
            <v>16.680001249237229</v>
          </cell>
          <cell r="J33">
            <v>12.015255137162411</v>
          </cell>
          <cell r="K33">
            <v>8.0128315372024659</v>
          </cell>
          <cell r="L33" t="str">
            <v>€/kW</v>
          </cell>
        </row>
        <row r="34">
          <cell r="B34" t="str">
            <v>PSM</v>
          </cell>
          <cell r="C34" t="str">
            <v xml:space="preserve">Widmer </v>
          </cell>
          <cell r="D34" t="str">
            <v>$/kW</v>
          </cell>
          <cell r="E34">
            <v>2015</v>
          </cell>
          <cell r="F34">
            <v>1.85</v>
          </cell>
          <cell r="G34">
            <v>2.76</v>
          </cell>
          <cell r="H34">
            <v>2.1837734455384572</v>
          </cell>
          <cell r="I34">
            <v>3.2579538971276438</v>
          </cell>
          <cell r="J34">
            <v>2.7208636713330505</v>
          </cell>
          <cell r="K34"/>
          <cell r="L34"/>
        </row>
        <row r="35">
          <cell r="B35" t="str">
            <v>PSM</v>
          </cell>
          <cell r="C35" t="str">
            <v xml:space="preserve">Fries </v>
          </cell>
          <cell r="D35" t="str">
            <v>€/kW</v>
          </cell>
          <cell r="E35">
            <v>2017</v>
          </cell>
          <cell r="F35">
            <v>10</v>
          </cell>
          <cell r="G35">
            <v>12.7</v>
          </cell>
          <cell r="H35">
            <v>10.424867689440003</v>
          </cell>
          <cell r="I35">
            <v>13.239581965588803</v>
          </cell>
          <cell r="J35">
            <v>11.832224827514402</v>
          </cell>
          <cell r="K35"/>
          <cell r="L35"/>
        </row>
        <row r="36">
          <cell r="B36" t="str">
            <v>PSM</v>
          </cell>
          <cell r="C36" t="str">
            <v xml:space="preserve">Angerer </v>
          </cell>
          <cell r="D36" t="str">
            <v>€/kW</v>
          </cell>
          <cell r="E36">
            <v>2018</v>
          </cell>
          <cell r="F36">
            <v>5.33</v>
          </cell>
          <cell r="G36">
            <v>5.33</v>
          </cell>
          <cell r="H36">
            <v>5.4829825128000005</v>
          </cell>
          <cell r="I36"/>
          <cell r="J36">
            <v>5.4829825128000005</v>
          </cell>
          <cell r="K36"/>
          <cell r="L36"/>
        </row>
        <row r="37">
          <cell r="B37" t="str">
            <v>Inverter</v>
          </cell>
          <cell r="C37" t="str">
            <v xml:space="preserve">Fries </v>
          </cell>
          <cell r="D37" t="str">
            <v>€/kW</v>
          </cell>
          <cell r="E37">
            <v>2017</v>
          </cell>
          <cell r="F37">
            <v>3</v>
          </cell>
          <cell r="G37">
            <v>4</v>
          </cell>
          <cell r="H37">
            <v>3.1274603068320008</v>
          </cell>
          <cell r="I37">
            <v>4.1699470757760011</v>
          </cell>
          <cell r="J37">
            <v>3.648703691304001</v>
          </cell>
          <cell r="K37">
            <v>8.3398941515520022</v>
          </cell>
          <cell r="L37" t="str">
            <v>€/kW</v>
          </cell>
        </row>
        <row r="38">
          <cell r="B38" t="str">
            <v>Inverter</v>
          </cell>
          <cell r="C38" t="str">
            <v xml:space="preserve">Altenburg </v>
          </cell>
          <cell r="D38" t="str">
            <v>€/kW</v>
          </cell>
          <cell r="E38">
            <v>2017</v>
          </cell>
          <cell r="F38">
            <v>10</v>
          </cell>
          <cell r="G38">
            <v>15</v>
          </cell>
          <cell r="H38">
            <v>10.424867689440003</v>
          </cell>
          <cell r="I38">
            <v>15.637301534160004</v>
          </cell>
          <cell r="J38">
            <v>13.031084611800004</v>
          </cell>
          <cell r="K38"/>
          <cell r="L38"/>
        </row>
        <row r="39">
          <cell r="B39" t="str">
            <v>Battery Pack</v>
          </cell>
          <cell r="C39" t="str">
            <v xml:space="preserve">Cano </v>
          </cell>
          <cell r="D39" t="str">
            <v>€/kWh</v>
          </cell>
          <cell r="E39">
            <v>2017</v>
          </cell>
          <cell r="F39">
            <v>250</v>
          </cell>
          <cell r="G39">
            <v>250</v>
          </cell>
          <cell r="H39">
            <v>260.62169223600006</v>
          </cell>
          <cell r="I39"/>
          <cell r="J39">
            <v>260.62169223600006</v>
          </cell>
          <cell r="K39">
            <v>205.54175386368004</v>
          </cell>
          <cell r="L39" t="str">
            <v>€/kWh</v>
          </cell>
        </row>
        <row r="40">
          <cell r="B40" t="str">
            <v>Battery Pack</v>
          </cell>
          <cell r="C40" t="str">
            <v xml:space="preserve">Heitesheimer </v>
          </cell>
          <cell r="D40" t="str">
            <v>€/kWh</v>
          </cell>
          <cell r="E40">
            <v>2018</v>
          </cell>
          <cell r="F40">
            <v>147</v>
          </cell>
          <cell r="G40">
            <v>210</v>
          </cell>
          <cell r="H40">
            <v>151.21921752000003</v>
          </cell>
          <cell r="I40">
            <v>216.02745360000003</v>
          </cell>
          <cell r="J40">
            <v>183.62333556000004</v>
          </cell>
          <cell r="K40"/>
          <cell r="L40"/>
        </row>
        <row r="41">
          <cell r="B41" t="str">
            <v>Battery Pack</v>
          </cell>
          <cell r="C41" t="str">
            <v xml:space="preserve">Schmuch </v>
          </cell>
          <cell r="D41" t="str">
            <v>€/kWh</v>
          </cell>
          <cell r="E41">
            <v>2018</v>
          </cell>
          <cell r="F41">
            <v>220</v>
          </cell>
          <cell r="G41">
            <v>250</v>
          </cell>
          <cell r="H41">
            <v>226.31447520000003</v>
          </cell>
          <cell r="I41">
            <v>257.17554000000001</v>
          </cell>
          <cell r="J41">
            <v>241.74500760000001</v>
          </cell>
          <cell r="K41"/>
          <cell r="L41"/>
        </row>
        <row r="42">
          <cell r="B42" t="str">
            <v>Battery Pack</v>
          </cell>
          <cell r="C42" t="str">
            <v xml:space="preserve">NPM </v>
          </cell>
          <cell r="D42" t="str">
            <v>€/kWh</v>
          </cell>
          <cell r="E42">
            <v>2018</v>
          </cell>
          <cell r="F42">
            <v>130</v>
          </cell>
          <cell r="G42">
            <v>170</v>
          </cell>
          <cell r="H42">
            <v>133.73128080000001</v>
          </cell>
          <cell r="I42">
            <v>172.26100000000002</v>
          </cell>
          <cell r="J42">
            <v>152.9961404</v>
          </cell>
          <cell r="K42"/>
          <cell r="L42"/>
        </row>
        <row r="43">
          <cell r="B43" t="str">
            <v>Battery Pack</v>
          </cell>
          <cell r="C43" t="str">
            <v xml:space="preserve">Philippot </v>
          </cell>
          <cell r="D43" t="str">
            <v>€/kWh</v>
          </cell>
          <cell r="E43">
            <v>2019</v>
          </cell>
          <cell r="F43">
            <v>171</v>
          </cell>
          <cell r="G43">
            <v>253</v>
          </cell>
          <cell r="H43">
            <v>173.27430000000001</v>
          </cell>
          <cell r="I43">
            <v>256.36490000000003</v>
          </cell>
          <cell r="J43">
            <v>214.81960000000004</v>
          </cell>
          <cell r="K43"/>
          <cell r="L43"/>
        </row>
        <row r="44">
          <cell r="B44" t="str">
            <v>Battery Pack</v>
          </cell>
          <cell r="C44" t="str">
            <v xml:space="preserve">Fries </v>
          </cell>
          <cell r="D44" t="str">
            <v>€2017/kWh</v>
          </cell>
          <cell r="E44">
            <v>2019</v>
          </cell>
          <cell r="F44">
            <v>140</v>
          </cell>
          <cell r="G44">
            <v>207</v>
          </cell>
          <cell r="H44">
            <v>145.94814765216003</v>
          </cell>
          <cell r="I44">
            <v>212.94134712000002</v>
          </cell>
          <cell r="J44">
            <v>179.44474738608002</v>
          </cell>
          <cell r="K44"/>
          <cell r="L44"/>
        </row>
        <row r="45">
          <cell r="B45" t="str">
            <v>Battery Pack</v>
          </cell>
          <cell r="C45" t="str">
            <v xml:space="preserve">Wentker </v>
          </cell>
          <cell r="D45" t="str">
            <v>€/kWh</v>
          </cell>
          <cell r="E45">
            <v>2020</v>
          </cell>
          <cell r="F45">
            <v>149.1</v>
          </cell>
          <cell r="G45">
            <v>203.8</v>
          </cell>
          <cell r="H45">
            <v>149.1</v>
          </cell>
          <cell r="I45">
            <v>203.8</v>
          </cell>
          <cell r="J45">
            <v>176.45</v>
          </cell>
          <cell r="K45">
            <v>162.17860000000019</v>
          </cell>
          <cell r="L45"/>
        </row>
        <row r="46">
          <cell r="B46" t="str">
            <v>Battery Pack</v>
          </cell>
          <cell r="C46" t="str">
            <v xml:space="preserve">Cano </v>
          </cell>
          <cell r="D46" t="str">
            <v>€2018/kWh</v>
          </cell>
          <cell r="E46">
            <v>2020</v>
          </cell>
          <cell r="F46">
            <v>70</v>
          </cell>
          <cell r="G46">
            <v>70</v>
          </cell>
          <cell r="H46">
            <v>72.009151200000005</v>
          </cell>
          <cell r="I46">
            <v>72.009151200000005</v>
          </cell>
          <cell r="J46">
            <v>72.009151200000005</v>
          </cell>
          <cell r="K46"/>
          <cell r="L46"/>
        </row>
        <row r="47">
          <cell r="B47" t="str">
            <v>Battery Pack</v>
          </cell>
          <cell r="C47" t="str">
            <v xml:space="preserve">Heitesheimer </v>
          </cell>
          <cell r="D47" t="str">
            <v>€2017/kWh</v>
          </cell>
          <cell r="E47">
            <v>2025</v>
          </cell>
          <cell r="F47">
            <v>110</v>
          </cell>
          <cell r="G47">
            <v>126</v>
          </cell>
          <cell r="H47">
            <v>114.67354458384003</v>
          </cell>
          <cell r="I47">
            <v>131.35333288694403</v>
          </cell>
          <cell r="J47">
            <v>123.01343873539203</v>
          </cell>
          <cell r="K47"/>
          <cell r="L47"/>
        </row>
        <row r="48">
          <cell r="B48" t="str">
            <v>Battery Pack</v>
          </cell>
          <cell r="C48" t="str">
            <v xml:space="preserve">Heitesheimer </v>
          </cell>
          <cell r="D48" t="str">
            <v>€2017/kWh</v>
          </cell>
          <cell r="E48">
            <v>2025</v>
          </cell>
          <cell r="F48">
            <v>85</v>
          </cell>
          <cell r="G48">
            <v>100</v>
          </cell>
          <cell r="H48">
            <v>88.611375360240018</v>
          </cell>
          <cell r="I48">
            <v>104.24867689440003</v>
          </cell>
          <cell r="J48">
            <v>96.430026127320019</v>
          </cell>
          <cell r="K48"/>
          <cell r="L48"/>
        </row>
        <row r="49">
          <cell r="B49" t="str">
            <v>Battery Pack</v>
          </cell>
          <cell r="C49" t="str">
            <v xml:space="preserve">Schmuch </v>
          </cell>
          <cell r="D49" t="str">
            <v>€2018/kWh</v>
          </cell>
          <cell r="E49">
            <v>2025</v>
          </cell>
          <cell r="F49">
            <v>125</v>
          </cell>
          <cell r="G49">
            <v>125</v>
          </cell>
          <cell r="H49">
            <v>128.58777000000001</v>
          </cell>
          <cell r="I49">
            <v>128.58777000000001</v>
          </cell>
          <cell r="J49">
            <v>128.58777000000001</v>
          </cell>
          <cell r="K49"/>
          <cell r="L49"/>
        </row>
        <row r="50">
          <cell r="B50" t="str">
            <v>Battery Pack</v>
          </cell>
          <cell r="C50" t="str">
            <v xml:space="preserve">Wentker </v>
          </cell>
          <cell r="D50" t="str">
            <v>€2019/kWh</v>
          </cell>
          <cell r="E50">
            <v>2025</v>
          </cell>
          <cell r="F50">
            <v>92.2</v>
          </cell>
          <cell r="G50">
            <v>126.1</v>
          </cell>
          <cell r="H50">
            <v>93.426260000000013</v>
          </cell>
          <cell r="I50">
            <v>127.77713</v>
          </cell>
          <cell r="J50">
            <v>110.60169500000001</v>
          </cell>
          <cell r="K50"/>
          <cell r="L50"/>
        </row>
        <row r="51">
          <cell r="B51" t="str">
            <v>Battery Pack</v>
          </cell>
          <cell r="C51" t="str">
            <v xml:space="preserve">NPM </v>
          </cell>
          <cell r="D51" t="str">
            <v>€2019/kWh</v>
          </cell>
          <cell r="E51">
            <v>2030</v>
          </cell>
          <cell r="F51">
            <v>100</v>
          </cell>
          <cell r="G51">
            <v>150</v>
          </cell>
          <cell r="H51">
            <v>101.33000000000001</v>
          </cell>
          <cell r="I51">
            <v>151.995</v>
          </cell>
          <cell r="J51">
            <v>126.66250000000001</v>
          </cell>
          <cell r="K51">
            <v>143.52039999999997</v>
          </cell>
          <cell r="L51"/>
        </row>
        <row r="52">
          <cell r="B52" t="str">
            <v>Battery Pack</v>
          </cell>
          <cell r="C52" t="str">
            <v xml:space="preserve">Philippot </v>
          </cell>
          <cell r="D52" t="str">
            <v>€2018/kWh</v>
          </cell>
          <cell r="E52">
            <v>2030</v>
          </cell>
          <cell r="F52">
            <v>171</v>
          </cell>
          <cell r="G52">
            <v>253</v>
          </cell>
          <cell r="H52">
            <v>175.90806936000001</v>
          </cell>
          <cell r="I52">
            <v>260.26164648000002</v>
          </cell>
          <cell r="J52">
            <v>218.08485792000002</v>
          </cell>
          <cell r="K52"/>
          <cell r="L52"/>
        </row>
        <row r="53">
          <cell r="B53" t="str">
            <v>Battery Pack</v>
          </cell>
          <cell r="C53" t="str">
            <v xml:space="preserve">Fries </v>
          </cell>
          <cell r="D53" t="str">
            <v>€2017/kWh</v>
          </cell>
          <cell r="E53">
            <v>2030</v>
          </cell>
          <cell r="F53">
            <v>122</v>
          </cell>
          <cell r="G53">
            <v>204</v>
          </cell>
          <cell r="H53">
            <v>127.18338581116804</v>
          </cell>
          <cell r="I53">
            <v>212.66730086457605</v>
          </cell>
          <cell r="J53">
            <v>169.92534333787205</v>
          </cell>
          <cell r="K53"/>
          <cell r="L53"/>
        </row>
        <row r="54">
          <cell r="B54" t="str">
            <v>Battery Pack</v>
          </cell>
          <cell r="C54" t="str">
            <v xml:space="preserve">Fries </v>
          </cell>
          <cell r="D54" t="str">
            <v>€2017/kWh</v>
          </cell>
          <cell r="E54">
            <v>2030</v>
          </cell>
          <cell r="F54">
            <v>117</v>
          </cell>
          <cell r="G54">
            <v>200</v>
          </cell>
          <cell r="H54">
            <v>121.97095196644803</v>
          </cell>
          <cell r="I54">
            <v>208.49735378880007</v>
          </cell>
          <cell r="J54">
            <v>165.23415287762404</v>
          </cell>
          <cell r="K54"/>
          <cell r="L54"/>
        </row>
        <row r="55">
          <cell r="B55" t="str">
            <v>Reluctance</v>
          </cell>
          <cell r="C55" t="str">
            <v>Widmer</v>
          </cell>
          <cell r="D55" t="str">
            <v>€/ kW</v>
          </cell>
          <cell r="E55">
            <v>2015</v>
          </cell>
          <cell r="F55">
            <v>1.5</v>
          </cell>
          <cell r="G55"/>
          <cell r="H55">
            <v>1.5951595657695083</v>
          </cell>
          <cell r="I55"/>
          <cell r="J55">
            <v>1.5951595657695083</v>
          </cell>
          <cell r="K55">
            <v>1.5951595657695083</v>
          </cell>
          <cell r="L55" t="str">
            <v>€/ kW</v>
          </cell>
        </row>
        <row r="56">
          <cell r="B56" t="str">
            <v>Driveshaft Processed Steel</v>
          </cell>
          <cell r="C56" t="str">
            <v>FUCHS 14</v>
          </cell>
          <cell r="D56" t="str">
            <v xml:space="preserve">€/kg </v>
          </cell>
          <cell r="E56">
            <v>2014</v>
          </cell>
          <cell r="F56">
            <v>1.39</v>
          </cell>
          <cell r="G56"/>
          <cell r="H56">
            <v>1.4648775668345597</v>
          </cell>
          <cell r="I56"/>
          <cell r="J56">
            <v>1.4648775668345597</v>
          </cell>
          <cell r="K56">
            <v>1.4648775668345597</v>
          </cell>
          <cell r="L56" t="str">
            <v xml:space="preserve">€/kg </v>
          </cell>
        </row>
        <row r="57">
          <cell r="B57" t="str">
            <v>Differential Processed Steel</v>
          </cell>
          <cell r="C57" t="str">
            <v>FUCHS 14</v>
          </cell>
          <cell r="D57" t="str">
            <v xml:space="preserve">€/kg </v>
          </cell>
          <cell r="E57">
            <v>2014</v>
          </cell>
          <cell r="F57">
            <v>2.9889999999999999</v>
          </cell>
          <cell r="G57"/>
          <cell r="H57">
            <v>3.1500137030708628</v>
          </cell>
          <cell r="I57"/>
          <cell r="J57">
            <v>3.1500137030708628</v>
          </cell>
          <cell r="K57">
            <v>3.1500137030708628</v>
          </cell>
          <cell r="L57" t="str">
            <v xml:space="preserve">€/kg </v>
          </cell>
        </row>
        <row r="58">
          <cell r="B58" t="str">
            <v>Differential Processed Alu</v>
          </cell>
          <cell r="C58" t="str">
            <v>FUCHS 14</v>
          </cell>
          <cell r="D58" t="str">
            <v xml:space="preserve">€/kg </v>
          </cell>
          <cell r="E58">
            <v>2014</v>
          </cell>
          <cell r="F58">
            <v>5.84</v>
          </cell>
          <cell r="G58"/>
          <cell r="H58">
            <v>6.1545935182113878</v>
          </cell>
          <cell r="I58"/>
          <cell r="J58">
            <v>6.1545935182113878</v>
          </cell>
          <cell r="K58">
            <v>6.1545935182113878</v>
          </cell>
          <cell r="L58" t="str">
            <v xml:space="preserve">€/kg </v>
          </cell>
        </row>
        <row r="59">
          <cell r="B59" t="str">
            <v>Gearbox Processed Steel</v>
          </cell>
          <cell r="C59" t="str">
            <v>FUCHS 14</v>
          </cell>
          <cell r="D59" t="str">
            <v xml:space="preserve">€/kg </v>
          </cell>
          <cell r="E59">
            <v>2014</v>
          </cell>
          <cell r="F59">
            <v>2.99</v>
          </cell>
          <cell r="G59"/>
          <cell r="H59">
            <v>3.1510675718239813</v>
          </cell>
          <cell r="I59"/>
          <cell r="J59">
            <v>3.1510675718239813</v>
          </cell>
          <cell r="K59">
            <v>3.1510675718239813</v>
          </cell>
          <cell r="L59" t="str">
            <v xml:space="preserve">€/kg </v>
          </cell>
        </row>
        <row r="60">
          <cell r="B60" t="str">
            <v>Gearbox Processed Alu</v>
          </cell>
          <cell r="C60" t="str">
            <v>FUCHS 14</v>
          </cell>
          <cell r="D60" t="str">
            <v xml:space="preserve">€/kg </v>
          </cell>
          <cell r="E60">
            <v>2014</v>
          </cell>
          <cell r="F60">
            <v>3.5</v>
          </cell>
          <cell r="G60"/>
          <cell r="H60">
            <v>3.6885406359143591</v>
          </cell>
          <cell r="I60"/>
          <cell r="J60">
            <v>3.6885406359143591</v>
          </cell>
          <cell r="K60">
            <v>3.6885406359143591</v>
          </cell>
          <cell r="L60" t="str">
            <v xml:space="preserve">€/kg </v>
          </cell>
        </row>
        <row r="61">
          <cell r="B61" t="str">
            <v>Front/Rear Axl</v>
          </cell>
          <cell r="C61" t="str">
            <v>[VDI98] VDI-Norm     2225 S. 17</v>
          </cell>
          <cell r="D61" t="str">
            <v>€/kg</v>
          </cell>
          <cell r="E61">
            <v>2015</v>
          </cell>
          <cell r="F61">
            <v>6.67</v>
          </cell>
          <cell r="G61"/>
          <cell r="H61">
            <v>7.0931428691217473</v>
          </cell>
          <cell r="I61"/>
          <cell r="J61">
            <v>7.0931428691217473</v>
          </cell>
          <cell r="K61">
            <v>7.0931428691217473</v>
          </cell>
          <cell r="L61" t="str">
            <v>€/kg</v>
          </cell>
        </row>
        <row r="62">
          <cell r="B62" t="str">
            <v>Steering System</v>
          </cell>
          <cell r="C62" t="str">
            <v xml:space="preserve">MUTE </v>
          </cell>
          <cell r="D62" t="str">
            <v>€</v>
          </cell>
          <cell r="E62">
            <v>2014</v>
          </cell>
          <cell r="F62">
            <v>200</v>
          </cell>
          <cell r="G62"/>
          <cell r="H62">
            <v>210.77375062367767</v>
          </cell>
          <cell r="I62"/>
          <cell r="J62">
            <v>210.77375062367767</v>
          </cell>
          <cell r="K62">
            <v>211.66953906382832</v>
          </cell>
          <cell r="L62" t="str">
            <v>€</v>
          </cell>
        </row>
        <row r="63">
          <cell r="B63" t="str">
            <v>Steering System</v>
          </cell>
          <cell r="C63" t="str">
            <v>FTM14a</v>
          </cell>
          <cell r="D63" t="str">
            <v>€</v>
          </cell>
          <cell r="E63">
            <v>2012</v>
          </cell>
          <cell r="F63">
            <v>200</v>
          </cell>
          <cell r="G63"/>
          <cell r="H63">
            <v>212.56532750397895</v>
          </cell>
          <cell r="I63"/>
          <cell r="J63">
            <v>212.56532750397895</v>
          </cell>
          <cell r="K63"/>
          <cell r="L63"/>
        </row>
        <row r="64">
          <cell r="B64" t="str">
            <v>Steer by Wire (elektronic)</v>
          </cell>
          <cell r="C64" t="str">
            <v>Fahrzeugkonzepte 19/20 Skript</v>
          </cell>
          <cell r="D64" t="str">
            <v>€</v>
          </cell>
          <cell r="E64">
            <v>2020</v>
          </cell>
          <cell r="F64">
            <v>500</v>
          </cell>
          <cell r="G64"/>
          <cell r="H64">
            <v>500</v>
          </cell>
          <cell r="I64"/>
          <cell r="J64">
            <v>500</v>
          </cell>
          <cell r="K64">
            <v>500</v>
          </cell>
          <cell r="L64" t="str">
            <v>€</v>
          </cell>
        </row>
        <row r="65">
          <cell r="B65" t="str">
            <v>Braking System</v>
          </cell>
          <cell r="C65" t="str">
            <v>FUCHS 2014</v>
          </cell>
          <cell r="D65" t="str">
            <v>€</v>
          </cell>
          <cell r="E65">
            <v>2014</v>
          </cell>
          <cell r="F65">
            <v>250</v>
          </cell>
          <cell r="G65"/>
          <cell r="H65">
            <v>263.46718827959711</v>
          </cell>
          <cell r="I65"/>
          <cell r="J65">
            <v>263.46718827959711</v>
          </cell>
          <cell r="K65">
            <v>263.46718827959711</v>
          </cell>
          <cell r="L65" t="str">
            <v>€</v>
          </cell>
        </row>
        <row r="66">
          <cell r="B66" t="str">
            <v>Shock Absorber</v>
          </cell>
          <cell r="C66" t="str">
            <v>FUCHS 2014</v>
          </cell>
          <cell r="D66" t="str">
            <v>€</v>
          </cell>
          <cell r="E66">
            <v>2014</v>
          </cell>
          <cell r="F66">
            <v>160</v>
          </cell>
          <cell r="G66"/>
          <cell r="H66">
            <v>168.61900049894214</v>
          </cell>
          <cell r="I66"/>
          <cell r="J66">
            <v>168.61900049894214</v>
          </cell>
          <cell r="K66">
            <v>168.61900049894214</v>
          </cell>
          <cell r="L66" t="str">
            <v>€</v>
          </cell>
        </row>
        <row r="67">
          <cell r="B67" t="str">
            <v>Rim Processed Alu</v>
          </cell>
          <cell r="C67" t="str">
            <v>[VDI98] VDI-Norm      2225 S. 28</v>
          </cell>
          <cell r="D67" t="str">
            <v>€/kg</v>
          </cell>
          <cell r="E67">
            <v>2014</v>
          </cell>
          <cell r="F67">
            <v>5.84</v>
          </cell>
          <cell r="G67"/>
          <cell r="H67">
            <v>6.1545935182113878</v>
          </cell>
          <cell r="I67"/>
          <cell r="J67">
            <v>6.1545935182113878</v>
          </cell>
          <cell r="K67">
            <v>6.1545935182113878</v>
          </cell>
          <cell r="L67" t="str">
            <v>€/kg</v>
          </cell>
        </row>
        <row r="68">
          <cell r="B68" t="str">
            <v>Rim Processed Steel</v>
          </cell>
          <cell r="C68" t="str">
            <v>[VDI98] VDI-Norm   2225 S. 16</v>
          </cell>
          <cell r="D68" t="str">
            <v>€/kg</v>
          </cell>
          <cell r="E68">
            <v>2014</v>
          </cell>
          <cell r="F68">
            <v>3.34</v>
          </cell>
          <cell r="G68"/>
          <cell r="H68">
            <v>3.5199216354154168</v>
          </cell>
          <cell r="I68"/>
          <cell r="J68">
            <v>3.5199216354154168</v>
          </cell>
          <cell r="K68">
            <v>3.5199216354154168</v>
          </cell>
          <cell r="L68" t="str">
            <v>€/kg</v>
          </cell>
        </row>
        <row r="69">
          <cell r="B69" t="str">
            <v>Tires Elastomere</v>
          </cell>
          <cell r="C69" t="str">
            <v>Industry</v>
          </cell>
          <cell r="D69" t="str">
            <v>€/kg</v>
          </cell>
          <cell r="E69">
            <v>2014</v>
          </cell>
          <cell r="F69">
            <v>3.33</v>
          </cell>
          <cell r="G69"/>
          <cell r="H69">
            <v>3.5093829478842333</v>
          </cell>
          <cell r="I69"/>
          <cell r="J69">
            <v>3.5093829478842333</v>
          </cell>
          <cell r="K69">
            <v>3.5093829478842333</v>
          </cell>
          <cell r="L69" t="str">
            <v>€/kg</v>
          </cell>
        </row>
        <row r="70">
          <cell r="B70" t="str">
            <v>Front Headlight</v>
          </cell>
          <cell r="C70" t="str">
            <v>MUTE</v>
          </cell>
          <cell r="D70" t="str">
            <v>€</v>
          </cell>
          <cell r="E70">
            <v>2014</v>
          </cell>
          <cell r="F70">
            <v>125</v>
          </cell>
          <cell r="G70"/>
          <cell r="H70">
            <v>131.73359413979856</v>
          </cell>
          <cell r="I70"/>
          <cell r="J70">
            <v>131.73359413979856</v>
          </cell>
          <cell r="K70">
            <v>131.73359413979856</v>
          </cell>
          <cell r="L70" t="str">
            <v>€</v>
          </cell>
        </row>
        <row r="71">
          <cell r="B71" t="str">
            <v>Back Headlight</v>
          </cell>
          <cell r="C71" t="str">
            <v>MUTE</v>
          </cell>
          <cell r="D71" t="str">
            <v>€</v>
          </cell>
          <cell r="E71">
            <v>2014</v>
          </cell>
          <cell r="F71">
            <v>75</v>
          </cell>
          <cell r="G71"/>
          <cell r="H71">
            <v>79.04015648387913</v>
          </cell>
          <cell r="I71"/>
          <cell r="J71">
            <v>79.04015648387913</v>
          </cell>
          <cell r="K71">
            <v>79.04015648387913</v>
          </cell>
          <cell r="L71" t="str">
            <v>€</v>
          </cell>
        </row>
        <row r="72">
          <cell r="B72" t="str">
            <v>Low Voltage Backup Battery</v>
          </cell>
          <cell r="C72" t="str">
            <v xml:space="preserve">FUCHS </v>
          </cell>
          <cell r="D72" t="str">
            <v>€</v>
          </cell>
          <cell r="E72">
            <v>2014</v>
          </cell>
          <cell r="F72">
            <v>50</v>
          </cell>
          <cell r="G72"/>
          <cell r="H72">
            <v>52.693437655919418</v>
          </cell>
          <cell r="I72"/>
          <cell r="J72">
            <v>52.693437655919418</v>
          </cell>
          <cell r="K72">
            <v>52.693437655919418</v>
          </cell>
          <cell r="L72" t="str">
            <v>€</v>
          </cell>
        </row>
        <row r="73">
          <cell r="B73" t="str">
            <v>High Voltage Battery Charger</v>
          </cell>
          <cell r="C73" t="str">
            <v xml:space="preserve">FUCHS </v>
          </cell>
          <cell r="D73" t="str">
            <v>€</v>
          </cell>
          <cell r="E73">
            <v>2014</v>
          </cell>
          <cell r="F73">
            <v>200</v>
          </cell>
          <cell r="G73"/>
          <cell r="H73">
            <v>210.77375062367767</v>
          </cell>
          <cell r="I73"/>
          <cell r="J73">
            <v>210.77375062367767</v>
          </cell>
          <cell r="K73">
            <v>210.77375062367767</v>
          </cell>
          <cell r="L73" t="str">
            <v>€</v>
          </cell>
        </row>
        <row r="74">
          <cell r="B74" t="str">
            <v xml:space="preserve">Low Voltage Cabling </v>
          </cell>
          <cell r="C74" t="str">
            <v>FUCHS</v>
          </cell>
          <cell r="D74" t="str">
            <v>€/kg</v>
          </cell>
          <cell r="E74">
            <v>2014</v>
          </cell>
          <cell r="F74">
            <v>25</v>
          </cell>
          <cell r="G74"/>
          <cell r="H74">
            <v>26.346718827959709</v>
          </cell>
          <cell r="I74"/>
          <cell r="J74">
            <v>26.346718827959709</v>
          </cell>
          <cell r="K74">
            <v>26.346718827959709</v>
          </cell>
          <cell r="L74" t="str">
            <v>€/kg</v>
          </cell>
        </row>
        <row r="75">
          <cell r="B75" t="str">
            <v>Mech. Adjustable Fr. Seat</v>
          </cell>
          <cell r="C75" t="str">
            <v>FUCHS</v>
          </cell>
          <cell r="D75" t="str">
            <v>€</v>
          </cell>
          <cell r="E75">
            <v>2014</v>
          </cell>
          <cell r="F75">
            <v>120</v>
          </cell>
          <cell r="G75"/>
          <cell r="H75">
            <v>126.4642503742066</v>
          </cell>
          <cell r="I75"/>
          <cell r="J75">
            <v>126.4642503742066</v>
          </cell>
          <cell r="K75">
            <v>89.802791125100669</v>
          </cell>
          <cell r="L75" t="str">
            <v>€</v>
          </cell>
        </row>
        <row r="76">
          <cell r="B76" t="str">
            <v>Mech. Adjustable Fr. Seat</v>
          </cell>
          <cell r="C76" t="str">
            <v>FTM14a</v>
          </cell>
          <cell r="D76" t="str">
            <v>€</v>
          </cell>
          <cell r="E76">
            <v>2012</v>
          </cell>
          <cell r="F76">
            <v>50</v>
          </cell>
          <cell r="G76"/>
          <cell r="H76">
            <v>53.141331875994737</v>
          </cell>
          <cell r="I76"/>
          <cell r="J76">
            <v>53.141331875994737</v>
          </cell>
          <cell r="K76"/>
          <cell r="L76"/>
        </row>
        <row r="77">
          <cell r="B77" t="str">
            <v>Aut. Adjustable Fr. Seat</v>
          </cell>
          <cell r="C77" t="str">
            <v>FUCHS</v>
          </cell>
          <cell r="D77" t="str">
            <v>€</v>
          </cell>
          <cell r="E77">
            <v>2014</v>
          </cell>
          <cell r="F77">
            <v>170</v>
          </cell>
          <cell r="G77"/>
          <cell r="H77">
            <v>179.15768803012602</v>
          </cell>
          <cell r="I77"/>
          <cell r="J77">
            <v>179.15768803012602</v>
          </cell>
          <cell r="K77">
            <v>179.15768803012602</v>
          </cell>
          <cell r="L77" t="str">
            <v>€</v>
          </cell>
        </row>
        <row r="78">
          <cell r="B78" t="str">
            <v>Backseats</v>
          </cell>
          <cell r="C78" t="str">
            <v>FUCHS</v>
          </cell>
          <cell r="D78" t="str">
            <v>€</v>
          </cell>
          <cell r="E78">
            <v>2014</v>
          </cell>
          <cell r="F78">
            <v>90</v>
          </cell>
          <cell r="G78"/>
          <cell r="H78">
            <v>94.848187780654953</v>
          </cell>
          <cell r="I78"/>
          <cell r="J78">
            <v>94.848187780654953</v>
          </cell>
          <cell r="K78">
            <v>94.848187780654953</v>
          </cell>
          <cell r="L78" t="str">
            <v>€</v>
          </cell>
        </row>
        <row r="79">
          <cell r="B79" t="str">
            <v>Seat Warmer</v>
          </cell>
          <cell r="C79" t="str">
            <v>FUCHS</v>
          </cell>
          <cell r="D79" t="str">
            <v>€</v>
          </cell>
          <cell r="E79">
            <v>2014</v>
          </cell>
          <cell r="F79">
            <v>9</v>
          </cell>
          <cell r="G79"/>
          <cell r="H79">
            <v>9.4848187780654953</v>
          </cell>
          <cell r="I79"/>
          <cell r="J79">
            <v>9.4848187780654953</v>
          </cell>
          <cell r="K79">
            <v>9.4848187780654953</v>
          </cell>
          <cell r="L79" t="str">
            <v>€</v>
          </cell>
        </row>
        <row r="80">
          <cell r="B80" t="str">
            <v>Standard Airbag</v>
          </cell>
          <cell r="C80" t="str">
            <v>FUCHS</v>
          </cell>
          <cell r="D80" t="str">
            <v>€</v>
          </cell>
          <cell r="E80">
            <v>2014</v>
          </cell>
          <cell r="F80">
            <v>93</v>
          </cell>
          <cell r="G80"/>
          <cell r="H80">
            <v>98.009794040010121</v>
          </cell>
          <cell r="I80"/>
          <cell r="J80">
            <v>98.009794040010121</v>
          </cell>
          <cell r="K80">
            <v>102.1462288959998</v>
          </cell>
          <cell r="L80" t="str">
            <v>€</v>
          </cell>
        </row>
        <row r="81">
          <cell r="B81" t="str">
            <v>Standard Airbag</v>
          </cell>
          <cell r="C81" t="str">
            <v>FTM14a</v>
          </cell>
          <cell r="D81" t="str">
            <v>€</v>
          </cell>
          <cell r="E81">
            <v>2012</v>
          </cell>
          <cell r="F81">
            <v>100</v>
          </cell>
          <cell r="G81"/>
          <cell r="H81">
            <v>106.28266375198947</v>
          </cell>
          <cell r="I81"/>
          <cell r="J81">
            <v>106.28266375198947</v>
          </cell>
          <cell r="K81"/>
          <cell r="L81"/>
        </row>
        <row r="82">
          <cell r="B82" t="str">
            <v>Airbag</v>
          </cell>
          <cell r="C82" t="str">
            <v>FUCHS</v>
          </cell>
          <cell r="D82" t="str">
            <v>€</v>
          </cell>
          <cell r="E82">
            <v>2014</v>
          </cell>
          <cell r="F82">
            <v>45</v>
          </cell>
          <cell r="G82"/>
          <cell r="H82">
            <v>47.424093890327477</v>
          </cell>
          <cell r="I82"/>
          <cell r="J82">
            <v>47.424093890327477</v>
          </cell>
          <cell r="K82">
            <v>47.424093890327477</v>
          </cell>
          <cell r="L82" t="str">
            <v>€</v>
          </cell>
        </row>
        <row r="83">
          <cell r="B83" t="str">
            <v>Front Seatbelt System</v>
          </cell>
          <cell r="C83" t="str">
            <v>FUCHS</v>
          </cell>
          <cell r="D83" t="str">
            <v>€</v>
          </cell>
          <cell r="E83">
            <v>2014</v>
          </cell>
          <cell r="F83">
            <v>25</v>
          </cell>
          <cell r="G83"/>
          <cell r="H83">
            <v>26.346718827959709</v>
          </cell>
          <cell r="I83"/>
          <cell r="J83">
            <v>26.346718827959709</v>
          </cell>
          <cell r="K83">
            <v>26.346718827959709</v>
          </cell>
          <cell r="L83" t="str">
            <v>€</v>
          </cell>
        </row>
        <row r="84">
          <cell r="B84" t="str">
            <v>Back Seatbelt System</v>
          </cell>
          <cell r="C84" t="str">
            <v>FUCHS</v>
          </cell>
          <cell r="D84" t="str">
            <v>€</v>
          </cell>
          <cell r="E84">
            <v>2014</v>
          </cell>
          <cell r="F84">
            <v>18</v>
          </cell>
          <cell r="G84"/>
          <cell r="H84">
            <v>18.969637556130991</v>
          </cell>
          <cell r="I84"/>
          <cell r="J84">
            <v>18.969637556130991</v>
          </cell>
          <cell r="K84">
            <v>18.969637556130991</v>
          </cell>
          <cell r="L84" t="str">
            <v>€</v>
          </cell>
        </row>
        <row r="85">
          <cell r="B85" t="str">
            <v>Monitors/Displays</v>
          </cell>
          <cell r="C85" t="str">
            <v>MAN Turkey</v>
          </cell>
          <cell r="D85" t="str">
            <v>$/Piece</v>
          </cell>
          <cell r="E85">
            <v>2020</v>
          </cell>
          <cell r="F85">
            <v>171.47</v>
          </cell>
          <cell r="G85"/>
          <cell r="H85">
            <v>190.33170000000001</v>
          </cell>
          <cell r="I85"/>
          <cell r="J85">
            <v>190.33170000000001</v>
          </cell>
          <cell r="K85">
            <v>174.20600648387915</v>
          </cell>
          <cell r="L85" t="str">
            <v>€</v>
          </cell>
        </row>
        <row r="86">
          <cell r="B86" t="str">
            <v>Monitors/Displays</v>
          </cell>
          <cell r="C86" t="str">
            <v>FUCHS</v>
          </cell>
          <cell r="D86" t="str">
            <v>€</v>
          </cell>
          <cell r="E86">
            <v>2014</v>
          </cell>
          <cell r="F86">
            <v>150</v>
          </cell>
          <cell r="G86"/>
          <cell r="H86">
            <v>158.08031296775826</v>
          </cell>
          <cell r="I86"/>
          <cell r="J86">
            <v>158.08031296775826</v>
          </cell>
          <cell r="K86"/>
          <cell r="L86"/>
        </row>
        <row r="87">
          <cell r="B87" t="str">
            <v>HVEC</v>
          </cell>
          <cell r="C87" t="str">
            <v>FUCHS</v>
          </cell>
          <cell r="D87" t="str">
            <v>€</v>
          </cell>
          <cell r="E87">
            <v>2014</v>
          </cell>
          <cell r="F87">
            <v>50</v>
          </cell>
          <cell r="G87"/>
          <cell r="H87">
            <v>52.693437655919418</v>
          </cell>
          <cell r="I87"/>
          <cell r="J87">
            <v>52.693437655919418</v>
          </cell>
          <cell r="K87">
            <v>52.917384765957081</v>
          </cell>
          <cell r="L87" t="str">
            <v>€</v>
          </cell>
        </row>
        <row r="88">
          <cell r="B88" t="str">
            <v>HVEC</v>
          </cell>
          <cell r="C88" t="str">
            <v>FTM14a</v>
          </cell>
          <cell r="D88" t="str">
            <v>€</v>
          </cell>
          <cell r="E88">
            <v>2012</v>
          </cell>
          <cell r="F88">
            <v>50</v>
          </cell>
          <cell r="G88"/>
          <cell r="H88">
            <v>53.141331875994737</v>
          </cell>
          <cell r="I88"/>
          <cell r="J88">
            <v>53.141331875994737</v>
          </cell>
          <cell r="K88"/>
          <cell r="L88"/>
        </row>
        <row r="89">
          <cell r="B89" t="str">
            <v>Insulation</v>
          </cell>
          <cell r="C89" t="str">
            <v>FUCHS</v>
          </cell>
          <cell r="D89" t="str">
            <v>€/kg</v>
          </cell>
          <cell r="E89">
            <v>2014</v>
          </cell>
          <cell r="F89">
            <v>3.34</v>
          </cell>
          <cell r="G89"/>
          <cell r="H89">
            <v>3.5199216354154168</v>
          </cell>
          <cell r="I89"/>
          <cell r="J89">
            <v>3.5199216354154168</v>
          </cell>
          <cell r="K89">
            <v>3.5199216354154168</v>
          </cell>
          <cell r="L89" t="str">
            <v>€/kg</v>
          </cell>
        </row>
        <row r="90">
          <cell r="B90" t="str">
            <v>Pneumatic Indoor Swing Doors</v>
          </cell>
          <cell r="C90" t="str">
            <v>MAN Turkey</v>
          </cell>
          <cell r="D90" t="str">
            <v>€/Piece</v>
          </cell>
          <cell r="E90">
            <v>2020</v>
          </cell>
          <cell r="F90">
            <v>980.56</v>
          </cell>
          <cell r="G90"/>
          <cell r="H90">
            <v>980.56</v>
          </cell>
          <cell r="I90"/>
          <cell r="J90">
            <v>980.56</v>
          </cell>
          <cell r="K90">
            <v>980.56</v>
          </cell>
          <cell r="L90" t="str">
            <v>€/Piece</v>
          </cell>
        </row>
        <row r="91">
          <cell r="B91" t="str">
            <v>Windows - Glass</v>
          </cell>
          <cell r="C91" t="str">
            <v>FUCHS</v>
          </cell>
          <cell r="D91" t="str">
            <v>€/kg</v>
          </cell>
          <cell r="E91">
            <v>2014</v>
          </cell>
          <cell r="F91">
            <v>2.25</v>
          </cell>
          <cell r="G91"/>
          <cell r="H91">
            <v>2.3913599344197629</v>
          </cell>
          <cell r="I91"/>
          <cell r="J91">
            <v>2.3913599344197629</v>
          </cell>
          <cell r="K91">
            <v>2.3913599344197629</v>
          </cell>
          <cell r="L91" t="str">
            <v>€/kg</v>
          </cell>
        </row>
        <row r="92">
          <cell r="B92" t="str">
            <v>Windows Lifter</v>
          </cell>
          <cell r="C92" t="str">
            <v>FTM14a</v>
          </cell>
          <cell r="D92" t="str">
            <v>€</v>
          </cell>
          <cell r="E92">
            <v>2012</v>
          </cell>
          <cell r="F92">
            <v>7</v>
          </cell>
          <cell r="G92"/>
          <cell r="H92">
            <v>7.4397864626392627</v>
          </cell>
          <cell r="I92"/>
          <cell r="J92">
            <v>7.4397864626392627</v>
          </cell>
          <cell r="K92">
            <v>7.4397864626392627</v>
          </cell>
          <cell r="L92" t="str">
            <v>€</v>
          </cell>
        </row>
        <row r="93">
          <cell r="B93" t="str">
            <v>Windshield Wiper</v>
          </cell>
          <cell r="C93" t="str">
            <v>FUCHS</v>
          </cell>
          <cell r="D93" t="str">
            <v>€</v>
          </cell>
          <cell r="E93">
            <v>2014</v>
          </cell>
          <cell r="F93">
            <v>15</v>
          </cell>
          <cell r="G93"/>
          <cell r="H93">
            <v>15.808031296775825</v>
          </cell>
          <cell r="I93"/>
          <cell r="J93">
            <v>15.808031296775825</v>
          </cell>
          <cell r="K93">
            <v>15.808031296775825</v>
          </cell>
          <cell r="L93" t="str">
            <v>€</v>
          </cell>
        </row>
        <row r="94">
          <cell r="B94" t="str">
            <v xml:space="preserve">Door- Tailgate -Hood Investmet </v>
          </cell>
          <cell r="C94" t="str">
            <v>FUCHS</v>
          </cell>
          <cell r="D94" t="str">
            <v>€/veh</v>
          </cell>
          <cell r="E94">
            <v>2014</v>
          </cell>
          <cell r="F94">
            <v>48.16</v>
          </cell>
          <cell r="G94"/>
          <cell r="H94">
            <v>50.75431915018158</v>
          </cell>
          <cell r="I94"/>
          <cell r="J94">
            <v>50.75431915018158</v>
          </cell>
          <cell r="K94">
            <v>50.75431915018158</v>
          </cell>
          <cell r="L94" t="str">
            <v>€/veh</v>
          </cell>
        </row>
        <row r="95">
          <cell r="B95" t="str">
            <v>Door- Tailgate -Hood Energy/Wage</v>
          </cell>
          <cell r="C95" t="str">
            <v>FUCHS</v>
          </cell>
          <cell r="D95" t="str">
            <v>€/veh</v>
          </cell>
          <cell r="E95">
            <v>2014</v>
          </cell>
          <cell r="F95">
            <v>34.93</v>
          </cell>
          <cell r="G95"/>
          <cell r="H95">
            <v>36.811635546425308</v>
          </cell>
          <cell r="I95"/>
          <cell r="J95">
            <v>36.811635546425308</v>
          </cell>
          <cell r="K95">
            <v>36.811635546425308</v>
          </cell>
          <cell r="L95" t="str">
            <v>€/veh</v>
          </cell>
        </row>
        <row r="96">
          <cell r="B96" t="str">
            <v>Aluminium</v>
          </cell>
          <cell r="C96" t="str">
            <v>FUCHS</v>
          </cell>
          <cell r="D96" t="str">
            <v>€/kg</v>
          </cell>
          <cell r="E96">
            <v>2014</v>
          </cell>
          <cell r="F96">
            <v>3.5</v>
          </cell>
          <cell r="G96"/>
          <cell r="H96">
            <v>3.6885406359143591</v>
          </cell>
          <cell r="I96"/>
          <cell r="J96">
            <v>3.6885406359143591</v>
          </cell>
          <cell r="K96">
            <v>3.6885406359143591</v>
          </cell>
          <cell r="L96" t="str">
            <v>€/kg</v>
          </cell>
        </row>
        <row r="97">
          <cell r="B97" t="str">
            <v>CRFP</v>
          </cell>
          <cell r="C97" t="str">
            <v>FUCHS</v>
          </cell>
          <cell r="D97" t="str">
            <v>€/kg</v>
          </cell>
          <cell r="E97">
            <v>2014</v>
          </cell>
          <cell r="F97">
            <v>13.5</v>
          </cell>
          <cell r="G97"/>
          <cell r="H97">
            <v>14.227228167098243</v>
          </cell>
          <cell r="I97"/>
          <cell r="J97">
            <v>14.227228167098243</v>
          </cell>
          <cell r="K97">
            <v>14.227228167098243</v>
          </cell>
          <cell r="L97" t="str">
            <v>€/kg</v>
          </cell>
        </row>
        <row r="98">
          <cell r="B98" t="str">
            <v>Steel</v>
          </cell>
          <cell r="C98" t="str">
            <v>FTM14b, HUS12, LAE12, THY13a, THY13b, THY13c, WOR13</v>
          </cell>
          <cell r="D98" t="str">
            <v>€/kg</v>
          </cell>
          <cell r="E98">
            <v>2012</v>
          </cell>
          <cell r="F98">
            <v>2</v>
          </cell>
          <cell r="G98">
            <v>3</v>
          </cell>
          <cell r="H98">
            <v>2.1256532750397894</v>
          </cell>
          <cell r="I98">
            <v>3.1884799125596839</v>
          </cell>
          <cell r="J98">
            <v>2.6570665937997369</v>
          </cell>
          <cell r="K98">
            <v>2.6570665937997369</v>
          </cell>
          <cell r="L98" t="str">
            <v>€/kg</v>
          </cell>
        </row>
        <row r="99">
          <cell r="B99" t="str">
            <v xml:space="preserve">Steel Scrap </v>
          </cell>
          <cell r="C99" t="str">
            <v>FUCHS</v>
          </cell>
          <cell r="D99" t="str">
            <v>€/kg</v>
          </cell>
          <cell r="E99">
            <v>2013</v>
          </cell>
          <cell r="F99">
            <v>0.22</v>
          </cell>
          <cell r="G99"/>
          <cell r="H99">
            <v>0.23382186025437685</v>
          </cell>
          <cell r="I99"/>
          <cell r="J99">
            <v>0.23382186025437685</v>
          </cell>
          <cell r="K99">
            <v>0.23382186025437685</v>
          </cell>
          <cell r="L99" t="str">
            <v>€/kg</v>
          </cell>
        </row>
        <row r="100">
          <cell r="B100" t="str">
            <v>Alu Scrap</v>
          </cell>
          <cell r="C100" t="str">
            <v>FUCHS</v>
          </cell>
          <cell r="D100" t="str">
            <v>€/kg</v>
          </cell>
          <cell r="E100">
            <v>2013</v>
          </cell>
          <cell r="F100">
            <v>0.7</v>
          </cell>
          <cell r="G100"/>
          <cell r="H100">
            <v>0.74397864626392629</v>
          </cell>
          <cell r="I100"/>
          <cell r="J100">
            <v>0.74397864626392629</v>
          </cell>
          <cell r="K100">
            <v>0.74397864626392629</v>
          </cell>
          <cell r="L100" t="str">
            <v>€/kg</v>
          </cell>
        </row>
        <row r="101">
          <cell r="B101" t="str">
            <v>Mix Scrap</v>
          </cell>
          <cell r="C101" t="str">
            <v>FUCHS</v>
          </cell>
          <cell r="D101" t="str">
            <v>€/kg</v>
          </cell>
          <cell r="E101">
            <v>2013</v>
          </cell>
          <cell r="F101">
            <v>0.11</v>
          </cell>
          <cell r="G101"/>
          <cell r="H101">
            <v>0.11691093012718842</v>
          </cell>
          <cell r="I101"/>
          <cell r="J101">
            <v>0.11691093012718842</v>
          </cell>
          <cell r="K101">
            <v>0.11691093012718842</v>
          </cell>
          <cell r="L101" t="str">
            <v>€/kg</v>
          </cell>
        </row>
        <row r="102">
          <cell r="B102" t="str">
            <v>Wage Costs per Vehicle</v>
          </cell>
          <cell r="C102" t="str">
            <v>FUCHS</v>
          </cell>
          <cell r="D102" t="str">
            <v>€/vehicle</v>
          </cell>
          <cell r="E102">
            <v>2014</v>
          </cell>
          <cell r="F102">
            <v>120.22</v>
          </cell>
          <cell r="G102">
            <v>147.62</v>
          </cell>
          <cell r="H102">
            <v>126.69610149989265</v>
          </cell>
          <cell r="I102">
            <v>155.57210533533649</v>
          </cell>
          <cell r="J102">
            <v>141.13410341761457</v>
          </cell>
          <cell r="K102">
            <v>141.13410341761457</v>
          </cell>
          <cell r="L102" t="str">
            <v>€/vehicle</v>
          </cell>
        </row>
        <row r="103">
          <cell r="B103" t="str">
            <v>Wage Costs</v>
          </cell>
          <cell r="C103" t="str">
            <v>FUCHS</v>
          </cell>
          <cell r="D103" t="str">
            <v>€/kg</v>
          </cell>
          <cell r="E103">
            <v>2014</v>
          </cell>
          <cell r="F103">
            <v>0.41</v>
          </cell>
          <cell r="G103">
            <v>0.6</v>
          </cell>
          <cell r="H103">
            <v>0.43208618877853922</v>
          </cell>
          <cell r="I103">
            <v>0.63232125187103294</v>
          </cell>
          <cell r="J103">
            <v>0.53220372032478602</v>
          </cell>
          <cell r="K103">
            <v>0.53220372032478602</v>
          </cell>
          <cell r="L103" t="str">
            <v>€/kg</v>
          </cell>
        </row>
        <row r="104">
          <cell r="B104" t="str">
            <v>Energy Costs</v>
          </cell>
          <cell r="C104" t="str">
            <v>FUCHS</v>
          </cell>
          <cell r="D104" t="str">
            <v>€</v>
          </cell>
          <cell r="E104">
            <v>2014</v>
          </cell>
          <cell r="F104">
            <v>24.39</v>
          </cell>
          <cell r="G104">
            <v>25.27</v>
          </cell>
          <cell r="H104">
            <v>25.703858888557491</v>
          </cell>
          <cell r="I104">
            <v>26.631263391301673</v>
          </cell>
          <cell r="J104">
            <v>26.167561139929582</v>
          </cell>
          <cell r="K104">
            <v>26.167561139929582</v>
          </cell>
          <cell r="L104" t="str">
            <v>€</v>
          </cell>
        </row>
        <row r="105">
          <cell r="B105" t="str">
            <v>Investment Costs per Vehicle</v>
          </cell>
          <cell r="C105" t="str">
            <v>FUCHS</v>
          </cell>
          <cell r="D105" t="str">
            <v>€/vehicle</v>
          </cell>
          <cell r="E105">
            <v>2013</v>
          </cell>
          <cell r="F105">
            <v>96.26</v>
          </cell>
          <cell r="G105">
            <v>175.86</v>
          </cell>
          <cell r="H105">
            <v>102.30769212766506</v>
          </cell>
          <cell r="I105">
            <v>186.90869247424871</v>
          </cell>
          <cell r="J105">
            <v>144.60819230095689</v>
          </cell>
          <cell r="K105">
            <v>144.60819230095689</v>
          </cell>
          <cell r="L105" t="str">
            <v>€/vehicle</v>
          </cell>
        </row>
        <row r="106">
          <cell r="B106" t="str">
            <v>Investment Costs</v>
          </cell>
          <cell r="C106" t="str">
            <v>FUCHS</v>
          </cell>
          <cell r="D106" t="str">
            <v>€/kg</v>
          </cell>
          <cell r="E106">
            <v>2013</v>
          </cell>
          <cell r="F106">
            <v>0.48</v>
          </cell>
          <cell r="G106">
            <v>0.5</v>
          </cell>
          <cell r="H106">
            <v>0.51015678600954939</v>
          </cell>
          <cell r="I106">
            <v>0.53141331875994735</v>
          </cell>
          <cell r="J106">
            <v>0.52078505238474837</v>
          </cell>
          <cell r="K106">
            <v>0.52078505238474837</v>
          </cell>
          <cell r="L106" t="str">
            <v>€/kg</v>
          </cell>
        </row>
        <row r="107">
          <cell r="B107" t="str">
            <v>Radar</v>
          </cell>
          <cell r="C107"/>
          <cell r="D107" t="str">
            <v>€/Piece</v>
          </cell>
          <cell r="E107">
            <v>2015</v>
          </cell>
          <cell r="F107">
            <v>50.46</v>
          </cell>
          <cell r="G107"/>
          <cell r="H107"/>
          <cell r="I107">
            <v>53.66116779248626</v>
          </cell>
          <cell r="J107">
            <v>53.66116779248626</v>
          </cell>
          <cell r="K107">
            <v>53.66116779248626</v>
          </cell>
          <cell r="L107" t="str">
            <v>€/Piece</v>
          </cell>
        </row>
        <row r="108">
          <cell r="B108" t="str">
            <v>Ultrasonic Sensors</v>
          </cell>
          <cell r="C108" t="str">
            <v>Lienkamp- FAS VL 2019</v>
          </cell>
          <cell r="D108" t="str">
            <v>€/Piece</v>
          </cell>
          <cell r="E108">
            <v>2019</v>
          </cell>
          <cell r="F108">
            <v>2</v>
          </cell>
          <cell r="G108">
            <v>10</v>
          </cell>
          <cell r="H108">
            <v>2.0266000000000002</v>
          </cell>
          <cell r="I108">
            <v>10.133000000000001</v>
          </cell>
          <cell r="J108">
            <v>6.0798000000000005</v>
          </cell>
          <cell r="K108">
            <v>6.0798000000000005</v>
          </cell>
          <cell r="L108" t="str">
            <v>€/Piece</v>
          </cell>
        </row>
        <row r="109">
          <cell r="B109" t="str">
            <v>Lidar -Mech</v>
          </cell>
          <cell r="C109" t="str">
            <v>https://www.engadget.com/2020/01/07/velodyne-velabit-ces-2020/?guccounter=1&amp;guce_referrer=aHR0cHM6Ly93d3cuZ29vZ2xlLmNvbS91cmw_c2E9dCZyY3Q9aiZxPSZlc3JjPXMmc291cmNlPXdlYiZjZD0xJnZlZD0yYWhVS0V3aUs1Tkt0OGRYbkFoVklkY0FLSGZUUkEzd1FGakFBZWdRSUJSQUImdXJsPWh0dHBzJTNBJTJGJTJGd3d3LmVuZ2FkZ2V0LmNvbSUyRjIwMjAlMkYwMSUyRjA3JTJGdmVsb2R5bmUtdmVsYWJpdC1jZXMtMjAyMCUyRiZ1c2c9QU92VmF3MzAzUWJuSzZaMFFmS19MZGpIc3RIWg&amp;guce_referrer_sig=AQAAAIM4_Ud8C7B1r-pjNC-2jLQeNwhkgim0hsmlfbqwLiweD0iVplAdTFCZtQ4pNZEVyfNgqs7HA9ehRBGOliZAMgP3r1ZgAIB9xPV1vZaOg1UDSlD9X1mNMhEQvfQ6tu75F9_db3bAnxo66xaEebiVcBJqrQTjn30861R7NQ7ynEIe</v>
          </cell>
          <cell r="D109" t="str">
            <v>€</v>
          </cell>
          <cell r="E109">
            <v>2011</v>
          </cell>
          <cell r="F109">
            <v>68807.34</v>
          </cell>
          <cell r="G109"/>
          <cell r="H109">
            <v>68807.34</v>
          </cell>
          <cell r="I109"/>
          <cell r="J109">
            <v>68807.34</v>
          </cell>
          <cell r="K109">
            <v>38118.879999999997</v>
          </cell>
          <cell r="L109" t="str">
            <v>€</v>
          </cell>
        </row>
        <row r="110">
          <cell r="B110" t="str">
            <v>Lidar -Mech</v>
          </cell>
          <cell r="C110" t="str">
            <v>Puck, Velodyn</v>
          </cell>
          <cell r="D110" t="str">
            <v>€</v>
          </cell>
          <cell r="E110">
            <v>2014</v>
          </cell>
          <cell r="F110">
            <v>7338.53</v>
          </cell>
          <cell r="G110"/>
          <cell r="H110">
            <v>7733.8474608218858</v>
          </cell>
          <cell r="I110"/>
          <cell r="J110">
            <v>7733.8474608218858</v>
          </cell>
          <cell r="K110"/>
          <cell r="L110"/>
        </row>
        <row r="111">
          <cell r="B111" t="str">
            <v>Lidar -Mech</v>
          </cell>
          <cell r="C111" t="str">
            <v>HDL-32E</v>
          </cell>
          <cell r="D111" t="str">
            <v>€</v>
          </cell>
          <cell r="E111">
            <v>2014</v>
          </cell>
          <cell r="F111">
            <v>32110</v>
          </cell>
          <cell r="G111"/>
          <cell r="H111">
            <v>33839.725662631448</v>
          </cell>
          <cell r="I111"/>
          <cell r="J111">
            <v>33839.725662631448</v>
          </cell>
          <cell r="K111"/>
          <cell r="L111"/>
        </row>
        <row r="112">
          <cell r="B112" t="str">
            <v>Lidar -Mech</v>
          </cell>
          <cell r="C112" t="str">
            <v>Velodyn Lidar                   https://www.mes-insights.com/lidar-systems-costs-integration-and-major-manufacturers-a-908358/</v>
          </cell>
          <cell r="D112" t="str">
            <v>$</v>
          </cell>
          <cell r="E112">
            <v>2015</v>
          </cell>
          <cell r="F112">
            <v>75000</v>
          </cell>
          <cell r="G112"/>
          <cell r="H112">
            <v>87734.57369710585</v>
          </cell>
          <cell r="I112"/>
          <cell r="J112">
            <v>87734.57369710585</v>
          </cell>
          <cell r="K112"/>
          <cell r="L112"/>
        </row>
        <row r="113">
          <cell r="B113" t="str">
            <v>Lidar -Mech</v>
          </cell>
          <cell r="C113" t="str">
            <v>https://medium.com/self-driving-cars/velodyne-lidar-price-reduction-d358f245f086</v>
          </cell>
          <cell r="D113" t="str">
            <v>€</v>
          </cell>
          <cell r="E113">
            <v>2015</v>
          </cell>
          <cell r="F113">
            <v>7338.53</v>
          </cell>
          <cell r="G113"/>
          <cell r="H113">
            <v>7338.53</v>
          </cell>
          <cell r="I113"/>
          <cell r="J113">
            <v>7338.53</v>
          </cell>
          <cell r="K113"/>
          <cell r="L113"/>
        </row>
        <row r="114">
          <cell r="B114" t="str">
            <v>Lidar -Mech</v>
          </cell>
          <cell r="C114" t="str">
            <v>https://medium.com/self-driving-cars/velodyne-lidar-price-reduction-d358f245f086</v>
          </cell>
          <cell r="D114" t="str">
            <v>€</v>
          </cell>
          <cell r="E114">
            <v>2018</v>
          </cell>
          <cell r="F114">
            <v>3669.73</v>
          </cell>
          <cell r="G114"/>
          <cell r="H114">
            <v>3669.73</v>
          </cell>
          <cell r="I114"/>
          <cell r="J114">
            <v>3669.73</v>
          </cell>
          <cell r="K114">
            <v>6431.9166599999999</v>
          </cell>
          <cell r="L114" t="str">
            <v>€</v>
          </cell>
        </row>
        <row r="115">
          <cell r="B115" t="str">
            <v>Lidar -Mech</v>
          </cell>
          <cell r="C115" t="str">
            <v>https://www.prnewswire.com/news-releases/robosense-worlds-leading-autonomous-driving-lidar-provider-receives-chinas-largest-funding-for-a-lidar-company-at-over-45-million-300728729.html</v>
          </cell>
          <cell r="D115" t="str">
            <v>€</v>
          </cell>
          <cell r="E115">
            <v>2018</v>
          </cell>
          <cell r="F115">
            <v>15412.84</v>
          </cell>
          <cell r="G115"/>
          <cell r="H115">
            <v>15412.84</v>
          </cell>
          <cell r="I115"/>
          <cell r="J115">
            <v>15412.84</v>
          </cell>
          <cell r="K115"/>
          <cell r="L115"/>
        </row>
        <row r="116">
          <cell r="B116" t="str">
            <v>Lidar -Mech</v>
          </cell>
          <cell r="C116" t="str">
            <v>https://www.general-laser.at/shop-de/lidar-de?start=0</v>
          </cell>
          <cell r="D116" t="str">
            <v>€</v>
          </cell>
          <cell r="E116">
            <v>2018</v>
          </cell>
          <cell r="F116">
            <v>3958</v>
          </cell>
          <cell r="G116"/>
          <cell r="H116">
            <v>3958</v>
          </cell>
          <cell r="I116"/>
          <cell r="J116">
            <v>3958</v>
          </cell>
          <cell r="K116"/>
          <cell r="L116"/>
        </row>
        <row r="117">
          <cell r="B117" t="str">
            <v>Lidar -Mech</v>
          </cell>
          <cell r="C117" t="str">
            <v>https://www.general-laser.at/shop-de/lidar-de?start=0</v>
          </cell>
          <cell r="D117" t="str">
            <v>€</v>
          </cell>
          <cell r="E117">
            <v>2018</v>
          </cell>
          <cell r="F117">
            <v>9118</v>
          </cell>
          <cell r="G117"/>
          <cell r="H117">
            <v>9118</v>
          </cell>
          <cell r="I117"/>
          <cell r="J117">
            <v>9118</v>
          </cell>
          <cell r="K117"/>
          <cell r="L117"/>
        </row>
        <row r="118">
          <cell r="B118" t="str">
            <v>Lidar -Mech</v>
          </cell>
          <cell r="C118" t="str">
            <v>Waymo                                 https://www.mes-insights.com/lidar-systems-costs-integration-and-major-manufacturers-a-908358/</v>
          </cell>
          <cell r="D118" t="str">
            <v>$</v>
          </cell>
          <cell r="E118">
            <v>2019</v>
          </cell>
          <cell r="F118">
            <v>7500</v>
          </cell>
          <cell r="G118"/>
          <cell r="H118">
            <v>1.0133000000000001</v>
          </cell>
          <cell r="I118"/>
          <cell r="J118">
            <v>1.0133000000000001</v>
          </cell>
          <cell r="K118"/>
          <cell r="L118"/>
        </row>
        <row r="119">
          <cell r="B119" t="str">
            <v>Lidar -Mech</v>
          </cell>
          <cell r="C119" t="str">
            <v>https://www.general-laser.at/shop-de/lidar-de?start=0</v>
          </cell>
          <cell r="D119" t="str">
            <v>€</v>
          </cell>
          <cell r="E119">
            <v>2020</v>
          </cell>
          <cell r="F119">
            <v>6562</v>
          </cell>
          <cell r="G119"/>
          <cell r="H119">
            <v>6562</v>
          </cell>
          <cell r="I119"/>
          <cell r="J119">
            <v>6562</v>
          </cell>
          <cell r="K119">
            <v>3055.1775000000002</v>
          </cell>
          <cell r="L119" t="str">
            <v>€</v>
          </cell>
        </row>
        <row r="120">
          <cell r="B120" t="str">
            <v>Lidar -Mech</v>
          </cell>
          <cell r="C120" t="str">
            <v>https://arstechnica.com/cars/2020/01/most-lidars-today-has-between-1-and-128-lasers-this-one-has-11000/</v>
          </cell>
          <cell r="D120" t="str">
            <v>€</v>
          </cell>
          <cell r="E120">
            <v>2020</v>
          </cell>
          <cell r="F120">
            <v>3000</v>
          </cell>
          <cell r="G120"/>
          <cell r="H120">
            <v>3000</v>
          </cell>
          <cell r="I120"/>
          <cell r="J120">
            <v>3000</v>
          </cell>
          <cell r="K120"/>
          <cell r="L120"/>
        </row>
        <row r="121">
          <cell r="B121" t="str">
            <v>Lidar -Mech</v>
          </cell>
          <cell r="C121" t="str">
            <v>https://www.businesswire.com/news/home/20200213005321/en/%C2%A0RoboSense-LiDAR-Announced-Finalist-Transportation-Logistics-Category</v>
          </cell>
          <cell r="D121" t="str">
            <v>€</v>
          </cell>
          <cell r="E121">
            <v>2020</v>
          </cell>
          <cell r="F121">
            <v>1741.28</v>
          </cell>
          <cell r="G121"/>
          <cell r="H121">
            <v>1741.28</v>
          </cell>
          <cell r="I121"/>
          <cell r="J121">
            <v>1741.28</v>
          </cell>
          <cell r="K121"/>
          <cell r="L121"/>
        </row>
        <row r="122">
          <cell r="B122" t="str">
            <v>Lidar -Mech</v>
          </cell>
          <cell r="C122" t="str">
            <v>https://venturebeat.com/2019/07/11/lidar-startup-luminar-raises-100-million-unveils-iris-sensors/</v>
          </cell>
          <cell r="D122" t="str">
            <v>€</v>
          </cell>
          <cell r="E122">
            <v>2022</v>
          </cell>
          <cell r="F122">
            <v>917.43</v>
          </cell>
          <cell r="G122"/>
          <cell r="H122">
            <v>917.43</v>
          </cell>
          <cell r="I122"/>
          <cell r="J122">
            <v>917.43</v>
          </cell>
          <cell r="K122"/>
          <cell r="L122"/>
        </row>
        <row r="123">
          <cell r="B123" t="str">
            <v>Lidar- Mems</v>
          </cell>
          <cell r="C123" t="str">
            <v>https://ieeexplore.ieee.org/stamp/stamp.jsp?tp=&amp;arnumber=7539258</v>
          </cell>
          <cell r="D123" t="str">
            <v>€</v>
          </cell>
          <cell r="E123">
            <v>2015</v>
          </cell>
          <cell r="F123">
            <v>300</v>
          </cell>
          <cell r="G123"/>
          <cell r="H123">
            <v>300</v>
          </cell>
          <cell r="I123"/>
          <cell r="J123">
            <v>300</v>
          </cell>
          <cell r="K123">
            <v>425.23</v>
          </cell>
          <cell r="L123" t="str">
            <v>€</v>
          </cell>
        </row>
        <row r="124">
          <cell r="B124" t="str">
            <v>Lidar- Mems</v>
          </cell>
          <cell r="C124" t="str">
            <v>http://www.woodsidecap.com/wp-content/uploads/2018/04/Yole_WCP-LiDAR-Report_April-2018-FINAL.pdf</v>
          </cell>
          <cell r="D124" t="str">
            <v>€</v>
          </cell>
          <cell r="E124">
            <v>2017</v>
          </cell>
          <cell r="F124">
            <v>550.46</v>
          </cell>
          <cell r="G124"/>
          <cell r="H124">
            <v>550.46</v>
          </cell>
          <cell r="I124"/>
          <cell r="J124">
            <v>550.46</v>
          </cell>
          <cell r="K124"/>
          <cell r="L124"/>
        </row>
        <row r="125">
          <cell r="B125" t="str">
            <v>Lidar- Mems</v>
          </cell>
          <cell r="C125" t="str">
            <v>https://www.spar3d.com/news/hardware/innoviz-offers-different-kind-solid-state-lidar-autonomous-driving/</v>
          </cell>
          <cell r="D125" t="str">
            <v>€</v>
          </cell>
          <cell r="E125">
            <v>2018</v>
          </cell>
          <cell r="F125">
            <v>100</v>
          </cell>
          <cell r="G125"/>
          <cell r="H125">
            <v>102.87021600000001</v>
          </cell>
          <cell r="I125"/>
          <cell r="J125">
            <v>102.87021600000001</v>
          </cell>
          <cell r="K125">
            <v>304.760108</v>
          </cell>
          <cell r="L125" t="str">
            <v>€</v>
          </cell>
        </row>
        <row r="126">
          <cell r="B126" t="str">
            <v>Lidar- Mems</v>
          </cell>
          <cell r="C126" t="str">
            <v>Luminar                                https://www.wired.com/story/lidar-cheap-make-self-driving-reality/</v>
          </cell>
          <cell r="D126" t="str">
            <v>$</v>
          </cell>
          <cell r="E126">
            <v>2019</v>
          </cell>
          <cell r="F126">
            <v>500</v>
          </cell>
          <cell r="G126"/>
          <cell r="H126">
            <v>506.65000000000003</v>
          </cell>
          <cell r="I126"/>
          <cell r="J126">
            <v>506.65000000000003</v>
          </cell>
          <cell r="K126"/>
          <cell r="L126"/>
        </row>
        <row r="127">
          <cell r="B127" t="str">
            <v>Lidar- Mems</v>
          </cell>
          <cell r="C127" t="str">
            <v>Velodyn Lidar                   https://www.spar3d.com/news/lidar/velodyne-releases-100-lidar-sensor/</v>
          </cell>
          <cell r="D127" t="str">
            <v>$</v>
          </cell>
          <cell r="E127">
            <v>2020</v>
          </cell>
          <cell r="F127">
            <v>100</v>
          </cell>
          <cell r="G127"/>
          <cell r="H127">
            <v>111.00000000000001</v>
          </cell>
          <cell r="I127"/>
          <cell r="J127">
            <v>111.00000000000001</v>
          </cell>
          <cell r="K127">
            <v>105.5</v>
          </cell>
          <cell r="L127" t="str">
            <v>€</v>
          </cell>
        </row>
        <row r="128">
          <cell r="B128" t="str">
            <v>Lidar- Mems</v>
          </cell>
          <cell r="C128" t="str">
            <v>https://www.engadget.com/2020/01/07/velodyne-velabit-ces-2020/?guccounter=1&amp;guce_referrer=aHR0cHM6Ly93d3cuZ29vZ2xlLmNvbS91cmw_c2E9dCZyY3Q9aiZxPSZlc3JjPXMmc291cmNlPXdlYiZjZD0xJnZlZD0yYWhVS0V3aUs1Tkt0OGRYbkFoVklkY0FLSGZUUkEzd1FGakFBZWdRSUJSQUImdXJsPWh0dHBzJTNBJTJGJTJGd3d3LmVuZ2FkZ2V0LmNvbSUyRjIwMjAlMkYwMSUyRjA3JTJGdmVsb2R5bmUtdmVsYWJpdC1jZXMtMjAyMCUyRiZ1c2c9QU92VmF3MzAzUWJuSzZaMFFmS19MZGpIc3RIWg&amp;guce_referrer_sig=AQAAAIM4_Ud8C7B1r-pjNC-2jLQeNwhkgim0hsmlfbqwLiweD0iVplAdTFCZtQ4pNZEVyfNgqs7HA9ehRBGOliZAMgP3r1ZgAIB9xPV1vZaOg1UDSlD9X1mNMhEQvfQ6tu75F9_db3bAnxo66xaEebiVcBJqrQTjn30861R7NQ7ynEIe</v>
          </cell>
          <cell r="D128" t="str">
            <v>€</v>
          </cell>
          <cell r="E128">
            <v>2020</v>
          </cell>
          <cell r="F128">
            <v>100</v>
          </cell>
          <cell r="G128"/>
          <cell r="H128">
            <v>100</v>
          </cell>
          <cell r="I128"/>
          <cell r="J128">
            <v>100</v>
          </cell>
          <cell r="K128"/>
          <cell r="L128"/>
        </row>
        <row r="129">
          <cell r="B129" t="str">
            <v>Surround Camera</v>
          </cell>
          <cell r="C129" t="str">
            <v>YOLE DEVELOPMENT AUTOMOTIVE TECHNOLOGY TREND  https://image.slidesharecdn.com/yolecameramoduleindustryaugust2015reportsample-150827081628-lva1-app6891/95/camera-module-industry-august-2015-report-by-yole-developpement-7-638.jpg?cb=1440663755</v>
          </cell>
          <cell r="D129" t="str">
            <v>€2011/Piece</v>
          </cell>
          <cell r="E129">
            <v>2011</v>
          </cell>
          <cell r="F129">
            <v>40</v>
          </cell>
          <cell r="G129"/>
          <cell r="H129">
            <v>42.51306550079579</v>
          </cell>
          <cell r="I129"/>
          <cell r="J129">
            <v>42.51306550079579</v>
          </cell>
          <cell r="K129">
            <v>35.385705572788531</v>
          </cell>
          <cell r="L129" t="str">
            <v>€</v>
          </cell>
        </row>
        <row r="130">
          <cell r="B130" t="str">
            <v>Surround Camera</v>
          </cell>
          <cell r="C130" t="str">
            <v>YOLE DEVELOPMENT AUTOMOTIVE TECHNOLOGY TREND  https://image.slidesharecdn.com/yolecameramoduleindustryaugust2015reportsample-150827081628-lva1-app6891/95/camera-module-industry-august-2015-report-by-yole-developpement-7-638.jpg?cb=1440663756</v>
          </cell>
          <cell r="D130" t="str">
            <v>€2012/Piece</v>
          </cell>
          <cell r="E130">
            <v>2012</v>
          </cell>
          <cell r="F130">
            <v>36</v>
          </cell>
          <cell r="G130"/>
          <cell r="H130">
            <v>38.261758950716207</v>
          </cell>
          <cell r="I130"/>
          <cell r="J130">
            <v>38.261758950716207</v>
          </cell>
          <cell r="K130"/>
          <cell r="L130"/>
        </row>
        <row r="131">
          <cell r="B131" t="str">
            <v>Surround Camera</v>
          </cell>
          <cell r="C131" t="str">
            <v>YOLE DEVELOPMENT AUTOMOTIVE TECHNOLOGY TREND  https://image.slidesharecdn.com/yolecameramoduleindustryaugust2015reportsample-150827081628-lva1-app6891/95/camera-module-industry-august-2015-report-by-yole-developpement-7-638.jpg?cb=1440663757</v>
          </cell>
          <cell r="D131" t="str">
            <v>€2013/Piece</v>
          </cell>
          <cell r="E131">
            <v>2013</v>
          </cell>
          <cell r="F131">
            <v>34</v>
          </cell>
          <cell r="G131"/>
          <cell r="H131">
            <v>36.136105675676419</v>
          </cell>
          <cell r="I131"/>
          <cell r="J131">
            <v>36.136105675676419</v>
          </cell>
          <cell r="K131"/>
          <cell r="L131"/>
        </row>
        <row r="132">
          <cell r="B132" t="str">
            <v>Surround Camera</v>
          </cell>
          <cell r="C132" t="str">
            <v>YOLE DEVELOPMENT AUTOMOTIVE TECHNOLOGY TREND  https://image.slidesharecdn.com/yolecameramoduleindustryaugust2015reportsample-150827081628-lva1-app6891/95/camera-module-industry-august-2015-report-by-yole-developpement-7-638.jpg?cb=1440663758</v>
          </cell>
          <cell r="D132" t="str">
            <v>€2014/Piece</v>
          </cell>
          <cell r="E132">
            <v>2014</v>
          </cell>
          <cell r="F132">
            <v>32</v>
          </cell>
          <cell r="G132"/>
          <cell r="H132">
            <v>33.723800099788427</v>
          </cell>
          <cell r="I132"/>
          <cell r="J132">
            <v>33.723800099788427</v>
          </cell>
          <cell r="K132"/>
          <cell r="L132"/>
        </row>
        <row r="133">
          <cell r="B133" t="str">
            <v>Surround Camera</v>
          </cell>
          <cell r="C133" t="str">
            <v>YOLE DEVELOPMENT AUTOMOTIVE TECHNOLOGY TREND  https://image.slidesharecdn.com/yolecameramoduleindustryaugust2015reportsample-150827081628-lva1-app6891/95/camera-module-industry-august-2015-report-by-yole-developpement-7-638.jpg?cb=1440663759</v>
          </cell>
          <cell r="D133" t="str">
            <v>€2015/Piece</v>
          </cell>
          <cell r="E133">
            <v>2015</v>
          </cell>
          <cell r="F133">
            <v>30</v>
          </cell>
          <cell r="G133"/>
          <cell r="H133">
            <v>31.903191315390167</v>
          </cell>
          <cell r="I133"/>
          <cell r="J133">
            <v>31.903191315390167</v>
          </cell>
          <cell r="K133"/>
          <cell r="L133"/>
        </row>
        <row r="134">
          <cell r="B134" t="str">
            <v>Surround Camera</v>
          </cell>
          <cell r="C134" t="str">
            <v>YOLE DEVELOPMENT AUTOMOTIVE TECHNOLOGY TREND  https://image.slidesharecdn.com/yolecameramoduleindustryaugust2015reportsample-150827081628-lva1-app6891/95/camera-module-industry-august-2015-report-by-yole-developpement-7-638.jpg?cb=1440663760</v>
          </cell>
          <cell r="D134" t="str">
            <v>€2015/Piece</v>
          </cell>
          <cell r="E134">
            <v>2016</v>
          </cell>
          <cell r="F134">
            <v>28</v>
          </cell>
          <cell r="G134"/>
          <cell r="H134">
            <v>29.776311894364156</v>
          </cell>
          <cell r="I134"/>
          <cell r="J134">
            <v>29.776311894364156</v>
          </cell>
          <cell r="K134"/>
          <cell r="L134"/>
        </row>
        <row r="135">
          <cell r="B135" t="str">
            <v>Surround Camera</v>
          </cell>
          <cell r="C135" t="str">
            <v>YOLE DEVELOPMENT AUTOMOTIVE TECHNOLOGY TREND  https://image.slidesharecdn.com/yolecameramoduleindustryaugust2015reportsample-150827081628-lva1-app6891/95/camera-module-industry-august-2015-report-by-yole-developpement-7-638.jpg?cb=1440663761</v>
          </cell>
          <cell r="D135" t="str">
            <v>€2015/Piece</v>
          </cell>
          <cell r="E135">
            <v>2017</v>
          </cell>
          <cell r="F135">
            <v>27</v>
          </cell>
          <cell r="G135"/>
          <cell r="H135">
            <v>28.71287218385115</v>
          </cell>
          <cell r="I135"/>
          <cell r="J135">
            <v>28.71287218385115</v>
          </cell>
          <cell r="K135">
            <v>27.117712618081644</v>
          </cell>
          <cell r="L135" t="str">
            <v>€</v>
          </cell>
        </row>
        <row r="136">
          <cell r="B136" t="str">
            <v>Surround Camera</v>
          </cell>
          <cell r="C136" t="str">
            <v>YOLE DEVELOPMENT AUTOMOTIVE TECHNOLOGY TREND  https://image.slidesharecdn.com/yolecameramoduleindustryaugust2015reportsample-150827081628-lva1-app6891/95/camera-module-industry-august-2015-report-by-yole-developpement-7-638.jpg?cb=1440663762</v>
          </cell>
          <cell r="D136" t="str">
            <v>€2015/Piece</v>
          </cell>
          <cell r="E136">
            <v>2018</v>
          </cell>
          <cell r="F136">
            <v>26</v>
          </cell>
          <cell r="G136"/>
          <cell r="H136">
            <v>27.649432473338145</v>
          </cell>
          <cell r="I136"/>
          <cell r="J136">
            <v>27.649432473338145</v>
          </cell>
          <cell r="K136"/>
          <cell r="L136"/>
        </row>
        <row r="137">
          <cell r="B137" t="str">
            <v>Surround Camera</v>
          </cell>
          <cell r="C137" t="str">
            <v>YOLE DEVELOPMENT AUTOMOTIVE TECHNOLOGY TREND  https://image.slidesharecdn.com/yolecameramoduleindustryaugust2015reportsample-150827081628-lva1-app6891/95/camera-module-industry-august-2015-report-by-yole-developpement-7-638.jpg?cb=1440663763</v>
          </cell>
          <cell r="D137" t="str">
            <v>€2015/Piece</v>
          </cell>
          <cell r="E137">
            <v>2019</v>
          </cell>
          <cell r="F137">
            <v>25</v>
          </cell>
          <cell r="G137"/>
          <cell r="H137">
            <v>26.585992762825139</v>
          </cell>
          <cell r="I137"/>
          <cell r="J137">
            <v>26.585992762825139</v>
          </cell>
          <cell r="K137"/>
          <cell r="L137"/>
        </row>
        <row r="138">
          <cell r="B138" t="str">
            <v>Surround Camera</v>
          </cell>
          <cell r="C138" t="str">
            <v>YOLE DEVELOPMENT AUTOMOTIVE TECHNOLOGY TREND  https://image.slidesharecdn.com/yolecameramoduleindustryaugust2015reportsample-150827081628-lva1-app6891/95/camera-module-industry-august-2015-report-by-yole-developpement-7-638.jpg?cb=1440663764</v>
          </cell>
          <cell r="D138" t="str">
            <v>€2015/Piece</v>
          </cell>
          <cell r="E138">
            <v>2020</v>
          </cell>
          <cell r="F138">
            <v>24</v>
          </cell>
          <cell r="G138"/>
          <cell r="H138">
            <v>25.522553052312134</v>
          </cell>
          <cell r="I138"/>
          <cell r="J138">
            <v>25.522553052312134</v>
          </cell>
          <cell r="K138"/>
          <cell r="L138"/>
        </row>
        <row r="139">
          <cell r="B139" t="str">
            <v>Surround Camera</v>
          </cell>
          <cell r="C139" t="str">
            <v>YOLE DEVELOPMENT AUTOMOTIVE TECHNOLOGY TREND  https://image.slidesharecdn.com/yolecameramoduleindustryaugust2015reportsample-150827081628-lva1-app6891/95/camera-module-industry-august-2015-report-by-yole-developpement-7-638.jpg?cb=1440663765</v>
          </cell>
          <cell r="D139" t="str">
            <v>€2015/Piece</v>
          </cell>
          <cell r="E139">
            <v>2021</v>
          </cell>
          <cell r="F139">
            <v>23</v>
          </cell>
          <cell r="G139"/>
          <cell r="H139">
            <v>24.459113341799128</v>
          </cell>
          <cell r="I139"/>
          <cell r="J139">
            <v>24.459113341799128</v>
          </cell>
          <cell r="K139">
            <v>23.927393486542627</v>
          </cell>
          <cell r="L139" t="str">
            <v>€</v>
          </cell>
        </row>
        <row r="140">
          <cell r="B140" t="str">
            <v>Surround Camera</v>
          </cell>
          <cell r="C140" t="str">
            <v>YOLE DEVELOPMENT AUTOMOTIVE TECHNOLOGY TREND  https://image.slidesharecdn.com/yolecameramoduleindustryaugust2015reportsample-150827081628-lva1-app6891/95/camera-module-industry-august-2015-report-by-yole-developpement-7-638.jpg?cb=1440663766</v>
          </cell>
          <cell r="D140" t="str">
            <v>€2015/Piece</v>
          </cell>
          <cell r="E140">
            <v>2022</v>
          </cell>
          <cell r="F140">
            <v>23</v>
          </cell>
          <cell r="G140"/>
          <cell r="H140">
            <v>24.459113341799128</v>
          </cell>
          <cell r="I140"/>
          <cell r="J140">
            <v>24.459113341799128</v>
          </cell>
          <cell r="K140"/>
          <cell r="L140"/>
        </row>
        <row r="141">
          <cell r="B141" t="str">
            <v>Surround Camera</v>
          </cell>
          <cell r="C141" t="str">
            <v>YOLE DEVELOPMENT AUTOMOTIVE TECHNOLOGY TREND  https://image.slidesharecdn.com/yolecameramoduleindustryaugust2015reportsample-150827081628-lva1-app6891/95/camera-module-industry-august-2015-report-by-yole-developpement-7-638.jpg?cb=1440663767</v>
          </cell>
          <cell r="D141" t="str">
            <v>€2015/Piece</v>
          </cell>
          <cell r="E141">
            <v>2023</v>
          </cell>
          <cell r="F141">
            <v>22</v>
          </cell>
          <cell r="G141"/>
          <cell r="H141">
            <v>23.395673631286122</v>
          </cell>
          <cell r="I141"/>
          <cell r="J141">
            <v>23.395673631286122</v>
          </cell>
          <cell r="K141"/>
          <cell r="L141"/>
        </row>
        <row r="142">
          <cell r="B142" t="str">
            <v>Surround Camera</v>
          </cell>
          <cell r="C142" t="str">
            <v>YOLE DEVELOPMENT AUTOMOTIVE TECHNOLOGY TREND  https://image.slidesharecdn.com/yolecameramoduleindustryaugust2015reportsample-150827081628-lva1-app6891/95/camera-module-industry-august-2015-report-by-yole-developpement-7-638.jpg?cb=1440663768</v>
          </cell>
          <cell r="D142" t="str">
            <v>€2015/Piece</v>
          </cell>
          <cell r="E142">
            <v>2024</v>
          </cell>
          <cell r="F142">
            <v>22</v>
          </cell>
          <cell r="G142"/>
          <cell r="H142">
            <v>23.395673631286122</v>
          </cell>
          <cell r="I142"/>
          <cell r="J142">
            <v>23.395673631286122</v>
          </cell>
          <cell r="K142"/>
          <cell r="L142"/>
        </row>
        <row r="143">
          <cell r="B143" t="str">
            <v>Front Camera</v>
          </cell>
          <cell r="C143" t="str">
            <v>YOLE DEVELOPMENT AUTOMOTIVE TECHNOLOGY TREND  https://image.slidesharecdn.com/yolecameramoduleindustryaugust2015reportsample-150827081628-lva1-app6891/95/camera-module-industry-august-2015-report-by-yole-developpement-7-638.jpg?cb=1440663755</v>
          </cell>
          <cell r="D143" t="str">
            <v>€2011/Piece</v>
          </cell>
          <cell r="E143">
            <v>2011</v>
          </cell>
          <cell r="F143">
            <v>40</v>
          </cell>
          <cell r="G143"/>
          <cell r="H143">
            <v>42.51306550079579</v>
          </cell>
          <cell r="I143"/>
          <cell r="J143">
            <v>42.51306550079579</v>
          </cell>
          <cell r="K143">
            <v>38.393488379717148</v>
          </cell>
          <cell r="L143" t="str">
            <v>€</v>
          </cell>
        </row>
        <row r="144">
          <cell r="B144" t="str">
            <v>Front Camera</v>
          </cell>
          <cell r="C144" t="str">
            <v>YOLE DEVELOPMENT AUTOMOTIVE TECHNOLOGY TREND  https://image.slidesharecdn.com/yolecameramoduleindustryaugust2015reportsample-150827081628-lva1-app6891/95/camera-module-industry-august-2015-report-by-yole-developpement-7-638.jpg?cb=1440663756</v>
          </cell>
          <cell r="D144" t="str">
            <v>€2012/Piece</v>
          </cell>
          <cell r="E144">
            <v>2012</v>
          </cell>
          <cell r="F144">
            <v>38</v>
          </cell>
          <cell r="G144"/>
          <cell r="H144">
            <v>40.387412225756002</v>
          </cell>
          <cell r="I144"/>
          <cell r="J144">
            <v>40.387412225756002</v>
          </cell>
          <cell r="K144"/>
          <cell r="L144"/>
        </row>
        <row r="145">
          <cell r="B145" t="str">
            <v>Front Camera</v>
          </cell>
          <cell r="C145" t="str">
            <v>YOLE DEVELOPMENT AUTOMOTIVE TECHNOLOGY TREND  https://image.slidesharecdn.com/yolecameramoduleindustryaugust2015reportsample-150827081628-lva1-app6891/95/camera-module-industry-august-2015-report-by-yole-developpement-7-638.jpg?cb=1440663757</v>
          </cell>
          <cell r="D145" t="str">
            <v>€2013/Piece</v>
          </cell>
          <cell r="E145">
            <v>2013</v>
          </cell>
          <cell r="F145">
            <v>37</v>
          </cell>
          <cell r="G145"/>
          <cell r="H145">
            <v>39.324585588236104</v>
          </cell>
          <cell r="I145"/>
          <cell r="J145">
            <v>39.324585588236104</v>
          </cell>
          <cell r="K145"/>
          <cell r="L145"/>
        </row>
        <row r="146">
          <cell r="B146" t="str">
            <v>Front Camera</v>
          </cell>
          <cell r="C146" t="str">
            <v>YOLE DEVELOPMENT AUTOMOTIVE TECHNOLOGY TREND  https://image.slidesharecdn.com/yolecameramoduleindustryaugust2015reportsample-150827081628-lva1-app6891/95/camera-module-industry-august-2015-report-by-yole-developpement-7-638.jpg?cb=1440663758</v>
          </cell>
          <cell r="D146" t="str">
            <v>€2014/Piece</v>
          </cell>
          <cell r="E146">
            <v>2014</v>
          </cell>
          <cell r="F146">
            <v>35</v>
          </cell>
          <cell r="G146"/>
          <cell r="H146">
            <v>36.885406359143595</v>
          </cell>
          <cell r="I146"/>
          <cell r="J146">
            <v>36.885406359143595</v>
          </cell>
          <cell r="K146"/>
          <cell r="L146"/>
        </row>
        <row r="147">
          <cell r="B147" t="str">
            <v>Front Camera</v>
          </cell>
          <cell r="C147" t="str">
            <v>YOLE DEVELOPMENT AUTOMOTIVE TECHNOLOGY TREND  https://image.slidesharecdn.com/yolecameramoduleindustryaugust2015reportsample-150827081628-lva1-app6891/95/camera-module-industry-august-2015-report-by-yole-developpement-7-638.jpg?cb=1440663759</v>
          </cell>
          <cell r="D147" t="str">
            <v>€2015/Piece</v>
          </cell>
          <cell r="E147">
            <v>2015</v>
          </cell>
          <cell r="F147">
            <v>34</v>
          </cell>
          <cell r="G147"/>
          <cell r="H147">
            <v>36.156950157442189</v>
          </cell>
          <cell r="I147"/>
          <cell r="J147">
            <v>36.156950157442189</v>
          </cell>
          <cell r="K147"/>
          <cell r="L147"/>
        </row>
        <row r="148">
          <cell r="B148" t="str">
            <v>Front Camera</v>
          </cell>
          <cell r="C148" t="str">
            <v>YOLE DEVELOPMENT AUTOMOTIVE TECHNOLOGY TREND  https://image.slidesharecdn.com/yolecameramoduleindustryaugust2015reportsample-150827081628-lva1-app6891/95/camera-module-industry-august-2015-report-by-yole-developpement-7-638.jpg?cb=1440663760</v>
          </cell>
          <cell r="D148" t="str">
            <v>€2015/Piece</v>
          </cell>
          <cell r="E148">
            <v>2016</v>
          </cell>
          <cell r="F148">
            <v>33</v>
          </cell>
          <cell r="G148"/>
          <cell r="H148">
            <v>35.093510446929187</v>
          </cell>
          <cell r="I148"/>
          <cell r="J148">
            <v>35.093510446929187</v>
          </cell>
          <cell r="K148"/>
          <cell r="L148"/>
        </row>
        <row r="149">
          <cell r="B149" t="str">
            <v>Front Camera</v>
          </cell>
          <cell r="C149" t="str">
            <v>YOLE DEVELOPMENT AUTOMOTIVE TECHNOLOGY TREND  https://image.slidesharecdn.com/yolecameramoduleindustryaugust2015reportsample-150827081628-lva1-app6891/95/camera-module-industry-august-2015-report-by-yole-developpement-7-638.jpg?cb=1440663761</v>
          </cell>
          <cell r="D149" t="str">
            <v>€2015/Piece</v>
          </cell>
          <cell r="E149">
            <v>2017</v>
          </cell>
          <cell r="F149">
            <v>33</v>
          </cell>
          <cell r="G149"/>
          <cell r="H149">
            <v>35.093510446929187</v>
          </cell>
          <cell r="I149"/>
          <cell r="J149">
            <v>35.093510446929187</v>
          </cell>
          <cell r="K149">
            <v>34.561790591672683</v>
          </cell>
          <cell r="L149" t="str">
            <v>€</v>
          </cell>
        </row>
        <row r="150">
          <cell r="B150" t="str">
            <v>Front Camera</v>
          </cell>
          <cell r="C150" t="str">
            <v>YOLE DEVELOPMENT AUTOMOTIVE TECHNOLOGY TREND  https://image.slidesharecdn.com/yolecameramoduleindustryaugust2015reportsample-150827081628-lva1-app6891/95/camera-module-industry-august-2015-report-by-yole-developpement-7-638.jpg?cb=1440663762</v>
          </cell>
          <cell r="D150" t="str">
            <v>€2015/Piece</v>
          </cell>
          <cell r="E150">
            <v>2018</v>
          </cell>
          <cell r="F150">
            <v>33</v>
          </cell>
          <cell r="G150"/>
          <cell r="H150">
            <v>35.093510446929187</v>
          </cell>
          <cell r="I150"/>
          <cell r="J150">
            <v>35.093510446929187</v>
          </cell>
          <cell r="K150"/>
          <cell r="L150"/>
        </row>
        <row r="151">
          <cell r="B151" t="str">
            <v>Front Camera</v>
          </cell>
          <cell r="C151" t="str">
            <v>YOLE DEVELOPMENT AUTOMOTIVE TECHNOLOGY TREND  https://image.slidesharecdn.com/yolecameramoduleindustryaugust2015reportsample-150827081628-lva1-app6891/95/camera-module-industry-august-2015-report-by-yole-developpement-7-638.jpg?cb=1440663763</v>
          </cell>
          <cell r="D151" t="str">
            <v>€2015/Piece</v>
          </cell>
          <cell r="E151">
            <v>2019</v>
          </cell>
          <cell r="F151">
            <v>32</v>
          </cell>
          <cell r="G151"/>
          <cell r="H151">
            <v>34.030070736416178</v>
          </cell>
          <cell r="I151"/>
          <cell r="J151">
            <v>34.030070736416178</v>
          </cell>
          <cell r="K151"/>
          <cell r="L151"/>
        </row>
        <row r="152">
          <cell r="B152" t="str">
            <v>Front Camera</v>
          </cell>
          <cell r="C152" t="str">
            <v>YOLE DEVELOPMENT AUTOMOTIVE TECHNOLOGY TREND  https://image.slidesharecdn.com/yolecameramoduleindustryaugust2015reportsample-150827081628-lva1-app6891/95/camera-module-industry-august-2015-report-by-yole-developpement-7-638.jpg?cb=1440663764</v>
          </cell>
          <cell r="D152" t="str">
            <v>€2015/Piece</v>
          </cell>
          <cell r="E152">
            <v>2020</v>
          </cell>
          <cell r="F152">
            <v>32</v>
          </cell>
          <cell r="G152"/>
          <cell r="H152">
            <v>34.030070736416178</v>
          </cell>
          <cell r="I152"/>
          <cell r="J152">
            <v>34.030070736416178</v>
          </cell>
          <cell r="K152"/>
          <cell r="L152"/>
        </row>
        <row r="153">
          <cell r="B153" t="str">
            <v>Front Camera</v>
          </cell>
          <cell r="C153" t="str">
            <v>YOLE DEVELOPMENT AUTOMOTIVE TECHNOLOGY TREND  https://image.slidesharecdn.com/yolecameramoduleindustryaugust2015reportsample-150827081628-lva1-app6891/95/camera-module-industry-august-2015-report-by-yole-developpement-7-638.jpg?cb=1440663765</v>
          </cell>
          <cell r="D153" t="str">
            <v>€2015/Piece</v>
          </cell>
          <cell r="E153">
            <v>2021</v>
          </cell>
          <cell r="F153">
            <v>32</v>
          </cell>
          <cell r="G153"/>
          <cell r="H153">
            <v>34.030070736416178</v>
          </cell>
          <cell r="I153"/>
          <cell r="J153">
            <v>34.030070736416178</v>
          </cell>
          <cell r="K153">
            <v>34.561790591672683</v>
          </cell>
          <cell r="L153" t="str">
            <v>€</v>
          </cell>
        </row>
        <row r="154">
          <cell r="B154" t="str">
            <v>Front Camera</v>
          </cell>
          <cell r="C154" t="str">
            <v>YOLE DEVELOPMENT AUTOMOTIVE TECHNOLOGY TREND  https://image.slidesharecdn.com/yolecameramoduleindustryaugust2015reportsample-150827081628-lva1-app6891/95/camera-module-industry-august-2015-report-by-yole-developpement-7-638.jpg?cb=1440663766</v>
          </cell>
          <cell r="D154" t="str">
            <v>€2015/Piece</v>
          </cell>
          <cell r="E154">
            <v>2022</v>
          </cell>
          <cell r="F154">
            <v>32</v>
          </cell>
          <cell r="G154"/>
          <cell r="H154">
            <v>34.030070736416178</v>
          </cell>
          <cell r="I154"/>
          <cell r="J154">
            <v>34.030070736416178</v>
          </cell>
          <cell r="K154"/>
          <cell r="L154"/>
        </row>
        <row r="155">
          <cell r="B155" t="str">
            <v>Front Camera</v>
          </cell>
          <cell r="C155" t="str">
            <v>YOLE DEVELOPMENT AUTOMOTIVE TECHNOLOGY TREND  https://image.slidesharecdn.com/yolecameramoduleindustryaugust2015reportsample-150827081628-lva1-app6891/95/camera-module-industry-august-2015-report-by-yole-developpement-7-638.jpg?cb=1440663767</v>
          </cell>
          <cell r="D155" t="str">
            <v>€2015/Piece</v>
          </cell>
          <cell r="E155">
            <v>2023</v>
          </cell>
          <cell r="F155">
            <v>33</v>
          </cell>
          <cell r="G155"/>
          <cell r="H155">
            <v>35.093510446929187</v>
          </cell>
          <cell r="I155"/>
          <cell r="J155">
            <v>35.093510446929187</v>
          </cell>
          <cell r="K155"/>
          <cell r="L155"/>
        </row>
        <row r="156">
          <cell r="B156" t="str">
            <v>Front Camera</v>
          </cell>
          <cell r="C156" t="str">
            <v>YOLE DEVELOPMENT AUTOMOTIVE TECHNOLOGY TREND  https://image.slidesharecdn.com/yolecameramoduleindustryaugust2015reportsample-150827081628-lva1-app6891/95/camera-module-industry-august-2015-report-by-yole-developpement-7-638.jpg?cb=1440663768</v>
          </cell>
          <cell r="D156" t="str">
            <v>€2015/Piece</v>
          </cell>
          <cell r="E156">
            <v>2024</v>
          </cell>
          <cell r="F156">
            <v>33</v>
          </cell>
          <cell r="G156"/>
          <cell r="H156">
            <v>35.093510446929187</v>
          </cell>
          <cell r="I156"/>
          <cell r="J156">
            <v>35.093510446929187</v>
          </cell>
          <cell r="K156"/>
          <cell r="L156"/>
        </row>
        <row r="157">
          <cell r="B157" t="str">
            <v>Computer</v>
          </cell>
          <cell r="C157"/>
          <cell r="D157" t="str">
            <v>€/Piece</v>
          </cell>
          <cell r="E157">
            <v>2021</v>
          </cell>
          <cell r="F157">
            <v>729</v>
          </cell>
          <cell r="G157"/>
          <cell r="H157">
            <v>729</v>
          </cell>
          <cell r="I157"/>
          <cell r="J157">
            <v>729</v>
          </cell>
          <cell r="K157">
            <v>729</v>
          </cell>
          <cell r="L157" t="str">
            <v>€/Piece</v>
          </cell>
        </row>
        <row r="158">
          <cell r="B158" t="str">
            <v>GPS receiver</v>
          </cell>
          <cell r="C158"/>
          <cell r="D158" t="str">
            <v>$/Piece</v>
          </cell>
          <cell r="E158">
            <v>2019</v>
          </cell>
          <cell r="F158">
            <v>595</v>
          </cell>
          <cell r="G158"/>
          <cell r="H158">
            <v>669.23398500000008</v>
          </cell>
          <cell r="I158"/>
          <cell r="J158">
            <v>669.23398500000008</v>
          </cell>
          <cell r="K158">
            <v>669.23398500000008</v>
          </cell>
          <cell r="L158" t="str">
            <v>$/Piece</v>
          </cell>
        </row>
        <row r="159">
          <cell r="B159" t="str">
            <v>GPS Subscription</v>
          </cell>
          <cell r="C159"/>
          <cell r="D159" t="str">
            <v>$/Piece</v>
          </cell>
          <cell r="E159">
            <v>2019</v>
          </cell>
          <cell r="F159">
            <v>495</v>
          </cell>
          <cell r="G159"/>
          <cell r="H159">
            <v>556.75768500000015</v>
          </cell>
          <cell r="I159"/>
          <cell r="J159">
            <v>556.75768500000015</v>
          </cell>
          <cell r="K159">
            <v>556.75768500000015</v>
          </cell>
          <cell r="L159" t="str">
            <v>$/Piece</v>
          </cell>
        </row>
        <row r="160">
          <cell r="B160" t="str">
            <v>5G</v>
          </cell>
          <cell r="C160"/>
          <cell r="D160" t="str">
            <v>€/Piece</v>
          </cell>
          <cell r="E160">
            <v>2018</v>
          </cell>
          <cell r="F160">
            <v>100</v>
          </cell>
          <cell r="G160"/>
          <cell r="H160">
            <v>102.87021600000001</v>
          </cell>
          <cell r="I160"/>
          <cell r="J160">
            <v>102.87021600000001</v>
          </cell>
          <cell r="K160">
            <v>102.87021600000001</v>
          </cell>
          <cell r="L160" t="str">
            <v>€/Piece</v>
          </cell>
        </row>
        <row r="161">
          <cell r="B161" t="str">
            <v>C2X</v>
          </cell>
          <cell r="C161" t="str">
            <v>https://www.itscosts.its.dot.gov/ITS/benecost.nsf/ID/8C2875E02CD554D3852582910068E4F8?OpenDocument&amp;Query=CApp</v>
          </cell>
          <cell r="D161" t="str">
            <v>€</v>
          </cell>
          <cell r="E161">
            <v>2018</v>
          </cell>
          <cell r="F161">
            <v>162.38999999999999</v>
          </cell>
          <cell r="G161"/>
          <cell r="H161">
            <v>167.05094376240001</v>
          </cell>
          <cell r="I161"/>
          <cell r="J161">
            <v>167.05094376240001</v>
          </cell>
          <cell r="K161">
            <v>167.05094376240001</v>
          </cell>
          <cell r="L161" t="str">
            <v>€</v>
          </cell>
        </row>
        <row r="162">
          <cell r="B162" t="str">
            <v>C2X</v>
          </cell>
          <cell r="C162" t="str">
            <v>https://www.itscosts.its.dot.gov/ITS/benecost.nsf/ID/8C2875E02CD554D3852582910068E4F8?OpenDocument&amp;Query=CApp</v>
          </cell>
          <cell r="D162" t="str">
            <v>€</v>
          </cell>
          <cell r="E162">
            <v>2020</v>
          </cell>
          <cell r="F162">
            <v>128</v>
          </cell>
          <cell r="G162"/>
          <cell r="H162">
            <v>128</v>
          </cell>
          <cell r="I162"/>
          <cell r="J162">
            <v>128</v>
          </cell>
          <cell r="K162">
            <v>128</v>
          </cell>
          <cell r="L162" t="str">
            <v>€</v>
          </cell>
        </row>
        <row r="163">
          <cell r="B163" t="str">
            <v>C2X</v>
          </cell>
          <cell r="C163" t="str">
            <v>https://www.itscosts.its.dot.gov/ITS/benecost.nsf/ID/8C2875E02CD554D3852582910068E4F8?OpenDocument&amp;Query=CApp</v>
          </cell>
          <cell r="D163" t="str">
            <v>€</v>
          </cell>
          <cell r="E163">
            <v>2025</v>
          </cell>
          <cell r="F163">
            <v>101.01</v>
          </cell>
          <cell r="G163"/>
          <cell r="H163">
            <v>101.01</v>
          </cell>
          <cell r="I163"/>
          <cell r="J163">
            <v>101.01</v>
          </cell>
          <cell r="K163">
            <v>101.01</v>
          </cell>
          <cell r="L163" t="str">
            <v>€</v>
          </cell>
        </row>
        <row r="164">
          <cell r="B164" t="str">
            <v>Final Assembly and Lacquer</v>
          </cell>
          <cell r="C164" t="str">
            <v xml:space="preserve">Fuchs </v>
          </cell>
          <cell r="D164" t="str">
            <v>€/h</v>
          </cell>
          <cell r="E164">
            <v>2014</v>
          </cell>
          <cell r="F164">
            <v>52.42</v>
          </cell>
          <cell r="G164"/>
          <cell r="H164">
            <v>55.24380003846592</v>
          </cell>
          <cell r="J164">
            <v>55.24380003846592</v>
          </cell>
          <cell r="K164">
            <v>55.24380003846592</v>
          </cell>
          <cell r="L164" t="str">
            <v>€/h</v>
          </cell>
        </row>
        <row r="165">
          <cell r="B165"/>
        </row>
        <row r="166">
          <cell r="B166"/>
        </row>
        <row r="167">
          <cell r="B167"/>
        </row>
        <row r="168">
          <cell r="B168"/>
        </row>
        <row r="169">
          <cell r="B169"/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ngadget.com/2020/01/07/velodyne-velabit-ces-2020/?guccounter=1&amp;guce_referrer=aHR0cHM6Ly93d3cuZ29vZ2xlLmNvbS91cmw_c2E9dCZyY3Q9aiZxPSZlc3JjPXMmc291cmNlPXdlYiZjZD0xJnZlZD0yYWhVS0V3aUs1Tkt0OGRYbkFoVklkY0FLSGZUUkEzd1FGakFBZWdRSUJSQUImdXJsPWh0dHBzJTNBJTJGJTJGd3d3LmVuZ2FkZ2V0LmNvbSUyRjIwMjAlMkYwMSUyRjA3JTJGdmVsb2R5bmUtdmVsYWJpdC1jZXMtMjAyMCUyRiZ1c2c9QU92VmF3MzAzUWJuSzZaMFFmS19MZGpIc3RIWg&amp;guce_referrer_sig=AQAAAIM4_Ud8C7B1r-pjNC-2jLQeNwhkgim0hsmlfbqwLiweD0iVplAdTFCZtQ4pNZEVyfNgqs7HA9ehRBGOliZAMgP3r1ZgAIB9xPV1vZaOg1UDSlD9X1mNMhEQvfQ6tu75F9_db3bAnxo66xaEebiVcBJqrQTjn30861R7NQ7ynEI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bout.bnef.com/blog/behind-scenes-take-lithium-ion-battery-prices/" TargetMode="External"/><Relationship Id="rId3" Type="http://schemas.openxmlformats.org/officeDocument/2006/relationships/hyperlink" Target="https://www.nature.com/articles/d41586-021-02222-1" TargetMode="External"/><Relationship Id="rId7" Type="http://schemas.openxmlformats.org/officeDocument/2006/relationships/hyperlink" Target="https://about.bnef.com/blog/battery-pack-prices-cited-below-100-kwh-for-the-first-time-in-2020-while-market-average-sits-at-137-kwh/" TargetMode="External"/><Relationship Id="rId2" Type="http://schemas.openxmlformats.org/officeDocument/2006/relationships/hyperlink" Target="https://www.straitstimes.com/business/companies-markets/why-building-an-electric-car-is-so-expensive-for-now" TargetMode="External"/><Relationship Id="rId1" Type="http://schemas.openxmlformats.org/officeDocument/2006/relationships/hyperlink" Target="https://mackinstitute.wharton.upenn.edu/2021/electric-vehicle-battery-costs-decline/" TargetMode="External"/><Relationship Id="rId6" Type="http://schemas.openxmlformats.org/officeDocument/2006/relationships/hyperlink" Target="https://about.bnef.com/blog/battery-pack-prices-cited-below-100-kwh-for-the-first-time-in-2020-while-market-average-sits-at-137-kwh/" TargetMode="External"/><Relationship Id="rId11" Type="http://schemas.openxmlformats.org/officeDocument/2006/relationships/hyperlink" Target="https://www.researchgate.net/publication/319136996_An_Overview_of_Costs_for_Vehicle_Components_Fuels_Greenhouse_Gas_Emissions_and_Total_Cost_of_Ownership_-_Update_2017" TargetMode="External"/><Relationship Id="rId5" Type="http://schemas.openxmlformats.org/officeDocument/2006/relationships/hyperlink" Target="https://about.bnef.com/blog/behind-scenes-take-lithium-ion-battery-prices/" TargetMode="External"/><Relationship Id="rId10" Type="http://schemas.openxmlformats.org/officeDocument/2006/relationships/hyperlink" Target="https://www.researchgate.net/publication/332170448_Update_on_electric_vehicle_costs_in_the_United_States_through_2030" TargetMode="External"/><Relationship Id="rId4" Type="http://schemas.openxmlformats.org/officeDocument/2006/relationships/hyperlink" Target="https://battery2030.eu/digitalAssets/861/c_861008-l_1-k_roadmap-27-march.pdf" TargetMode="External"/><Relationship Id="rId9" Type="http://schemas.openxmlformats.org/officeDocument/2006/relationships/hyperlink" Target="https://www.researchgate.net/publication/350963556_Evaluating_electric_vehicle_costs_and_benefits_in_China_in_the_2020-2035_time_fr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0E19-4DBC-48CF-BE30-40D06BE43C31}">
  <dimension ref="B3:F13"/>
  <sheetViews>
    <sheetView workbookViewId="0">
      <selection activeCell="D21" sqref="D21"/>
    </sheetView>
  </sheetViews>
  <sheetFormatPr baseColWidth="10" defaultRowHeight="14.5" x14ac:dyDescent="0.35"/>
  <cols>
    <col min="2" max="2" width="19.90625" customWidth="1"/>
  </cols>
  <sheetData>
    <row r="3" spans="2:6" x14ac:dyDescent="0.35">
      <c r="B3" t="s">
        <v>412</v>
      </c>
    </row>
    <row r="6" spans="2:6" x14ac:dyDescent="0.35">
      <c r="B6" s="1" t="s">
        <v>399</v>
      </c>
      <c r="C6" s="1"/>
      <c r="D6" s="1"/>
      <c r="E6" s="1"/>
      <c r="F6" s="1"/>
    </row>
    <row r="7" spans="2:6" x14ac:dyDescent="0.35">
      <c r="B7" s="1"/>
      <c r="C7" s="1"/>
      <c r="D7" s="1"/>
      <c r="E7" s="1"/>
      <c r="F7" s="1"/>
    </row>
    <row r="8" spans="2:6" x14ac:dyDescent="0.35">
      <c r="B8" t="s">
        <v>400</v>
      </c>
      <c r="C8" t="s">
        <v>401</v>
      </c>
    </row>
    <row r="9" spans="2:6" x14ac:dyDescent="0.35">
      <c r="B9" t="s">
        <v>402</v>
      </c>
      <c r="C9" t="s">
        <v>403</v>
      </c>
    </row>
    <row r="10" spans="2:6" x14ac:dyDescent="0.35">
      <c r="B10" t="s">
        <v>404</v>
      </c>
      <c r="C10" t="s">
        <v>405</v>
      </c>
    </row>
    <row r="11" spans="2:6" x14ac:dyDescent="0.35">
      <c r="B11" t="s">
        <v>406</v>
      </c>
      <c r="C11" t="s">
        <v>407</v>
      </c>
    </row>
    <row r="12" spans="2:6" x14ac:dyDescent="0.35">
      <c r="B12" s="1" t="s">
        <v>408</v>
      </c>
      <c r="C12" s="1" t="s">
        <v>409</v>
      </c>
    </row>
    <row r="13" spans="2:6" x14ac:dyDescent="0.35">
      <c r="B13" t="s">
        <v>410</v>
      </c>
      <c r="C13" t="s">
        <v>411</v>
      </c>
    </row>
  </sheetData>
  <pageMargins left="0.7" right="0.7" top="0.78740157499999996" bottom="0.78740157499999996" header="0.3" footer="0.3"/>
  <pageSetup paperSize="9" orientation="portrait" horizontalDpi="12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45AD-E126-4F3E-B9DB-68857484E798}">
  <dimension ref="B7:K98"/>
  <sheetViews>
    <sheetView tabSelected="1" zoomScaleNormal="100" workbookViewId="0">
      <selection activeCell="C15" sqref="C15"/>
    </sheetView>
  </sheetViews>
  <sheetFormatPr baseColWidth="10" defaultRowHeight="14.5" x14ac:dyDescent="0.35"/>
  <cols>
    <col min="2" max="2" width="23.36328125" customWidth="1"/>
    <col min="3" max="3" width="25.1796875" customWidth="1"/>
    <col min="4" max="4" width="13.1796875" bestFit="1" customWidth="1"/>
    <col min="5" max="6" width="15.1796875" bestFit="1" customWidth="1"/>
  </cols>
  <sheetData>
    <row r="7" spans="2:11" x14ac:dyDescent="0.35">
      <c r="D7" s="285"/>
      <c r="E7" s="285"/>
      <c r="F7" s="285"/>
    </row>
    <row r="8" spans="2:11" x14ac:dyDescent="0.35">
      <c r="B8" s="1" t="s">
        <v>507</v>
      </c>
      <c r="C8" s="1" t="s">
        <v>508</v>
      </c>
      <c r="D8" s="144" t="s">
        <v>504</v>
      </c>
      <c r="E8" s="144" t="s">
        <v>505</v>
      </c>
      <c r="F8" s="144" t="s">
        <v>506</v>
      </c>
      <c r="G8" s="1" t="s">
        <v>16</v>
      </c>
    </row>
    <row r="9" spans="2:11" ht="14.25" customHeight="1" x14ac:dyDescent="0.35">
      <c r="B9" s="227" t="s">
        <v>1</v>
      </c>
      <c r="C9" s="185" t="s">
        <v>500</v>
      </c>
      <c r="D9" s="66">
        <f>'PSM + Inverter'!F41</f>
        <v>188.69249646676928</v>
      </c>
      <c r="E9" s="194">
        <f>'PSM + Inverter'!F44</f>
        <v>186.05080151623451</v>
      </c>
      <c r="F9" s="194">
        <f>'PSM + Inverter'!F47</f>
        <v>183.40910656569974</v>
      </c>
      <c r="G9" s="120" t="s">
        <v>138</v>
      </c>
      <c r="K9" s="238"/>
    </row>
    <row r="10" spans="2:11" ht="14.25" customHeight="1" x14ac:dyDescent="0.35">
      <c r="B10" s="227"/>
      <c r="C10" s="185" t="s">
        <v>501</v>
      </c>
      <c r="D10" s="66">
        <f>'PSM + Inverter'!G41</f>
        <v>4.5814962666097578</v>
      </c>
      <c r="E10" s="194">
        <f>'PSM + Inverter'!G44</f>
        <v>4.5173553188772209</v>
      </c>
      <c r="F10" s="194">
        <f>'PSM + Inverter'!G47</f>
        <v>4.4532143711446848</v>
      </c>
      <c r="G10" s="120" t="s">
        <v>17</v>
      </c>
      <c r="K10" s="238"/>
    </row>
    <row r="11" spans="2:11" x14ac:dyDescent="0.35">
      <c r="B11" s="227"/>
      <c r="C11" s="186" t="s">
        <v>502</v>
      </c>
      <c r="D11" s="66">
        <f>'PSM + Inverter'!F12</f>
        <v>323.96480287047751</v>
      </c>
      <c r="E11" s="194">
        <f>'PSM + Inverter'!F15</f>
        <v>319.42929563029082</v>
      </c>
      <c r="F11" s="194">
        <f>'PSM + Inverter'!F18</f>
        <v>314.89378839010413</v>
      </c>
      <c r="G11" s="120" t="s">
        <v>138</v>
      </c>
      <c r="K11" s="238"/>
    </row>
    <row r="12" spans="2:11" x14ac:dyDescent="0.35">
      <c r="B12" s="227"/>
      <c r="C12" s="186" t="s">
        <v>503</v>
      </c>
      <c r="D12" s="66">
        <f>'PSM + Inverter'!G12</f>
        <v>5.7355893952624113</v>
      </c>
      <c r="E12" s="194">
        <f>'PSM + Inverter'!G15</f>
        <v>5.6552911437287374</v>
      </c>
      <c r="F12" s="194">
        <f>'PSM + Inverter'!G18</f>
        <v>5.5749928921950636</v>
      </c>
      <c r="G12" s="120" t="s">
        <v>17</v>
      </c>
      <c r="K12" s="238"/>
    </row>
    <row r="13" spans="2:11" x14ac:dyDescent="0.35">
      <c r="B13" s="227"/>
      <c r="C13" s="185" t="s">
        <v>281</v>
      </c>
      <c r="D13" s="66">
        <v>3.21</v>
      </c>
      <c r="E13" s="194">
        <v>3.17</v>
      </c>
      <c r="F13" s="194">
        <v>3.1309999999999998</v>
      </c>
      <c r="G13" s="120" t="str">
        <f>VLOOKUP(C13,DB!B32:L251,11,FALSE)</f>
        <v>€/kW</v>
      </c>
      <c r="K13" s="238"/>
    </row>
    <row r="14" spans="2:11" x14ac:dyDescent="0.35">
      <c r="B14" s="227"/>
      <c r="C14" s="249" t="s">
        <v>282</v>
      </c>
      <c r="D14" s="66">
        <v>205.54175386368004</v>
      </c>
      <c r="E14" s="66">
        <v>162.17859999999999</v>
      </c>
      <c r="F14" s="66">
        <v>143.52039999999997</v>
      </c>
      <c r="G14" s="120" t="str">
        <f>VLOOKUP(C14,[1]DB!B33:L258,11,FALSE)</f>
        <v>€/kWh</v>
      </c>
      <c r="I14" s="236"/>
      <c r="J14" s="238"/>
    </row>
    <row r="15" spans="2:11" x14ac:dyDescent="0.35">
      <c r="B15" s="227"/>
      <c r="C15" s="349" t="s">
        <v>283</v>
      </c>
      <c r="D15" s="66">
        <f>VLOOKUP(C15,DB!B34:K248,10,FALSE)</f>
        <v>1.5951595657695083</v>
      </c>
      <c r="E15" s="194">
        <f>VLOOKUP(C15,DB!B34:L175,10,FALSE)</f>
        <v>1.5951595657695083</v>
      </c>
      <c r="F15" s="194">
        <f>VLOOKUP(C15,DB!B34:L175,10,FALSE)</f>
        <v>1.5951595657695083</v>
      </c>
      <c r="G15" s="120" t="str">
        <f>VLOOKUP(C15,DB!B34:L253,11,FALSE)</f>
        <v>€/ kW</v>
      </c>
      <c r="I15" s="236"/>
      <c r="J15" s="238"/>
    </row>
    <row r="16" spans="2:11" x14ac:dyDescent="0.35">
      <c r="B16" s="227"/>
      <c r="C16" s="185" t="s">
        <v>395</v>
      </c>
      <c r="D16" s="66">
        <f>VLOOKUP(C16,DB!B35:K249,10,FALSE)</f>
        <v>531.4133187599474</v>
      </c>
      <c r="E16" s="194">
        <f>VLOOKUP(C16,DB!B35:L176,10,FALSE)</f>
        <v>531.4133187599474</v>
      </c>
      <c r="F16" s="194">
        <f>VLOOKUP(C16,DB!B35:L176,10,FALSE)</f>
        <v>531.4133187599474</v>
      </c>
      <c r="G16" s="120" t="str">
        <f>VLOOKUP(C16,DB!B35:L254,11,FALSE)</f>
        <v>€</v>
      </c>
      <c r="I16" s="238"/>
      <c r="J16" s="238"/>
    </row>
    <row r="17" spans="2:10" x14ac:dyDescent="0.35">
      <c r="B17" s="227"/>
      <c r="C17" s="186" t="s">
        <v>292</v>
      </c>
      <c r="D17" s="66">
        <f>VLOOKUP(C17,DB!B35:K249,10,FALSE)</f>
        <v>1.4648775668345597</v>
      </c>
      <c r="E17" s="194">
        <f>VLOOKUP(C17,DB!B35:L176,10,FALSE)</f>
        <v>1.4648775668345597</v>
      </c>
      <c r="F17" s="194">
        <f>VLOOKUP(C17,DB!B35:L176,10,FALSE)</f>
        <v>1.4648775668345597</v>
      </c>
      <c r="G17" s="120" t="str">
        <f>VLOOKUP(C17,DB!B35:L254,11,FALSE)</f>
        <v xml:space="preserve">€/kg </v>
      </c>
      <c r="I17" s="236"/>
      <c r="J17" s="238"/>
    </row>
    <row r="18" spans="2:10" x14ac:dyDescent="0.35">
      <c r="B18" s="227"/>
      <c r="C18" s="185" t="s">
        <v>291</v>
      </c>
      <c r="D18" s="66">
        <f>VLOOKUP(C18,DB!B36:K250,10,FALSE)</f>
        <v>3.1500137030708628</v>
      </c>
      <c r="E18" s="194">
        <f>VLOOKUP(C18,DB!B36:L177,10,FALSE)</f>
        <v>3.1500137030708628</v>
      </c>
      <c r="F18" s="194">
        <f>VLOOKUP(C18,DB!B36:L177,10,FALSE)</f>
        <v>3.1500137030708628</v>
      </c>
      <c r="G18" s="120" t="str">
        <f>VLOOKUP(C18,DB!B36:L255,11,FALSE)</f>
        <v xml:space="preserve">€/kg </v>
      </c>
      <c r="I18" s="236"/>
      <c r="J18" s="237"/>
    </row>
    <row r="19" spans="2:10" x14ac:dyDescent="0.35">
      <c r="B19" s="227"/>
      <c r="C19" s="186" t="s">
        <v>293</v>
      </c>
      <c r="D19" s="66">
        <f>VLOOKUP(C19,DB!B37:K251,10,FALSE)</f>
        <v>6.1545935182113878</v>
      </c>
      <c r="E19" s="194">
        <f>VLOOKUP(C19,DB!B37:L178,10,FALSE)</f>
        <v>6.1545935182113878</v>
      </c>
      <c r="F19" s="194">
        <f>VLOOKUP(C19,DB!B37:L178,10,FALSE)</f>
        <v>6.1545935182113878</v>
      </c>
      <c r="G19" s="120" t="str">
        <f>VLOOKUP(C19,DB!B37:L256,11,FALSE)</f>
        <v xml:space="preserve">€/kg </v>
      </c>
      <c r="I19" s="236"/>
    </row>
    <row r="20" spans="2:10" x14ac:dyDescent="0.35">
      <c r="B20" s="227"/>
      <c r="C20" s="185" t="s">
        <v>294</v>
      </c>
      <c r="D20" s="66">
        <f>VLOOKUP(C20,DB!B38:K252,10,FALSE)</f>
        <v>3.1510675718239813</v>
      </c>
      <c r="E20" s="194">
        <f>VLOOKUP(C20,DB!B38:L179,10,FALSE)</f>
        <v>3.1510675718239813</v>
      </c>
      <c r="F20" s="194">
        <f>VLOOKUP(C20,DB!B38:L179,10,FALSE)</f>
        <v>3.1510675718239813</v>
      </c>
      <c r="G20" s="120" t="str">
        <f>VLOOKUP(C20,DB!B38:L257,11,FALSE)</f>
        <v xml:space="preserve">€/kg </v>
      </c>
      <c r="I20" s="236"/>
    </row>
    <row r="21" spans="2:10" x14ac:dyDescent="0.35">
      <c r="B21" s="227"/>
      <c r="C21" s="186" t="s">
        <v>295</v>
      </c>
      <c r="D21" s="66">
        <f>VLOOKUP(C21,DB!B39:K253,10,FALSE)</f>
        <v>3.6885406359143591</v>
      </c>
      <c r="E21" s="194">
        <f>VLOOKUP(C21,DB!B39:L180,10,FALSE)</f>
        <v>3.6885406359143591</v>
      </c>
      <c r="F21" s="194">
        <f>VLOOKUP(C21,DB!B39:L180,10,FALSE)</f>
        <v>3.6885406359143591</v>
      </c>
      <c r="G21" s="120" t="str">
        <f>VLOOKUP(C21,DB!B39:L258,11,FALSE)</f>
        <v xml:space="preserve">€/kg </v>
      </c>
    </row>
    <row r="22" spans="2:10" ht="14.25" customHeight="1" x14ac:dyDescent="0.35">
      <c r="B22" s="227" t="s">
        <v>173</v>
      </c>
      <c r="C22" s="349" t="s">
        <v>284</v>
      </c>
      <c r="D22" s="66">
        <f>VLOOKUP(C22,DB!B40:K254,10,FALSE)</f>
        <v>7.0931428691217473</v>
      </c>
      <c r="E22" s="194">
        <f>VLOOKUP(C22,DB!B40:L181,10,FALSE)</f>
        <v>7.0931428691217473</v>
      </c>
      <c r="F22" s="194">
        <f>VLOOKUP(C22,DB!B40:L181,10,FALSE)</f>
        <v>7.0931428691217473</v>
      </c>
      <c r="G22" s="120" t="str">
        <f>VLOOKUP(C22,DB!B40:L259,11,FALSE)</f>
        <v>€/kg</v>
      </c>
    </row>
    <row r="23" spans="2:10" x14ac:dyDescent="0.35">
      <c r="B23" s="227"/>
      <c r="C23" s="186" t="s">
        <v>285</v>
      </c>
      <c r="D23" s="66">
        <f>VLOOKUP(C23,DB!B41:K255,10,FALSE)</f>
        <v>211.66953906382832</v>
      </c>
      <c r="E23" s="194">
        <f>VLOOKUP(C23,DB!B41:L182,10,FALSE)</f>
        <v>211.66953906382832</v>
      </c>
      <c r="F23" s="194">
        <f>VLOOKUP(C23,DB!B41:L182,10,FALSE)</f>
        <v>211.66953906382832</v>
      </c>
      <c r="G23" s="120" t="str">
        <f>VLOOKUP(C23,DB!B41:L260,11,FALSE)</f>
        <v>€</v>
      </c>
    </row>
    <row r="24" spans="2:10" x14ac:dyDescent="0.35">
      <c r="B24" s="227"/>
      <c r="C24" s="185" t="s">
        <v>339</v>
      </c>
      <c r="D24" s="66">
        <f>VLOOKUP(C24,DB!B42:K256,10,FALSE)</f>
        <v>500</v>
      </c>
      <c r="E24" s="194">
        <f>VLOOKUP(C24,DB!B42:L183,10,FALSE)</f>
        <v>500</v>
      </c>
      <c r="F24" s="194">
        <f>VLOOKUP(C24,DB!B42:L183,10,FALSE)</f>
        <v>500</v>
      </c>
      <c r="G24" s="120" t="str">
        <f>VLOOKUP(C24,DB!B42:L261,11,FALSE)</f>
        <v>€</v>
      </c>
    </row>
    <row r="25" spans="2:10" x14ac:dyDescent="0.35">
      <c r="B25" s="227"/>
      <c r="C25" s="186" t="s">
        <v>286</v>
      </c>
      <c r="D25" s="66">
        <f>VLOOKUP(C25,DB!B43:K257,10,FALSE)</f>
        <v>263.46718827959711</v>
      </c>
      <c r="E25" s="194">
        <f>VLOOKUP(C25,DB!B43:L184,10,FALSE)</f>
        <v>263.46718827959711</v>
      </c>
      <c r="F25" s="194">
        <f>VLOOKUP(C25,DB!B43:L184,10,FALSE)</f>
        <v>263.46718827959711</v>
      </c>
      <c r="G25" s="120" t="str">
        <f>VLOOKUP(C25,DB!B43:L262,11,FALSE)</f>
        <v>€</v>
      </c>
    </row>
    <row r="26" spans="2:10" x14ac:dyDescent="0.35">
      <c r="B26" s="227"/>
      <c r="C26" s="185" t="s">
        <v>287</v>
      </c>
      <c r="D26" s="66">
        <f>VLOOKUP(C26,DB!B44:K258,10,FALSE)</f>
        <v>168.61900049894214</v>
      </c>
      <c r="E26" s="194">
        <f>VLOOKUP(C26,DB!B44:L185,10,FALSE)</f>
        <v>168.61900049894214</v>
      </c>
      <c r="F26" s="194">
        <f>VLOOKUP(C26,DB!B44:L185,10,FALSE)</f>
        <v>168.61900049894214</v>
      </c>
      <c r="G26" s="120" t="str">
        <f>VLOOKUP(C26,DB!B44:L263,11,FALSE)</f>
        <v>€</v>
      </c>
    </row>
    <row r="27" spans="2:10" x14ac:dyDescent="0.35">
      <c r="B27" s="227"/>
      <c r="C27" s="187" t="s">
        <v>288</v>
      </c>
      <c r="D27" s="66">
        <f>VLOOKUP(C27,DB!B45:K259,10,FALSE)</f>
        <v>6.1545935182113878</v>
      </c>
      <c r="E27" s="194">
        <f>VLOOKUP(C27,DB!B45:L186,10,FALSE)</f>
        <v>6.1545935182113878</v>
      </c>
      <c r="F27" s="194">
        <f>VLOOKUP(C27,DB!B45:L186,10,FALSE)</f>
        <v>6.1545935182113878</v>
      </c>
      <c r="G27" s="120" t="str">
        <f>VLOOKUP(C27,DB!B45:L264,11,FALSE)</f>
        <v>€/kg</v>
      </c>
    </row>
    <row r="28" spans="2:10" x14ac:dyDescent="0.35">
      <c r="B28" s="227"/>
      <c r="C28" s="185" t="s">
        <v>289</v>
      </c>
      <c r="D28" s="66">
        <f>VLOOKUP(C28,DB!B46:K260,10,FALSE)</f>
        <v>3.5199216354154168</v>
      </c>
      <c r="E28" s="194">
        <f>VLOOKUP(C28,DB!B46:L187,10,FALSE)</f>
        <v>3.5199216354154168</v>
      </c>
      <c r="F28" s="194">
        <f>VLOOKUP(C28,DB!B46:L187,10,FALSE)</f>
        <v>3.5199216354154168</v>
      </c>
      <c r="G28" s="120" t="str">
        <f>VLOOKUP(C28,DB!B46:L265,11,FALSE)</f>
        <v>€/kg</v>
      </c>
    </row>
    <row r="29" spans="2:10" ht="14.25" customHeight="1" x14ac:dyDescent="0.35">
      <c r="B29" s="227"/>
      <c r="C29" s="187" t="s">
        <v>290</v>
      </c>
      <c r="D29" s="66">
        <f>VLOOKUP(C29,DB!B47:K261,10,FALSE)</f>
        <v>3.5093829478842333</v>
      </c>
      <c r="E29" s="194">
        <f>VLOOKUP(C29,DB!B47:L188,10,FALSE)</f>
        <v>3.5093829478842333</v>
      </c>
      <c r="F29" s="194">
        <f>VLOOKUP(C29,DB!B47:L188,10,FALSE)</f>
        <v>3.5093829478842333</v>
      </c>
      <c r="G29" s="120" t="str">
        <f>VLOOKUP(C29,DB!B47:L266,11,FALSE)</f>
        <v>€/kg</v>
      </c>
    </row>
    <row r="30" spans="2:10" ht="14.25" customHeight="1" x14ac:dyDescent="0.35">
      <c r="B30" s="227" t="s">
        <v>363</v>
      </c>
      <c r="C30" s="185" t="s">
        <v>296</v>
      </c>
      <c r="D30" s="66">
        <f>VLOOKUP(C30,DB!B48:K262,10,FALSE)</f>
        <v>131.73359413979856</v>
      </c>
      <c r="E30" s="194">
        <f>VLOOKUP(C30,DB!B48:L189,10,FALSE)</f>
        <v>131.73359413979856</v>
      </c>
      <c r="F30" s="194">
        <f>VLOOKUP(C30,DB!B48:L189,10,FALSE)</f>
        <v>131.73359413979856</v>
      </c>
      <c r="G30" s="120" t="str">
        <f>VLOOKUP(C30,DB!B48:L267,11,FALSE)</f>
        <v>€</v>
      </c>
    </row>
    <row r="31" spans="2:10" x14ac:dyDescent="0.35">
      <c r="B31" s="227"/>
      <c r="C31" s="187" t="s">
        <v>297</v>
      </c>
      <c r="D31" s="66">
        <f>VLOOKUP(C31,DB!B49:K263,10,FALSE)</f>
        <v>79.04015648387913</v>
      </c>
      <c r="E31" s="194">
        <f>VLOOKUP(C31,DB!B49:L190,10,FALSE)</f>
        <v>79.04015648387913</v>
      </c>
      <c r="F31" s="194">
        <f>VLOOKUP(C31,DB!B49:L190,10,FALSE)</f>
        <v>79.04015648387913</v>
      </c>
      <c r="G31" s="120" t="str">
        <f>VLOOKUP(C31,DB!B49:L268,11,FALSE)</f>
        <v>€</v>
      </c>
    </row>
    <row r="32" spans="2:10" x14ac:dyDescent="0.35">
      <c r="B32" s="227"/>
      <c r="C32" s="185" t="s">
        <v>298</v>
      </c>
      <c r="D32" s="66">
        <f>VLOOKUP(C32,DB!B50:K264,10,FALSE)</f>
        <v>52.693437655919418</v>
      </c>
      <c r="E32" s="194">
        <f>VLOOKUP(C32,DB!B50:L191,10,FALSE)</f>
        <v>52.693437655919418</v>
      </c>
      <c r="F32" s="194">
        <f>VLOOKUP(C32,DB!B50:L191,10,FALSE)</f>
        <v>52.693437655919418</v>
      </c>
      <c r="G32" s="120" t="str">
        <f>VLOOKUP(C32,DB!B50:L269,11,FALSE)</f>
        <v>€</v>
      </c>
    </row>
    <row r="33" spans="2:7" ht="14.25" customHeight="1" x14ac:dyDescent="0.35">
      <c r="B33" s="227"/>
      <c r="C33" s="187" t="s">
        <v>299</v>
      </c>
      <c r="D33" s="66">
        <f>VLOOKUP(C33,DB!B51:K265,10,FALSE)</f>
        <v>210.77375062367767</v>
      </c>
      <c r="E33" s="194">
        <f>VLOOKUP(C33,DB!B51:L192,10,FALSE)</f>
        <v>210.77375062367767</v>
      </c>
      <c r="F33" s="194">
        <f>VLOOKUP(C33,DB!B51:L192,10,FALSE)</f>
        <v>210.77375062367767</v>
      </c>
      <c r="G33" s="120" t="str">
        <f>VLOOKUP(C33,DB!B51:L270,11,FALSE)</f>
        <v>€</v>
      </c>
    </row>
    <row r="34" spans="2:7" ht="14.25" customHeight="1" x14ac:dyDescent="0.35">
      <c r="B34" s="228"/>
      <c r="C34" s="152" t="s">
        <v>391</v>
      </c>
      <c r="D34" s="66">
        <f>VLOOKUP(C34,DB!B52:K266,10,FALSE)</f>
        <v>208.49735378880007</v>
      </c>
      <c r="E34" s="194">
        <f>VLOOKUP(C34,DB!B52:L193,10,FALSE)</f>
        <v>208.49735378880007</v>
      </c>
      <c r="F34" s="194">
        <f>VLOOKUP(C34,DB!B52:L193,10,FALSE)</f>
        <v>208.49735378880007</v>
      </c>
      <c r="G34" s="120" t="str">
        <f>VLOOKUP(C34,DB!B52:L271,11,FALSE)</f>
        <v>€</v>
      </c>
    </row>
    <row r="35" spans="2:7" ht="14.25" customHeight="1" x14ac:dyDescent="0.35">
      <c r="B35" s="227" t="s">
        <v>202</v>
      </c>
      <c r="C35" s="185" t="s">
        <v>301</v>
      </c>
      <c r="D35" s="66">
        <f>VLOOKUP(C35,DB!B52:K266,10,FALSE)</f>
        <v>89.802791125100669</v>
      </c>
      <c r="E35" s="194">
        <f>VLOOKUP(C35,DB!B52:L193,10,FALSE)</f>
        <v>89.802791125100669</v>
      </c>
      <c r="F35" s="194">
        <f>VLOOKUP(C35,DB!B52:L193,10,FALSE)</f>
        <v>89.802791125100669</v>
      </c>
      <c r="G35" s="120" t="str">
        <f>VLOOKUP(C35,DB!B52:L271,11,FALSE)</f>
        <v>€</v>
      </c>
    </row>
    <row r="36" spans="2:7" x14ac:dyDescent="0.35">
      <c r="B36" s="227"/>
      <c r="C36" s="187" t="s">
        <v>302</v>
      </c>
      <c r="D36" s="66">
        <f>VLOOKUP(C36,DB!B53:K267,10,FALSE)</f>
        <v>141.578844015063</v>
      </c>
      <c r="E36" s="194">
        <f>VLOOKUP(C36,DB!B53:L194,10,FALSE)</f>
        <v>141.578844015063</v>
      </c>
      <c r="F36" s="194">
        <f>VLOOKUP(C36,DB!B53:L194,10,FALSE)</f>
        <v>141.578844015063</v>
      </c>
      <c r="G36" s="120" t="str">
        <f>VLOOKUP(C36,DB!B53:L272,11,FALSE)</f>
        <v>€</v>
      </c>
    </row>
    <row r="37" spans="2:7" x14ac:dyDescent="0.35">
      <c r="B37" s="227"/>
      <c r="C37" s="185" t="s">
        <v>341</v>
      </c>
      <c r="D37" s="66">
        <f>VLOOKUP(C37,DB!B54:K268,10,FALSE)</f>
        <v>113.22409389032748</v>
      </c>
      <c r="E37" s="194">
        <f>VLOOKUP(C37,DB!B54:L195,10,FALSE)</f>
        <v>113.22409389032748</v>
      </c>
      <c r="F37" s="194">
        <f>VLOOKUP(C37,DB!B54:L195,10,FALSE)</f>
        <v>113.22409389032748</v>
      </c>
      <c r="G37" s="120" t="str">
        <f>VLOOKUP(C37,DB!B54:L273,11,FALSE)</f>
        <v>€</v>
      </c>
    </row>
    <row r="38" spans="2:7" x14ac:dyDescent="0.35">
      <c r="B38" s="227"/>
      <c r="C38" s="187" t="s">
        <v>303</v>
      </c>
      <c r="D38" s="66">
        <f>VLOOKUP(C38,DB!B55:K269,10,FALSE)</f>
        <v>10.042409389032748</v>
      </c>
      <c r="E38" s="194">
        <f>VLOOKUP(C38,DB!B55:L196,10,FALSE)</f>
        <v>10.042409389032748</v>
      </c>
      <c r="F38" s="194">
        <f>VLOOKUP(C38,DB!B55:L196,10,FALSE)</f>
        <v>10.042409389032748</v>
      </c>
      <c r="G38" s="120" t="str">
        <f>VLOOKUP(C38,DB!B55:L274,11,FALSE)</f>
        <v>€</v>
      </c>
    </row>
    <row r="39" spans="2:7" x14ac:dyDescent="0.35">
      <c r="B39" s="227"/>
      <c r="C39" s="185" t="s">
        <v>331</v>
      </c>
      <c r="D39" s="66">
        <f>VLOOKUP(C39,DB!B56:K270,10,FALSE)</f>
        <v>102.1462288959998</v>
      </c>
      <c r="E39" s="194">
        <f>VLOOKUP(C39,DB!B56:L197,10,FALSE)</f>
        <v>102.1462288959998</v>
      </c>
      <c r="F39" s="194">
        <f>VLOOKUP(C39,DB!B56:L197,10,FALSE)</f>
        <v>102.1462288959998</v>
      </c>
      <c r="G39" s="120" t="str">
        <f>VLOOKUP(C39,DB!B56:L275,11,FALSE)</f>
        <v>€</v>
      </c>
    </row>
    <row r="40" spans="2:7" x14ac:dyDescent="0.35">
      <c r="B40" s="227"/>
      <c r="C40" s="187" t="s">
        <v>304</v>
      </c>
      <c r="D40" s="66">
        <f>VLOOKUP(C40,DB!B57:K271,10,FALSE)</f>
        <v>47.424093890327477</v>
      </c>
      <c r="E40" s="194">
        <f>VLOOKUP(C40,DB!B57:L198,10,FALSE)</f>
        <v>47.424093890327477</v>
      </c>
      <c r="F40" s="194">
        <f>VLOOKUP(C40,DB!B57:L198,10,FALSE)</f>
        <v>47.424093890327477</v>
      </c>
      <c r="G40" s="120" t="str">
        <f>VLOOKUP(C40,DB!B57:L276,11,FALSE)</f>
        <v>€</v>
      </c>
    </row>
    <row r="41" spans="2:7" x14ac:dyDescent="0.35">
      <c r="B41" s="227"/>
      <c r="C41" s="185" t="s">
        <v>305</v>
      </c>
      <c r="D41" s="66">
        <f>VLOOKUP(C41,DB!B58:K272,10,FALSE)</f>
        <v>26.346718827959709</v>
      </c>
      <c r="E41" s="194">
        <f>VLOOKUP(C41,DB!B58:L199,10,FALSE)</f>
        <v>26.346718827959709</v>
      </c>
      <c r="F41" s="194">
        <f>VLOOKUP(C41,DB!B58:L199,10,FALSE)</f>
        <v>26.346718827959709</v>
      </c>
      <c r="G41" s="120" t="str">
        <f>VLOOKUP(C41,DB!B58:L277,11,FALSE)</f>
        <v>€</v>
      </c>
    </row>
    <row r="42" spans="2:7" x14ac:dyDescent="0.35">
      <c r="B42" s="227"/>
      <c r="C42" s="187" t="s">
        <v>306</v>
      </c>
      <c r="D42" s="66">
        <f>VLOOKUP(C42,DB!B59:K273,10,FALSE)</f>
        <v>18.969637556130991</v>
      </c>
      <c r="E42" s="194">
        <f>VLOOKUP(C42,DB!B59:L200,10,FALSE)</f>
        <v>18.969637556130991</v>
      </c>
      <c r="F42" s="194">
        <f>VLOOKUP(C42,DB!B59:L200,10,FALSE)</f>
        <v>18.969637556130991</v>
      </c>
      <c r="G42" s="120" t="str">
        <f>VLOOKUP(C42,DB!B59:L278,11,FALSE)</f>
        <v>€</v>
      </c>
    </row>
    <row r="43" spans="2:7" x14ac:dyDescent="0.35">
      <c r="B43" s="227"/>
      <c r="C43" s="185" t="s">
        <v>307</v>
      </c>
      <c r="D43" s="66">
        <f>VLOOKUP(C43,DB!B60:K274,10,FALSE)</f>
        <v>174.20600648387915</v>
      </c>
      <c r="E43" s="194">
        <f>VLOOKUP(C43,DB!B60:L201,10,FALSE)</f>
        <v>174.20600648387915</v>
      </c>
      <c r="F43" s="194">
        <f>VLOOKUP(C43,DB!B60:L201,10,FALSE)</f>
        <v>174.20600648387915</v>
      </c>
      <c r="G43" s="120" t="str">
        <f>VLOOKUP(C43,DB!B60:L279,11,FALSE)</f>
        <v>€</v>
      </c>
    </row>
    <row r="44" spans="2:7" x14ac:dyDescent="0.35">
      <c r="B44" s="227"/>
      <c r="C44" s="187" t="s">
        <v>386</v>
      </c>
      <c r="D44" s="66">
        <f>VLOOKUP(C44,DB!B62:K275,10,FALSE)</f>
        <v>60.944923177304723</v>
      </c>
      <c r="E44" s="194">
        <f>VLOOKUP(C44,DB!B62:L202,10,FALSE)</f>
        <v>60.944923177304723</v>
      </c>
      <c r="F44" s="194">
        <f>VLOOKUP(C44,DB!B62:L202,10,FALSE)</f>
        <v>60.944923177304723</v>
      </c>
      <c r="G44" s="120" t="str">
        <f>VLOOKUP(C44,DB!B62:L280,11,FALSE)</f>
        <v>€</v>
      </c>
    </row>
    <row r="45" spans="2:7" x14ac:dyDescent="0.35">
      <c r="B45" s="227"/>
      <c r="C45" s="187" t="s">
        <v>379</v>
      </c>
      <c r="D45" s="66">
        <f>VLOOKUP(C45,DB!B63:K276,10,FALSE)</f>
        <v>3.5199216354154168</v>
      </c>
      <c r="E45" s="194">
        <f>VLOOKUP(C45,DB!B63:L203,10,FALSE)</f>
        <v>3.5199216354154168</v>
      </c>
      <c r="F45" s="194">
        <f>VLOOKUP(C45,DB!B63:L203,10,FALSE)</f>
        <v>3.5199216354154168</v>
      </c>
      <c r="G45" s="120" t="str">
        <f>VLOOKUP(C45,DB!B63:L281,11,FALSE)</f>
        <v>€/kg</v>
      </c>
    </row>
    <row r="46" spans="2:7" ht="14.25" customHeight="1" x14ac:dyDescent="0.35">
      <c r="B46" s="227" t="s">
        <v>390</v>
      </c>
      <c r="C46" s="185" t="s">
        <v>342</v>
      </c>
      <c r="D46" s="66">
        <f>VLOOKUP(C46,DB!B63:K276,10,FALSE)</f>
        <v>980.56</v>
      </c>
      <c r="E46" s="194">
        <f>VLOOKUP(C46,DB!B63:L203,10,FALSE)</f>
        <v>980.56</v>
      </c>
      <c r="F46" s="194">
        <f>VLOOKUP(C46,DB!B63:L203,10,FALSE)</f>
        <v>980.56</v>
      </c>
      <c r="G46" s="120" t="str">
        <f>VLOOKUP(C46,DB!B63:L281,11,FALSE)</f>
        <v>€/Piece</v>
      </c>
    </row>
    <row r="47" spans="2:7" x14ac:dyDescent="0.35">
      <c r="B47" s="227"/>
      <c r="C47" s="187" t="s">
        <v>377</v>
      </c>
      <c r="D47" s="66">
        <f>VLOOKUP(C47,DB!B64:K277,10,FALSE)</f>
        <v>2.6956799672098812</v>
      </c>
      <c r="E47" s="194">
        <f>VLOOKUP(C47,DB!B64:L204,10,FALSE)</f>
        <v>2.6956799672098812</v>
      </c>
      <c r="F47" s="194">
        <f>VLOOKUP(C47,DB!B64:L204,10,FALSE)</f>
        <v>2.6956799672098812</v>
      </c>
      <c r="G47" s="120" t="str">
        <f>VLOOKUP(C47,DB!B64:L282,11,FALSE)</f>
        <v>€/kg</v>
      </c>
    </row>
    <row r="48" spans="2:7" x14ac:dyDescent="0.35">
      <c r="B48" s="227"/>
      <c r="C48" s="185" t="s">
        <v>311</v>
      </c>
      <c r="D48" s="66">
        <f>VLOOKUP(C48,DB!B65:K278,10,FALSE)</f>
        <v>7.4397864626392627</v>
      </c>
      <c r="E48" s="194">
        <f>VLOOKUP(C48,DB!B65:L205,10,FALSE)</f>
        <v>7.4397864626392627</v>
      </c>
      <c r="F48" s="194">
        <f>VLOOKUP(C48,DB!B65:L205,10,FALSE)</f>
        <v>7.4397864626392627</v>
      </c>
      <c r="G48" s="120" t="str">
        <f>VLOOKUP(C48,DB!B65:L283,11,FALSE)</f>
        <v>€</v>
      </c>
    </row>
    <row r="49" spans="2:7" ht="14.25" customHeight="1" x14ac:dyDescent="0.35">
      <c r="B49" s="227"/>
      <c r="C49" s="187" t="s">
        <v>312</v>
      </c>
      <c r="D49" s="66">
        <f>VLOOKUP(C49,DB!B66:K279,10,FALSE)</f>
        <v>29.5</v>
      </c>
      <c r="E49" s="194">
        <f>VLOOKUP(C49,DB!B66:L206,10,FALSE)</f>
        <v>29.5</v>
      </c>
      <c r="F49" s="194">
        <f>VLOOKUP(C49,DB!B66:L206,10,FALSE)</f>
        <v>29.5</v>
      </c>
      <c r="G49" s="120" t="str">
        <f>VLOOKUP(C49,DB!B66:L284,11,FALSE)</f>
        <v>€</v>
      </c>
    </row>
    <row r="50" spans="2:7" ht="14.25" customHeight="1" x14ac:dyDescent="0.35">
      <c r="B50" s="227"/>
      <c r="C50" s="212" t="s">
        <v>378</v>
      </c>
      <c r="D50" s="66">
        <f>VLOOKUP(C50,DB!B67:K280,10,FALSE)</f>
        <v>50.75431915018158</v>
      </c>
      <c r="E50" s="194">
        <f>VLOOKUP(C50,DB!B67:L207,10,FALSE)</f>
        <v>50.75431915018158</v>
      </c>
      <c r="F50" s="194">
        <f>VLOOKUP(C50,DB!B67:L207,10,FALSE)</f>
        <v>50.75431915018158</v>
      </c>
      <c r="G50" s="120" t="str">
        <f>VLOOKUP(C50,DB!B67:L285,11,FALSE)</f>
        <v>€/veh</v>
      </c>
    </row>
    <row r="51" spans="2:7" ht="14.25" customHeight="1" x14ac:dyDescent="0.35">
      <c r="B51" s="227"/>
      <c r="C51" s="152" t="s">
        <v>380</v>
      </c>
      <c r="D51" s="66">
        <f>VLOOKUP(C51,DB!B68:K281,10,FALSE)</f>
        <v>36.811635546425308</v>
      </c>
      <c r="E51" s="194">
        <f>VLOOKUP(C51,DB!B68:L208,10,FALSE)</f>
        <v>36.811635546425308</v>
      </c>
      <c r="F51" s="194">
        <f>VLOOKUP(C51,DB!B68:L208,10,FALSE)</f>
        <v>36.811635546425308</v>
      </c>
      <c r="G51" s="120" t="str">
        <f>VLOOKUP(C51,DB!B68:L286,11,FALSE)</f>
        <v>€/veh</v>
      </c>
    </row>
    <row r="52" spans="2:7" ht="14.25" customHeight="1" x14ac:dyDescent="0.35">
      <c r="B52" s="227"/>
      <c r="C52" s="185" t="s">
        <v>131</v>
      </c>
      <c r="D52" s="66">
        <f>VLOOKUP(C52,DB!B67:K280,10,FALSE)</f>
        <v>3.6885406359143591</v>
      </c>
      <c r="E52" s="194">
        <f>VLOOKUP(C52,DB!B67:L207,10,FALSE)</f>
        <v>3.6885406359143591</v>
      </c>
      <c r="F52" s="194">
        <f>VLOOKUP(C52,DB!B67:L207,10,FALSE)</f>
        <v>3.6885406359143591</v>
      </c>
      <c r="G52" s="120" t="str">
        <f>VLOOKUP(C52,DB!B67:L285,11,FALSE)</f>
        <v>€/kg</v>
      </c>
    </row>
    <row r="53" spans="2:7" x14ac:dyDescent="0.35">
      <c r="B53" s="227"/>
      <c r="C53" s="187" t="s">
        <v>314</v>
      </c>
      <c r="D53" s="66">
        <f>VLOOKUP(C53,DB!B68:K281,10,FALSE)</f>
        <v>14.227228167098243</v>
      </c>
      <c r="E53" s="194">
        <f>VLOOKUP(C53,DB!B68:L208,10,FALSE)</f>
        <v>14.227228167098243</v>
      </c>
      <c r="F53" s="194">
        <f>VLOOKUP(C53,DB!B68:L208,10,FALSE)</f>
        <v>14.227228167098243</v>
      </c>
      <c r="G53" s="120" t="str">
        <f>VLOOKUP(C53,DB!B68:L286,11,FALSE)</f>
        <v>€/kg</v>
      </c>
    </row>
    <row r="54" spans="2:7" x14ac:dyDescent="0.35">
      <c r="B54" s="227"/>
      <c r="C54" s="185" t="s">
        <v>274</v>
      </c>
      <c r="D54" s="66">
        <f>VLOOKUP(C54,DB!B69:K282,10,FALSE)</f>
        <v>2.6570665937997369</v>
      </c>
      <c r="E54" s="194">
        <f>VLOOKUP(C54,DB!B69:L209,10,FALSE)</f>
        <v>2.6570665937997369</v>
      </c>
      <c r="F54" s="194">
        <f>VLOOKUP(C54,DB!B69:L209,10,FALSE)</f>
        <v>2.6570665937997369</v>
      </c>
      <c r="G54" s="120" t="str">
        <f>VLOOKUP(C54,DB!B69:L287,11,FALSE)</f>
        <v>€/kg</v>
      </c>
    </row>
    <row r="55" spans="2:7" x14ac:dyDescent="0.35">
      <c r="B55" s="227"/>
      <c r="C55" s="205" t="s">
        <v>388</v>
      </c>
      <c r="D55" s="66">
        <f>VLOOKUP(C55,DB!B68:K276,10,FALSE)</f>
        <v>4.5</v>
      </c>
      <c r="E55" s="194">
        <f>D55</f>
        <v>4.5</v>
      </c>
      <c r="F55" s="194">
        <f>E55</f>
        <v>4.5</v>
      </c>
      <c r="G55" s="120" t="str">
        <f>VLOOKUP(C55,DB!B68:L281,11,FALSE)</f>
        <v>€/kg</v>
      </c>
    </row>
    <row r="56" spans="2:7" x14ac:dyDescent="0.35">
      <c r="B56" s="227"/>
      <c r="C56" s="206" t="s">
        <v>389</v>
      </c>
      <c r="D56" s="66">
        <f>VLOOKUP(C56,DB!B69:K277,10,FALSE)</f>
        <v>1.8</v>
      </c>
      <c r="E56" s="194">
        <f>D56</f>
        <v>1.8</v>
      </c>
      <c r="F56" s="194">
        <f>E56</f>
        <v>1.8</v>
      </c>
      <c r="G56" s="120" t="str">
        <f>VLOOKUP(C56,DB!B69:L282,11,FALSE)</f>
        <v>€/kg</v>
      </c>
    </row>
    <row r="57" spans="2:7" x14ac:dyDescent="0.35">
      <c r="B57" s="227"/>
      <c r="C57" s="187" t="s">
        <v>315</v>
      </c>
      <c r="D57" s="66">
        <f>VLOOKUP(C57,DB!B70:K283,10,FALSE)</f>
        <v>0.23382186025437685</v>
      </c>
      <c r="E57" s="194">
        <f>VLOOKUP(C57,DB!B70:L210,10,FALSE)</f>
        <v>0.23382186025437685</v>
      </c>
      <c r="F57" s="194">
        <f>VLOOKUP(C57,DB!B70:L210,10,FALSE)</f>
        <v>0.23382186025437685</v>
      </c>
      <c r="G57" s="120" t="str">
        <f>VLOOKUP(C57,DB!B70:L288,11,FALSE)</f>
        <v>€/kg</v>
      </c>
    </row>
    <row r="58" spans="2:7" x14ac:dyDescent="0.35">
      <c r="B58" s="227"/>
      <c r="C58" s="185" t="s">
        <v>316</v>
      </c>
      <c r="D58" s="66">
        <f>VLOOKUP(C58,DB!B71:K284,10,FALSE)</f>
        <v>0.74397864626392629</v>
      </c>
      <c r="E58" s="194">
        <f>VLOOKUP(C58,DB!B71:L211,10,FALSE)</f>
        <v>0.74397864626392629</v>
      </c>
      <c r="F58" s="194">
        <f>VLOOKUP(C58,DB!B71:L211,10,FALSE)</f>
        <v>0.74397864626392629</v>
      </c>
      <c r="G58" s="120" t="str">
        <f>VLOOKUP(C58,DB!B71:L289,11,FALSE)</f>
        <v>€/kg</v>
      </c>
    </row>
    <row r="59" spans="2:7" x14ac:dyDescent="0.35">
      <c r="B59" s="227"/>
      <c r="C59" s="187" t="s">
        <v>317</v>
      </c>
      <c r="D59" s="66">
        <f>VLOOKUP(C59,DB!B72:K285,10,FALSE)</f>
        <v>0.11691093012718842</v>
      </c>
      <c r="E59" s="194">
        <f>VLOOKUP(C59,DB!B72:L212,10,FALSE)</f>
        <v>0.11691093012718842</v>
      </c>
      <c r="F59" s="194">
        <f>VLOOKUP(C59,DB!B72:L212,10,FALSE)</f>
        <v>0.11691093012718842</v>
      </c>
      <c r="G59" s="120" t="str">
        <f>VLOOKUP(C59,DB!B72:L290,11,FALSE)</f>
        <v>€/kg</v>
      </c>
    </row>
    <row r="60" spans="2:7" ht="14.25" customHeight="1" x14ac:dyDescent="0.35">
      <c r="B60" s="227" t="s">
        <v>254</v>
      </c>
      <c r="C60" s="185" t="s">
        <v>131</v>
      </c>
      <c r="D60" s="66">
        <f>VLOOKUP(C60,DB!B73:K286,10,FALSE)</f>
        <v>3.6885406359143591</v>
      </c>
      <c r="E60" s="194">
        <f>VLOOKUP(C60,DB!B73:L213,10,FALSE)</f>
        <v>3.6885406359143591</v>
      </c>
      <c r="F60" s="194">
        <f>VLOOKUP(C60,DB!B73:L213,10,FALSE)</f>
        <v>3.6885406359143591</v>
      </c>
      <c r="G60" s="120" t="str">
        <f>VLOOKUP(C60,DB!B73:L291,11,FALSE)</f>
        <v>€/kg</v>
      </c>
    </row>
    <row r="61" spans="2:7" x14ac:dyDescent="0.35">
      <c r="B61" s="227"/>
      <c r="C61" s="187" t="s">
        <v>314</v>
      </c>
      <c r="D61" s="66">
        <f>VLOOKUP(C61,DB!B74:K287,10,FALSE)</f>
        <v>14.227228167098243</v>
      </c>
      <c r="E61" s="194">
        <f>VLOOKUP(C61,DB!B74:L214,10,FALSE)</f>
        <v>14.227228167098243</v>
      </c>
      <c r="F61" s="194">
        <f>VLOOKUP(C61,DB!B74:L214,10,FALSE)</f>
        <v>14.227228167098243</v>
      </c>
      <c r="G61" s="120" t="str">
        <f>VLOOKUP(C61,DB!B74:L292,11,FALSE)</f>
        <v>€/kg</v>
      </c>
    </row>
    <row r="62" spans="2:7" x14ac:dyDescent="0.35">
      <c r="B62" s="227"/>
      <c r="C62" s="185" t="s">
        <v>274</v>
      </c>
      <c r="D62" s="66">
        <f>VLOOKUP(C62,DB!B75:K288,10,FALSE)</f>
        <v>2.6570665937997369</v>
      </c>
      <c r="E62" s="194">
        <f>VLOOKUP(C62,DB!B75:L215,10,FALSE)</f>
        <v>2.6570665937997369</v>
      </c>
      <c r="F62" s="194">
        <f>VLOOKUP(C62,DB!B75:L215,10,FALSE)</f>
        <v>2.6570665937997369</v>
      </c>
      <c r="G62" s="120" t="str">
        <f>VLOOKUP(C62,DB!B75:L293,11,FALSE)</f>
        <v>€/kg</v>
      </c>
    </row>
    <row r="63" spans="2:7" x14ac:dyDescent="0.35">
      <c r="B63" s="227"/>
      <c r="C63" s="187" t="s">
        <v>315</v>
      </c>
      <c r="D63" s="66">
        <f>VLOOKUP(C63,DB!B77:K289,10,FALSE)</f>
        <v>0.23382186025437685</v>
      </c>
      <c r="E63" s="194">
        <f>VLOOKUP(C63,DB!B77:L216,10,FALSE)</f>
        <v>0.23382186025437685</v>
      </c>
      <c r="F63" s="194">
        <f>VLOOKUP(C63,DB!B77:L216,10,FALSE)</f>
        <v>0.23382186025437685</v>
      </c>
      <c r="G63" s="120" t="str">
        <f>VLOOKUP(C63,DB!B77:L294,11,FALSE)</f>
        <v>€/kg</v>
      </c>
    </row>
    <row r="64" spans="2:7" x14ac:dyDescent="0.35">
      <c r="B64" s="227"/>
      <c r="C64" s="185" t="s">
        <v>316</v>
      </c>
      <c r="D64" s="66">
        <f>VLOOKUP(C64,DB!B78:K290,10,FALSE)</f>
        <v>0.74397864626392629</v>
      </c>
      <c r="E64" s="194">
        <f>VLOOKUP(C64,DB!B78:L217,10,FALSE)</f>
        <v>0.74397864626392629</v>
      </c>
      <c r="F64" s="194">
        <f>VLOOKUP(C64,DB!B78:L217,10,FALSE)</f>
        <v>0.74397864626392629</v>
      </c>
      <c r="G64" s="120" t="str">
        <f>VLOOKUP(C64,DB!B78:L295,11,FALSE)</f>
        <v>€/kg</v>
      </c>
    </row>
    <row r="65" spans="2:7" x14ac:dyDescent="0.35">
      <c r="B65" s="227"/>
      <c r="C65" s="187" t="s">
        <v>317</v>
      </c>
      <c r="D65" s="66">
        <f>VLOOKUP(C65,DB!B79:K291,10,FALSE)</f>
        <v>0.11691093012718842</v>
      </c>
      <c r="E65" s="194">
        <f>VLOOKUP(C65,DB!B79:L218,10,FALSE)</f>
        <v>0.11691093012718842</v>
      </c>
      <c r="F65" s="194">
        <f>VLOOKUP(C65,DB!B79:L218,10,FALSE)</f>
        <v>0.11691093012718842</v>
      </c>
      <c r="G65" s="120" t="str">
        <f>VLOOKUP(C65,DB!B79:L296,11,FALSE)</f>
        <v>€/kg</v>
      </c>
    </row>
    <row r="66" spans="2:7" x14ac:dyDescent="0.35">
      <c r="B66" s="227"/>
      <c r="C66" s="185" t="s">
        <v>366</v>
      </c>
      <c r="D66" s="66">
        <f>VLOOKUP(C66,DB!B73:K286,10,FALSE)</f>
        <v>141.13410341761457</v>
      </c>
      <c r="E66" s="194">
        <f>VLOOKUP(C66,DB!B73:L213,10,FALSE)</f>
        <v>141.13410341761457</v>
      </c>
      <c r="F66" s="194">
        <f>VLOOKUP(C66,DB!B73:L213,10,FALSE)</f>
        <v>141.13410341761457</v>
      </c>
      <c r="G66" s="120" t="str">
        <f>VLOOKUP(C66,DB!B73:L291,11,FALSE)</f>
        <v>€/vehicle</v>
      </c>
    </row>
    <row r="67" spans="2:7" x14ac:dyDescent="0.35">
      <c r="B67" s="227"/>
      <c r="C67" s="187" t="s">
        <v>318</v>
      </c>
      <c r="D67" s="66">
        <f>VLOOKUP(C67,DB!B74:K287,10,FALSE)</f>
        <v>0.53220372032478602</v>
      </c>
      <c r="E67" s="194">
        <f>VLOOKUP(C67,DB!B74:L214,10,FALSE)</f>
        <v>0.53220372032478602</v>
      </c>
      <c r="F67" s="194">
        <f>VLOOKUP(C67,DB!B74:L214,10,FALSE)</f>
        <v>0.53220372032478602</v>
      </c>
      <c r="G67" s="120" t="str">
        <f>VLOOKUP(C67,DB!B74:L292,11,FALSE)</f>
        <v>€/kg</v>
      </c>
    </row>
    <row r="68" spans="2:7" x14ac:dyDescent="0.35">
      <c r="B68" s="227"/>
      <c r="C68" s="185" t="s">
        <v>319</v>
      </c>
      <c r="D68" s="66">
        <f>VLOOKUP(C68,DB!B77:K288,10,FALSE)</f>
        <v>26.167561139929582</v>
      </c>
      <c r="E68" s="194">
        <f>VLOOKUP(C68,DB!B77:L215,10,FALSE)</f>
        <v>26.167561139929582</v>
      </c>
      <c r="F68" s="194">
        <f>VLOOKUP(C68,DB!B77:L215,10,FALSE)</f>
        <v>26.167561139929582</v>
      </c>
      <c r="G68" s="120" t="str">
        <f>VLOOKUP(C68,DB!B77:L293,11,FALSE)</f>
        <v>€</v>
      </c>
    </row>
    <row r="69" spans="2:7" x14ac:dyDescent="0.35">
      <c r="B69" s="227"/>
      <c r="C69" s="187" t="s">
        <v>362</v>
      </c>
      <c r="D69" s="66">
        <f>VLOOKUP(C69,DB!B78:K289,10,FALSE)</f>
        <v>144.60819230095689</v>
      </c>
      <c r="E69" s="194">
        <f>VLOOKUP(C69,DB!B78:L216,10,FALSE)</f>
        <v>144.60819230095689</v>
      </c>
      <c r="F69" s="194">
        <f>VLOOKUP(C69,DB!B78:L216,10,FALSE)</f>
        <v>144.60819230095689</v>
      </c>
      <c r="G69" s="120" t="str">
        <f>VLOOKUP(C69,DB!B78:L294,11,FALSE)</f>
        <v>€/vehicle</v>
      </c>
    </row>
    <row r="70" spans="2:7" ht="14.25" customHeight="1" x14ac:dyDescent="0.35">
      <c r="B70" s="227"/>
      <c r="C70" s="185" t="s">
        <v>320</v>
      </c>
      <c r="D70" s="66">
        <f>VLOOKUP(C70,DB!B79:K290,10,FALSE)</f>
        <v>0.52078505238474837</v>
      </c>
      <c r="E70" s="194">
        <f>VLOOKUP(C70,DB!B79:L217,10,FALSE)</f>
        <v>0.52078505238474837</v>
      </c>
      <c r="F70" s="194">
        <f>VLOOKUP(C70,DB!B79:L217,10,FALSE)</f>
        <v>0.52078505238474837</v>
      </c>
      <c r="G70" s="120" t="str">
        <f>VLOOKUP(C70,DB!B79:L295,11,FALSE)</f>
        <v>€/kg</v>
      </c>
    </row>
    <row r="71" spans="2:7" ht="14.25" customHeight="1" x14ac:dyDescent="0.35">
      <c r="B71" s="227" t="s">
        <v>364</v>
      </c>
      <c r="C71" s="187" t="s">
        <v>323</v>
      </c>
      <c r="D71" s="66">
        <f>VLOOKUP(C71,DB!B81:K291,10,FALSE)</f>
        <v>82.330583896243127</v>
      </c>
      <c r="E71" s="194">
        <f>VLOOKUP(C71,DB!B81:L218,10,FALSE)</f>
        <v>82.330583896243127</v>
      </c>
      <c r="F71" s="194">
        <f>VLOOKUP(C71,DB!B81:L218,10,FALSE)</f>
        <v>82.330583896243127</v>
      </c>
      <c r="G71" s="120" t="str">
        <f>VLOOKUP(C71,DB!B81:L296,11,FALSE)</f>
        <v>€/Piece</v>
      </c>
    </row>
    <row r="72" spans="2:7" x14ac:dyDescent="0.35">
      <c r="B72" s="226"/>
      <c r="C72" s="185" t="s">
        <v>324</v>
      </c>
      <c r="D72" s="66">
        <f>VLOOKUP(C72,DB!B83:K292,10,FALSE)</f>
        <v>5.8148999999999997</v>
      </c>
      <c r="E72" s="194">
        <f>VLOOKUP(C72,DB!B83:L219,10,FALSE)</f>
        <v>5.8148999999999997</v>
      </c>
      <c r="F72" s="194">
        <f>VLOOKUP(C72,DB!B83:L219,10,FALSE)</f>
        <v>5.8148999999999997</v>
      </c>
      <c r="G72" s="120" t="str">
        <f>VLOOKUP(C72,DB!B83:L297,11,FALSE)</f>
        <v>€/Piece</v>
      </c>
    </row>
    <row r="73" spans="2:7" x14ac:dyDescent="0.35">
      <c r="B73" s="226"/>
      <c r="C73" s="187" t="s">
        <v>325</v>
      </c>
      <c r="D73" s="66">
        <v>105.5</v>
      </c>
      <c r="E73" s="66">
        <v>105.5</v>
      </c>
      <c r="F73" s="66">
        <v>105.5</v>
      </c>
      <c r="G73" s="120" t="str">
        <f>VLOOKUP(C73,DB!B85:L298,11,FALSE)</f>
        <v>€</v>
      </c>
    </row>
    <row r="74" spans="2:7" x14ac:dyDescent="0.35">
      <c r="B74" s="226"/>
      <c r="C74" s="185" t="s">
        <v>326</v>
      </c>
      <c r="D74" s="66">
        <f>VLOOKUP(C74,DB!B86:K294,10,FALSE)</f>
        <v>3055.1775000000002</v>
      </c>
      <c r="E74" s="194">
        <f>VLOOKUP(C74,DB!B122:K293,10,FALSE)</f>
        <v>1299.3945000000001</v>
      </c>
      <c r="F74" s="194">
        <f>VLOOKUP(C74,DB!B123:K293,10,FALSE)</f>
        <v>456.86649999999997</v>
      </c>
      <c r="G74" s="120" t="str">
        <f>VLOOKUP(C74,DB!B86:L299,11,FALSE)</f>
        <v>€</v>
      </c>
    </row>
    <row r="75" spans="2:7" x14ac:dyDescent="0.35">
      <c r="B75" s="226"/>
      <c r="C75" s="187" t="s">
        <v>327</v>
      </c>
      <c r="D75" s="66">
        <f>VLOOKUP(C75,DB!B87:K295,10,FALSE)</f>
        <v>30.23</v>
      </c>
      <c r="E75" s="194">
        <f>VLOOKUP(C75,DB!B131:K295,10,FALSE)</f>
        <v>28.316099999999999</v>
      </c>
      <c r="F75" s="194">
        <f>VLOOKUP(C75,DB!B132:K295,10,FALSE)</f>
        <v>26.761199999999999</v>
      </c>
      <c r="G75" s="120" t="s">
        <v>138</v>
      </c>
    </row>
    <row r="76" spans="2:7" x14ac:dyDescent="0.35">
      <c r="B76" s="226"/>
      <c r="C76" s="185" t="s">
        <v>328</v>
      </c>
      <c r="D76" s="66">
        <f>VLOOKUP(C76,DB!B88:K296,10,FALSE)</f>
        <v>38.393488379717148</v>
      </c>
      <c r="E76" s="194">
        <f>VLOOKUP(C76,DB!B88:L223,10,FALSE)</f>
        <v>38.393488379717148</v>
      </c>
      <c r="F76" s="194">
        <v>34.56</v>
      </c>
      <c r="G76" s="120" t="str">
        <f>VLOOKUP(C76,DB!B88:L301,11,FALSE)</f>
        <v>€</v>
      </c>
    </row>
    <row r="77" spans="2:7" x14ac:dyDescent="0.35">
      <c r="B77" s="226"/>
      <c r="C77" s="187" t="s">
        <v>329</v>
      </c>
      <c r="D77" s="66">
        <f>VLOOKUP(C77,DB!B89:K297,10,FALSE)</f>
        <v>729</v>
      </c>
      <c r="E77" s="194">
        <f>VLOOKUP(C77,DB!B148:L224,10,FALSE)</f>
        <v>506.60610000000003</v>
      </c>
      <c r="F77" s="194">
        <f>VLOOKUP(C77,DB!B149:L224,10,FALSE)</f>
        <v>385.73419999999999</v>
      </c>
      <c r="G77" s="120" t="str">
        <f>VLOOKUP(C77,DB!B89:L302,11,FALSE)</f>
        <v>€/Piece</v>
      </c>
    </row>
    <row r="78" spans="2:7" x14ac:dyDescent="0.35">
      <c r="B78" s="226"/>
      <c r="C78" s="185" t="s">
        <v>332</v>
      </c>
      <c r="D78" s="66">
        <f>VLOOKUP(C78,DB!B90:K298,10,FALSE)</f>
        <v>669.23398500000008</v>
      </c>
      <c r="E78" s="194">
        <f>VLOOKUP(C78,DB!B90:L225,10,FALSE)</f>
        <v>669.23398500000008</v>
      </c>
      <c r="F78" s="194">
        <f>VLOOKUP(C78,DB!B90:L225,10,FALSE)</f>
        <v>669.23398500000008</v>
      </c>
      <c r="G78" s="120" t="str">
        <f>VLOOKUP(C78,DB!B90:L303,11,FALSE)</f>
        <v>€/Piece</v>
      </c>
    </row>
    <row r="79" spans="2:7" x14ac:dyDescent="0.35">
      <c r="B79" s="226"/>
      <c r="C79" s="187" t="s">
        <v>333</v>
      </c>
      <c r="D79" s="66">
        <f>VLOOKUP(C79,DB!B91:K299,10,FALSE)</f>
        <v>556.75768500000015</v>
      </c>
      <c r="E79" s="194">
        <f>VLOOKUP(C79,DB!B91:L226,10,FALSE)</f>
        <v>556.75768500000015</v>
      </c>
      <c r="F79" s="194">
        <f>VLOOKUP(C79,DB!B91:L226,10,FALSE)</f>
        <v>556.75768500000015</v>
      </c>
      <c r="G79" s="120" t="str">
        <f>VLOOKUP(C79,DB!B91:L304,11,FALSE)</f>
        <v>€/Piece</v>
      </c>
    </row>
    <row r="80" spans="2:7" x14ac:dyDescent="0.35">
      <c r="B80" s="226"/>
      <c r="C80" s="185" t="s">
        <v>0</v>
      </c>
      <c r="D80" s="66">
        <f>VLOOKUP(C80,DB!B92:K300,10,FALSE)</f>
        <v>102.87021600000001</v>
      </c>
      <c r="E80" s="194">
        <f>VLOOKUP(C80,DB!B92:L227,10,FALSE)</f>
        <v>102.87021600000001</v>
      </c>
      <c r="F80" s="194">
        <f>VLOOKUP(C80,DB!B92:L227,10,FALSE)</f>
        <v>102.87021600000001</v>
      </c>
      <c r="G80" s="120" t="str">
        <f>VLOOKUP(C80,DB!B92:L305,11,FALSE)</f>
        <v>€/Piece</v>
      </c>
    </row>
    <row r="81" spans="2:7" x14ac:dyDescent="0.35">
      <c r="B81" s="226"/>
      <c r="C81" s="206" t="s">
        <v>360</v>
      </c>
      <c r="D81" s="66">
        <f>VLOOKUP(C81,DB!B94:K301,10,FALSE)</f>
        <v>167.05094376240001</v>
      </c>
      <c r="E81" s="194">
        <v>128</v>
      </c>
      <c r="F81" s="194">
        <v>101.01</v>
      </c>
      <c r="G81" s="120" t="str">
        <f>VLOOKUP(C81,DB!B94:L306,11,FALSE)</f>
        <v>€</v>
      </c>
    </row>
    <row r="82" spans="2:7" x14ac:dyDescent="0.35">
      <c r="B82" s="226"/>
      <c r="C82" s="206" t="s">
        <v>393</v>
      </c>
      <c r="D82" s="66">
        <f>VLOOKUP(C82,DB!B95:K302,10,FALSE)</f>
        <v>159.4239956279842</v>
      </c>
      <c r="E82" s="194">
        <f t="shared" ref="E82:F84" si="0">D82</f>
        <v>159.4239956279842</v>
      </c>
      <c r="F82" s="194">
        <f t="shared" si="0"/>
        <v>159.4239956279842</v>
      </c>
      <c r="G82" s="120" t="str">
        <f>VLOOKUP(C82,DB!B93:L305,11,FALSE)</f>
        <v>€</v>
      </c>
    </row>
    <row r="83" spans="2:7" x14ac:dyDescent="0.35">
      <c r="B83" s="226"/>
      <c r="C83" s="206" t="s">
        <v>394</v>
      </c>
      <c r="D83" s="66">
        <f>VLOOKUP(C83,DB!B96:K303,10,FALSE)</f>
        <v>191.30879475358105</v>
      </c>
      <c r="E83" s="194">
        <f t="shared" si="0"/>
        <v>191.30879475358105</v>
      </c>
      <c r="F83" s="194">
        <f t="shared" si="0"/>
        <v>191.30879475358105</v>
      </c>
      <c r="G83" s="120" t="str">
        <f>VLOOKUP(C83,DB!B94:L306,11,FALSE)</f>
        <v>€</v>
      </c>
    </row>
    <row r="84" spans="2:7" x14ac:dyDescent="0.35">
      <c r="C84" s="205" t="s">
        <v>369</v>
      </c>
      <c r="D84" s="66">
        <f>VLOOKUP(C84,DB!B95:K302,10,FALSE)</f>
        <v>55.24380003846592</v>
      </c>
      <c r="E84" s="194">
        <f t="shared" si="0"/>
        <v>55.24380003846592</v>
      </c>
      <c r="F84" s="194">
        <f t="shared" si="0"/>
        <v>55.24380003846592</v>
      </c>
      <c r="G84" s="120" t="str">
        <f>VLOOKUP(C84,DB!B95:L307,11,FALSE)</f>
        <v>€/h</v>
      </c>
    </row>
    <row r="85" spans="2:7" x14ac:dyDescent="0.35">
      <c r="B85" s="239"/>
      <c r="C85" s="242"/>
      <c r="D85" s="240"/>
      <c r="E85" s="241"/>
      <c r="F85" s="194"/>
      <c r="G85" s="120"/>
    </row>
    <row r="86" spans="2:7" x14ac:dyDescent="0.35">
      <c r="B86" s="239"/>
      <c r="C86" s="242"/>
      <c r="D86" s="240"/>
      <c r="E86" s="241"/>
      <c r="F86" s="194"/>
      <c r="G86" s="120"/>
    </row>
    <row r="87" spans="2:7" x14ac:dyDescent="0.35">
      <c r="B87" s="239"/>
      <c r="C87" s="239"/>
      <c r="D87" s="239"/>
      <c r="E87" s="239"/>
    </row>
    <row r="88" spans="2:7" x14ac:dyDescent="0.35">
      <c r="B88" s="239"/>
      <c r="C88" s="239"/>
      <c r="D88" s="239"/>
      <c r="E88" s="239"/>
    </row>
    <row r="89" spans="2:7" x14ac:dyDescent="0.35">
      <c r="B89" s="239"/>
      <c r="C89" s="242"/>
      <c r="D89" s="240"/>
      <c r="E89" s="241"/>
      <c r="F89" s="194"/>
      <c r="G89" s="120"/>
    </row>
    <row r="90" spans="2:7" x14ac:dyDescent="0.35">
      <c r="B90" s="239"/>
      <c r="C90" s="242"/>
      <c r="D90" s="240"/>
      <c r="E90" s="241"/>
      <c r="F90" s="194"/>
      <c r="G90" s="120"/>
    </row>
    <row r="91" spans="2:7" x14ac:dyDescent="0.35">
      <c r="B91" s="239"/>
      <c r="C91" s="239"/>
      <c r="D91" s="239"/>
      <c r="E91" s="239"/>
    </row>
    <row r="92" spans="2:7" x14ac:dyDescent="0.35">
      <c r="B92" s="239"/>
      <c r="C92" s="239"/>
      <c r="D92" s="239"/>
      <c r="E92" s="239"/>
    </row>
    <row r="93" spans="2:7" x14ac:dyDescent="0.35">
      <c r="B93" s="239"/>
      <c r="C93" s="239"/>
      <c r="D93" s="239"/>
      <c r="E93" s="239"/>
    </row>
    <row r="94" spans="2:7" x14ac:dyDescent="0.35">
      <c r="B94" s="239"/>
      <c r="C94" s="239"/>
      <c r="D94" s="239"/>
      <c r="E94" s="239"/>
    </row>
    <row r="95" spans="2:7" x14ac:dyDescent="0.35">
      <c r="B95" s="239"/>
      <c r="C95" s="239"/>
      <c r="D95" s="239"/>
      <c r="E95" s="239"/>
    </row>
    <row r="96" spans="2:7" x14ac:dyDescent="0.35">
      <c r="B96" s="239"/>
      <c r="C96" s="239"/>
      <c r="D96" s="239"/>
      <c r="E96" s="239"/>
    </row>
    <row r="97" spans="2:5" x14ac:dyDescent="0.35">
      <c r="B97" s="239"/>
      <c r="C97" s="239"/>
      <c r="D97" s="239"/>
      <c r="E97" s="239"/>
    </row>
    <row r="98" spans="2:5" x14ac:dyDescent="0.35">
      <c r="B98" s="239"/>
      <c r="C98" s="239"/>
      <c r="D98" s="239"/>
      <c r="E98" s="239"/>
    </row>
  </sheetData>
  <mergeCells count="1">
    <mergeCell ref="D7:F7"/>
  </mergeCells>
  <pageMargins left="0.7" right="0.7" top="0.78740157499999996" bottom="0.78740157499999996" header="0.3" footer="0.3"/>
  <pageSetup paperSize="9" orientation="portrait" horizontalDpi="12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B9FA-BB99-46D1-8E8B-7F002B1A2EB2}">
  <dimension ref="A7:R599"/>
  <sheetViews>
    <sheetView zoomScale="91" zoomScaleNormal="91" workbookViewId="0">
      <pane ySplit="23" topLeftCell="A98" activePane="bottomLeft" state="frozen"/>
      <selection pane="bottomLeft" activeCell="C68" sqref="C68"/>
    </sheetView>
  </sheetViews>
  <sheetFormatPr baseColWidth="10" defaultRowHeight="14.5" x14ac:dyDescent="0.35"/>
  <cols>
    <col min="1" max="1" width="11.81640625" customWidth="1"/>
    <col min="2" max="2" width="30" bestFit="1" customWidth="1"/>
    <col min="3" max="3" width="16" customWidth="1"/>
    <col min="4" max="4" width="10.54296875" bestFit="1" customWidth="1"/>
    <col min="5" max="5" width="18.81640625" style="2" customWidth="1"/>
    <col min="6" max="9" width="10.6328125" customWidth="1"/>
    <col min="12" max="12" width="45.08984375" customWidth="1"/>
    <col min="16" max="16" width="10.6328125" customWidth="1"/>
  </cols>
  <sheetData>
    <row r="7" spans="2:17" ht="15.5" x14ac:dyDescent="0.35">
      <c r="B7" s="28"/>
      <c r="E7"/>
      <c r="F7" s="32"/>
      <c r="G7" s="32"/>
      <c r="H7" s="32"/>
      <c r="I7" s="32"/>
      <c r="J7" s="32"/>
      <c r="K7" s="32"/>
      <c r="N7" s="32"/>
      <c r="O7" s="32"/>
      <c r="P7" s="30"/>
      <c r="Q7" s="32"/>
    </row>
    <row r="8" spans="2:17" ht="15.5" x14ac:dyDescent="0.35">
      <c r="B8" s="28"/>
      <c r="C8" s="28"/>
      <c r="E8"/>
      <c r="F8" s="28"/>
      <c r="G8" s="28"/>
      <c r="H8" s="28"/>
      <c r="I8" s="28"/>
      <c r="L8" s="28"/>
      <c r="M8" s="28"/>
      <c r="N8" s="28"/>
      <c r="O8" s="28"/>
      <c r="P8" s="28"/>
      <c r="Q8" s="28"/>
    </row>
    <row r="9" spans="2:17" ht="15.5" x14ac:dyDescent="0.35">
      <c r="B9" s="28"/>
      <c r="C9" s="28"/>
      <c r="E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4" spans="2:17" x14ac:dyDescent="0.35">
      <c r="B14" s="285" t="s">
        <v>221</v>
      </c>
      <c r="C14" s="285"/>
      <c r="D14" s="285"/>
      <c r="E14" s="110"/>
    </row>
    <row r="15" spans="2:17" x14ac:dyDescent="0.35">
      <c r="B15" s="1">
        <v>2013</v>
      </c>
      <c r="C15" s="1">
        <v>2014</v>
      </c>
      <c r="D15" s="1">
        <v>2015</v>
      </c>
      <c r="E15" s="109">
        <v>2016</v>
      </c>
      <c r="F15" s="1">
        <v>2017</v>
      </c>
      <c r="G15" s="1">
        <v>2018</v>
      </c>
      <c r="H15" s="1">
        <v>2019</v>
      </c>
      <c r="I15" s="1">
        <v>2020</v>
      </c>
    </row>
    <row r="16" spans="2:17" x14ac:dyDescent="0.35">
      <c r="B16" s="116">
        <f>PRODUCT(B23:H23)</f>
        <v>1.0628266375198947</v>
      </c>
      <c r="C16" s="116">
        <f>PRODUCT(C23:H23)</f>
        <v>1.0538687531183883</v>
      </c>
      <c r="D16" s="116">
        <f>PRODUCT(D23:H23)</f>
        <v>1.0634397105130056</v>
      </c>
      <c r="E16" s="116">
        <f>PRODUCT(E23:H23)</f>
        <v>1.0539541234023839</v>
      </c>
      <c r="F16" s="116">
        <f>PRODUCT(F23:H23)</f>
        <v>1.0424867689440003</v>
      </c>
      <c r="G16" s="116">
        <f>PRODUCT(G23:H23)</f>
        <v>1.0287021600000001</v>
      </c>
      <c r="H16" s="116">
        <f>PRODUCT(H23:H23)</f>
        <v>1.0133000000000001</v>
      </c>
      <c r="I16" s="116"/>
    </row>
    <row r="19" spans="1:10" x14ac:dyDescent="0.35">
      <c r="B19" s="285" t="s">
        <v>3</v>
      </c>
      <c r="C19" s="285"/>
      <c r="D19" s="285"/>
    </row>
    <row r="21" spans="1:10" x14ac:dyDescent="0.35">
      <c r="B21" s="1">
        <v>2013</v>
      </c>
      <c r="C21" s="1">
        <v>2014</v>
      </c>
      <c r="D21" s="1">
        <v>2015</v>
      </c>
      <c r="E21" s="3">
        <v>2016</v>
      </c>
      <c r="F21" s="1">
        <v>2017</v>
      </c>
      <c r="G21" s="1">
        <v>2018</v>
      </c>
      <c r="H21" s="1">
        <v>2019</v>
      </c>
      <c r="I21" s="1">
        <v>2020</v>
      </c>
    </row>
    <row r="22" spans="1:10" x14ac:dyDescent="0.35">
      <c r="A22" t="s">
        <v>4</v>
      </c>
      <c r="B22" s="26">
        <v>1.33</v>
      </c>
      <c r="C22" s="26">
        <v>1.33</v>
      </c>
      <c r="D22" s="26">
        <v>1.1100000000000001</v>
      </c>
      <c r="E22" s="18">
        <v>1.1100000000000001</v>
      </c>
      <c r="F22" s="50">
        <v>1.1299999999999999</v>
      </c>
      <c r="G22" s="26">
        <v>1.18</v>
      </c>
      <c r="H22" s="26">
        <v>1.1200000000000001</v>
      </c>
      <c r="I22" s="26">
        <v>1.1100000000000001</v>
      </c>
    </row>
    <row r="23" spans="1:10" x14ac:dyDescent="0.35">
      <c r="A23" t="s">
        <v>5</v>
      </c>
      <c r="B23" s="25">
        <v>1.0085</v>
      </c>
      <c r="C23" s="25">
        <v>0.99099999999999999</v>
      </c>
      <c r="D23" s="25">
        <v>1.0089999999999999</v>
      </c>
      <c r="E23" s="21">
        <v>1.0109999999999999</v>
      </c>
      <c r="F23" s="25">
        <v>1.0134000000000001</v>
      </c>
      <c r="G23" s="25">
        <v>1.0152000000000001</v>
      </c>
      <c r="H23" s="25">
        <v>1.0133000000000001</v>
      </c>
      <c r="I23" s="25"/>
    </row>
    <row r="27" spans="1:10" x14ac:dyDescent="0.35">
      <c r="D27" s="1"/>
    </row>
    <row r="28" spans="1:10" x14ac:dyDescent="0.35">
      <c r="C28" s="1"/>
      <c r="D28" s="1"/>
    </row>
    <row r="29" spans="1:10" x14ac:dyDescent="0.35">
      <c r="C29" s="1"/>
      <c r="D29" s="1"/>
    </row>
    <row r="30" spans="1:10" x14ac:dyDescent="0.35">
      <c r="C30" s="300" t="s">
        <v>1</v>
      </c>
      <c r="D30" s="300"/>
      <c r="E30" s="300"/>
      <c r="F30" s="300"/>
      <c r="G30" s="300"/>
      <c r="H30" s="300"/>
      <c r="I30" s="300"/>
      <c r="J30" s="300"/>
    </row>
    <row r="31" spans="1:10" x14ac:dyDescent="0.35">
      <c r="E31" s="5"/>
      <c r="F31" s="5"/>
      <c r="G31" s="6"/>
      <c r="H31" s="6"/>
      <c r="I31" s="6"/>
      <c r="J31" s="6"/>
    </row>
    <row r="32" spans="1:10" x14ac:dyDescent="0.35">
      <c r="B32" s="296" t="s">
        <v>11</v>
      </c>
      <c r="C32" s="295" t="s">
        <v>25</v>
      </c>
      <c r="D32" s="295"/>
      <c r="E32" s="295"/>
      <c r="F32" s="289" t="s">
        <v>6</v>
      </c>
      <c r="G32" s="289"/>
      <c r="H32" s="290" t="s">
        <v>15</v>
      </c>
      <c r="I32" s="290"/>
      <c r="J32" s="290"/>
    </row>
    <row r="33" spans="2:12" ht="25.5" customHeight="1" x14ac:dyDescent="0.35">
      <c r="B33" s="296"/>
      <c r="C33" s="12" t="s">
        <v>7</v>
      </c>
      <c r="D33" s="12" t="s">
        <v>16</v>
      </c>
      <c r="E33" s="13" t="s">
        <v>8</v>
      </c>
      <c r="F33" s="7" t="s">
        <v>10</v>
      </c>
      <c r="G33" s="7" t="s">
        <v>9</v>
      </c>
      <c r="H33" s="8" t="s">
        <v>10</v>
      </c>
      <c r="I33" s="8" t="s">
        <v>9</v>
      </c>
      <c r="J33" s="8" t="s">
        <v>20</v>
      </c>
      <c r="L33" s="1" t="s">
        <v>32</v>
      </c>
    </row>
    <row r="34" spans="2:12" x14ac:dyDescent="0.35">
      <c r="B34" s="296"/>
      <c r="C34" s="9" t="s">
        <v>14</v>
      </c>
      <c r="D34" s="9" t="s">
        <v>18</v>
      </c>
      <c r="E34" s="14">
        <v>2013</v>
      </c>
      <c r="F34" s="9">
        <v>200</v>
      </c>
      <c r="G34" s="9">
        <v>200</v>
      </c>
      <c r="H34" s="9">
        <f>200*PRODUCT(B23:H23)/(50*B22)</f>
        <v>3.1964710902853977</v>
      </c>
      <c r="I34" s="9">
        <f>200*PRODUCT(B23:H23)/(50*B22)</f>
        <v>3.1964710902853977</v>
      </c>
      <c r="J34" s="9">
        <f>AVERAGE(H34,I34)</f>
        <v>3.1964710902853977</v>
      </c>
      <c r="L34" t="s">
        <v>21</v>
      </c>
    </row>
    <row r="35" spans="2:12" x14ac:dyDescent="0.35">
      <c r="B35" s="296"/>
      <c r="C35" s="10" t="s">
        <v>12</v>
      </c>
      <c r="D35" s="10" t="s">
        <v>19</v>
      </c>
      <c r="E35" s="15">
        <v>2015</v>
      </c>
      <c r="F35" s="10">
        <v>2.76</v>
      </c>
      <c r="G35" s="10">
        <v>2.76</v>
      </c>
      <c r="H35" s="10">
        <f>2.88*PRODUCT(D23:H23)/D22</f>
        <v>2.7591949245742842</v>
      </c>
      <c r="I35" s="10">
        <f>2.88*PRODUCT(D23:H23)/D22</f>
        <v>2.7591949245742842</v>
      </c>
      <c r="J35" s="10">
        <f>AVERAGE(H35,I35)</f>
        <v>2.7591949245742842</v>
      </c>
      <c r="L35" t="s">
        <v>21</v>
      </c>
    </row>
    <row r="36" spans="2:12" ht="14.25" customHeight="1" x14ac:dyDescent="0.35">
      <c r="B36" s="296"/>
      <c r="C36" s="11" t="s">
        <v>13</v>
      </c>
      <c r="D36" s="11" t="s">
        <v>17</v>
      </c>
      <c r="E36" s="16">
        <v>2017</v>
      </c>
      <c r="F36" s="11">
        <v>8</v>
      </c>
      <c r="G36" s="11">
        <v>10.3</v>
      </c>
      <c r="H36" s="11">
        <f>8*PRODUCT(F23:H23)</f>
        <v>8.3398941515520022</v>
      </c>
      <c r="I36" s="11">
        <f>10.3*PRODUCT(F23:H23)</f>
        <v>10.737613720123203</v>
      </c>
      <c r="J36" s="11">
        <f>AVERAGE(H36,I36)</f>
        <v>9.5387539358376028</v>
      </c>
      <c r="L36" t="s">
        <v>22</v>
      </c>
    </row>
    <row r="37" spans="2:12" x14ac:dyDescent="0.35">
      <c r="B37" s="4"/>
    </row>
    <row r="41" spans="2:12" x14ac:dyDescent="0.35">
      <c r="B41" s="293" t="s">
        <v>23</v>
      </c>
      <c r="C41" s="287" t="s">
        <v>24</v>
      </c>
      <c r="D41" s="288"/>
      <c r="E41" s="288"/>
      <c r="F41" s="289" t="s">
        <v>6</v>
      </c>
      <c r="G41" s="289"/>
      <c r="H41" s="290" t="s">
        <v>15</v>
      </c>
      <c r="I41" s="290"/>
      <c r="J41" s="290"/>
    </row>
    <row r="42" spans="2:12" x14ac:dyDescent="0.35">
      <c r="B42" s="293"/>
      <c r="C42" s="12" t="s">
        <v>7</v>
      </c>
      <c r="D42" s="12" t="s">
        <v>16</v>
      </c>
      <c r="E42" s="13" t="s">
        <v>8</v>
      </c>
      <c r="F42" s="7" t="s">
        <v>10</v>
      </c>
      <c r="G42" s="7" t="s">
        <v>9</v>
      </c>
      <c r="H42" s="8" t="s">
        <v>10</v>
      </c>
      <c r="I42" s="8" t="s">
        <v>9</v>
      </c>
      <c r="J42" s="8" t="s">
        <v>20</v>
      </c>
      <c r="L42" s="1" t="s">
        <v>32</v>
      </c>
    </row>
    <row r="43" spans="2:12" ht="14.25" customHeight="1" x14ac:dyDescent="0.35">
      <c r="B43" s="293"/>
      <c r="C43" s="17" t="s">
        <v>26</v>
      </c>
      <c r="D43" s="11" t="s">
        <v>18</v>
      </c>
      <c r="E43" s="18">
        <v>2013</v>
      </c>
      <c r="F43" s="19">
        <v>260</v>
      </c>
      <c r="G43" s="19">
        <v>590</v>
      </c>
      <c r="H43" s="19">
        <f>260*PRODUCT(B23:H23)/(50*B22)</f>
        <v>4.155412417371017</v>
      </c>
      <c r="I43" s="19">
        <f>590*PRODUCT(B23:H23)/(50*B22)</f>
        <v>9.4295897163419227</v>
      </c>
      <c r="J43" s="19">
        <f>AVERAGE(H43,I43)</f>
        <v>6.7925010668564703</v>
      </c>
      <c r="L43" t="s">
        <v>21</v>
      </c>
    </row>
    <row r="44" spans="2:12" x14ac:dyDescent="0.35">
      <c r="B44" s="293"/>
      <c r="C44" s="20" t="s">
        <v>27</v>
      </c>
      <c r="D44" s="10" t="s">
        <v>19</v>
      </c>
      <c r="E44" s="21">
        <v>2015</v>
      </c>
      <c r="F44" s="22">
        <v>1.93</v>
      </c>
      <c r="G44" s="22">
        <v>2.88</v>
      </c>
      <c r="H44" s="22">
        <f>1.93*PRODUCT(D23:H23)/D22</f>
        <v>1.8490438209820723</v>
      </c>
      <c r="I44" s="22">
        <f>2.88*PRODUCT(D23:H23)/D22</f>
        <v>2.7591949245742842</v>
      </c>
      <c r="J44" s="22">
        <f>AVERAGE(H44,I44)</f>
        <v>2.3041193727781781</v>
      </c>
      <c r="L44" t="s">
        <v>21</v>
      </c>
    </row>
    <row r="45" spans="2:12" x14ac:dyDescent="0.35">
      <c r="B45" s="293"/>
      <c r="C45" s="23" t="s">
        <v>28</v>
      </c>
      <c r="D45" s="11" t="s">
        <v>17</v>
      </c>
      <c r="E45" s="18">
        <v>2017</v>
      </c>
      <c r="F45" s="19">
        <v>10</v>
      </c>
      <c r="G45" s="19">
        <v>12.7</v>
      </c>
      <c r="H45" s="19">
        <f>10*PRODUCT(F23:H23)</f>
        <v>10.424867689440003</v>
      </c>
      <c r="I45" s="19">
        <f>12.7*PRODUCT(G23:I23)</f>
        <v>13.064517432000001</v>
      </c>
      <c r="J45" s="19">
        <f>AVERAGE(H45,I45)</f>
        <v>11.744692560720001</v>
      </c>
      <c r="L45" t="s">
        <v>22</v>
      </c>
    </row>
    <row r="46" spans="2:12" ht="15" thickBot="1" x14ac:dyDescent="0.4">
      <c r="B46" s="293"/>
      <c r="C46" s="24" t="s">
        <v>29</v>
      </c>
      <c r="D46" s="10" t="s">
        <v>17</v>
      </c>
      <c r="E46" s="21">
        <v>2018</v>
      </c>
      <c r="F46" s="22">
        <v>5.33</v>
      </c>
      <c r="G46" s="22">
        <v>5.33</v>
      </c>
      <c r="H46" s="22">
        <f>5.33*PRODUCT(G23:H23)</f>
        <v>5.4829825128000005</v>
      </c>
      <c r="I46" s="22">
        <f>5.33*PRODUCT(G23:H23)</f>
        <v>5.4829825128000005</v>
      </c>
      <c r="J46" s="22">
        <f>AVERAGE(H46,I46)</f>
        <v>5.4829825128000005</v>
      </c>
      <c r="L46" t="s">
        <v>33</v>
      </c>
    </row>
    <row r="47" spans="2:12" x14ac:dyDescent="0.35">
      <c r="B47" s="31"/>
    </row>
    <row r="48" spans="2:12" x14ac:dyDescent="0.35">
      <c r="B48" s="31"/>
    </row>
    <row r="49" spans="2:13" x14ac:dyDescent="0.35">
      <c r="B49" s="31"/>
    </row>
    <row r="50" spans="2:13" x14ac:dyDescent="0.35">
      <c r="B50" s="297" t="s">
        <v>42</v>
      </c>
      <c r="C50" s="287" t="s">
        <v>30</v>
      </c>
      <c r="D50" s="288"/>
      <c r="E50" s="288"/>
      <c r="F50" s="289" t="s">
        <v>6</v>
      </c>
      <c r="G50" s="289"/>
      <c r="H50" s="290" t="s">
        <v>15</v>
      </c>
      <c r="I50" s="290"/>
      <c r="J50" s="290"/>
    </row>
    <row r="51" spans="2:13" x14ac:dyDescent="0.35">
      <c r="B51" s="298"/>
      <c r="C51" s="12" t="s">
        <v>7</v>
      </c>
      <c r="D51" s="12" t="s">
        <v>16</v>
      </c>
      <c r="E51" s="13" t="s">
        <v>8</v>
      </c>
      <c r="F51" s="7" t="s">
        <v>10</v>
      </c>
      <c r="G51" s="7" t="s">
        <v>9</v>
      </c>
      <c r="H51" s="8" t="s">
        <v>10</v>
      </c>
      <c r="I51" s="8" t="s">
        <v>9</v>
      </c>
      <c r="J51" s="8" t="s">
        <v>20</v>
      </c>
      <c r="L51" s="1" t="s">
        <v>32</v>
      </c>
    </row>
    <row r="52" spans="2:13" x14ac:dyDescent="0.35">
      <c r="B52" s="298"/>
      <c r="C52" s="20" t="s">
        <v>28</v>
      </c>
      <c r="D52" s="87" t="s">
        <v>17</v>
      </c>
      <c r="E52" s="90">
        <v>2017</v>
      </c>
      <c r="F52" s="87">
        <v>3</v>
      </c>
      <c r="G52" s="25">
        <v>4</v>
      </c>
      <c r="H52" s="22">
        <f>3*PRODUCT(F23:H23)</f>
        <v>3.1274603068320008</v>
      </c>
      <c r="I52" s="22">
        <f>4*PRODUCT(F23:H23)</f>
        <v>4.1699470757760011</v>
      </c>
      <c r="J52" s="22">
        <f>AVERAGE(H52,I52)</f>
        <v>3.648703691304001</v>
      </c>
    </row>
    <row r="53" spans="2:13" x14ac:dyDescent="0.35">
      <c r="B53" s="298"/>
      <c r="C53" s="89" t="s">
        <v>31</v>
      </c>
      <c r="D53" s="88" t="s">
        <v>17</v>
      </c>
      <c r="E53" s="78">
        <v>2017</v>
      </c>
      <c r="F53" s="88">
        <v>10</v>
      </c>
      <c r="G53" s="26">
        <v>15</v>
      </c>
      <c r="H53" s="19">
        <f>10*PRODUCT(D23:H23)</f>
        <v>10.634397105130056</v>
      </c>
      <c r="I53" s="19">
        <f>15*PRODUCT(D23:H23)</f>
        <v>15.951595657695083</v>
      </c>
      <c r="J53" s="19">
        <f>AVERAGE(H53,I53)</f>
        <v>13.29299638141257</v>
      </c>
    </row>
    <row r="54" spans="2:13" x14ac:dyDescent="0.35">
      <c r="B54" s="68"/>
      <c r="C54" s="122"/>
      <c r="D54" s="123"/>
      <c r="E54" s="71"/>
      <c r="F54" s="68"/>
      <c r="G54" s="68"/>
    </row>
    <row r="55" spans="2:13" x14ac:dyDescent="0.35">
      <c r="B55" s="123"/>
      <c r="C55" s="122"/>
      <c r="D55" s="123"/>
      <c r="E55" s="124"/>
      <c r="F55" s="123"/>
      <c r="G55" s="123"/>
    </row>
    <row r="56" spans="2:13" x14ac:dyDescent="0.35">
      <c r="B56" s="31"/>
    </row>
    <row r="57" spans="2:13" x14ac:dyDescent="0.35">
      <c r="B57" s="31"/>
      <c r="C57" s="287" t="s">
        <v>34</v>
      </c>
      <c r="D57" s="288"/>
      <c r="E57" s="288"/>
      <c r="F57" s="289" t="s">
        <v>6</v>
      </c>
      <c r="G57" s="289"/>
      <c r="H57" s="290" t="s">
        <v>15</v>
      </c>
      <c r="I57" s="290"/>
      <c r="J57" s="290"/>
    </row>
    <row r="58" spans="2:13" x14ac:dyDescent="0.35">
      <c r="B58" s="31"/>
      <c r="C58" s="12" t="s">
        <v>7</v>
      </c>
      <c r="D58" s="12" t="s">
        <v>16</v>
      </c>
      <c r="E58" s="13" t="s">
        <v>8</v>
      </c>
      <c r="F58" s="7" t="s">
        <v>10</v>
      </c>
      <c r="G58" s="7" t="s">
        <v>9</v>
      </c>
      <c r="H58" s="8" t="s">
        <v>10</v>
      </c>
      <c r="I58" s="8" t="s">
        <v>9</v>
      </c>
      <c r="J58" s="8" t="s">
        <v>20</v>
      </c>
      <c r="L58" s="85" t="s">
        <v>32</v>
      </c>
    </row>
    <row r="59" spans="2:13" ht="14.25" customHeight="1" x14ac:dyDescent="0.35">
      <c r="B59" s="299" t="s">
        <v>34</v>
      </c>
      <c r="C59" s="75" t="s">
        <v>35</v>
      </c>
      <c r="D59" s="76" t="s">
        <v>41</v>
      </c>
      <c r="E59" s="76">
        <v>2017</v>
      </c>
      <c r="F59" s="76">
        <v>250</v>
      </c>
      <c r="G59" s="76">
        <v>250</v>
      </c>
      <c r="H59" s="80">
        <f>$F59*PRODUCT(F23:H23)</f>
        <v>260.62169223600006</v>
      </c>
      <c r="I59" s="80">
        <f>$F59*PRODUCT(F23:H23)</f>
        <v>260.62169223600006</v>
      </c>
      <c r="J59" s="80">
        <f>(H59+I59)/2</f>
        <v>260.62169223600006</v>
      </c>
      <c r="K59" s="71"/>
      <c r="L59" s="72"/>
      <c r="M59" s="68"/>
    </row>
    <row r="60" spans="2:13" x14ac:dyDescent="0.35">
      <c r="B60" s="299"/>
      <c r="C60" s="77" t="s">
        <v>36</v>
      </c>
      <c r="D60" s="78" t="s">
        <v>41</v>
      </c>
      <c r="E60" s="78">
        <v>2018</v>
      </c>
      <c r="F60" s="78">
        <v>147</v>
      </c>
      <c r="G60" s="78">
        <v>210</v>
      </c>
      <c r="H60" s="81">
        <f>$F60*PRODUCT(F23:H23)</f>
        <v>153.24555503476805</v>
      </c>
      <c r="I60" s="81">
        <f>$G60*PRODUCT(F23:H23)</f>
        <v>218.92222147824006</v>
      </c>
      <c r="J60" s="79">
        <f t="shared" ref="J60:J74" si="0">(H60+I60)/2</f>
        <v>186.08388825650405</v>
      </c>
      <c r="K60" s="71"/>
      <c r="L60" s="73" t="s">
        <v>162</v>
      </c>
      <c r="M60" s="68"/>
    </row>
    <row r="61" spans="2:13" x14ac:dyDescent="0.35">
      <c r="B61" s="299"/>
      <c r="C61" s="75" t="s">
        <v>37</v>
      </c>
      <c r="D61" s="76" t="s">
        <v>41</v>
      </c>
      <c r="E61" s="76">
        <v>2018</v>
      </c>
      <c r="F61" s="76">
        <v>220</v>
      </c>
      <c r="G61" s="76">
        <v>250</v>
      </c>
      <c r="H61" s="80">
        <f>F61*PRODUCT(G23:H23)</f>
        <v>226.31447520000003</v>
      </c>
      <c r="I61" s="80">
        <f>G61*PRODUCT(G23:H23)</f>
        <v>257.17554000000001</v>
      </c>
      <c r="J61" s="80">
        <f t="shared" si="0"/>
        <v>241.74500760000001</v>
      </c>
      <c r="K61" s="71"/>
      <c r="L61" s="73"/>
      <c r="M61" s="68"/>
    </row>
    <row r="62" spans="2:13" x14ac:dyDescent="0.35">
      <c r="B62" s="299"/>
      <c r="C62" s="77" t="s">
        <v>38</v>
      </c>
      <c r="D62" s="78" t="s">
        <v>41</v>
      </c>
      <c r="E62" s="78">
        <v>2018</v>
      </c>
      <c r="F62" s="78">
        <v>130</v>
      </c>
      <c r="G62" s="78">
        <v>170</v>
      </c>
      <c r="H62" s="81">
        <f>F62*PRODUCT(G23:H23)</f>
        <v>133.73128080000001</v>
      </c>
      <c r="I62" s="81">
        <f>G62*PRODUCT(G23:H23)</f>
        <v>174.87936720000002</v>
      </c>
      <c r="J62" s="79">
        <f t="shared" si="0"/>
        <v>154.30532400000001</v>
      </c>
      <c r="K62" s="71"/>
      <c r="L62" s="73"/>
      <c r="M62" s="68"/>
    </row>
    <row r="63" spans="2:13" x14ac:dyDescent="0.35">
      <c r="B63" s="299"/>
      <c r="C63" s="75" t="s">
        <v>39</v>
      </c>
      <c r="D63" s="76" t="s">
        <v>41</v>
      </c>
      <c r="E63" s="76">
        <v>2019</v>
      </c>
      <c r="F63" s="76">
        <v>171</v>
      </c>
      <c r="G63" s="76">
        <v>253</v>
      </c>
      <c r="H63" s="80">
        <f>F63*H23</f>
        <v>173.27430000000001</v>
      </c>
      <c r="I63" s="80">
        <f>G63*H23</f>
        <v>256.36490000000003</v>
      </c>
      <c r="J63" s="80">
        <f t="shared" si="0"/>
        <v>214.81960000000004</v>
      </c>
      <c r="K63" s="71"/>
      <c r="L63" s="74" t="s">
        <v>159</v>
      </c>
      <c r="M63" s="68"/>
    </row>
    <row r="64" spans="2:13" x14ac:dyDescent="0.35">
      <c r="B64" s="299"/>
      <c r="C64" s="77" t="s">
        <v>28</v>
      </c>
      <c r="D64" s="78" t="s">
        <v>44</v>
      </c>
      <c r="E64" s="78">
        <v>2019</v>
      </c>
      <c r="F64" s="78">
        <v>140</v>
      </c>
      <c r="G64" s="78">
        <v>207</v>
      </c>
      <c r="H64" s="81">
        <f>F64*PRODUCT(F23:H23)</f>
        <v>145.94814765216003</v>
      </c>
      <c r="I64" s="81">
        <f>G64*PRODUCT(F23:H23)</f>
        <v>215.79476117140806</v>
      </c>
      <c r="J64" s="79">
        <f t="shared" si="0"/>
        <v>180.87145441178404</v>
      </c>
      <c r="K64" s="71"/>
      <c r="L64" s="74" t="s">
        <v>160</v>
      </c>
      <c r="M64" s="68"/>
    </row>
    <row r="65" spans="1:13" x14ac:dyDescent="0.35">
      <c r="B65" s="299"/>
      <c r="C65" s="75" t="s">
        <v>40</v>
      </c>
      <c r="D65" s="76" t="s">
        <v>41</v>
      </c>
      <c r="E65" s="76">
        <v>2020</v>
      </c>
      <c r="F65" s="76">
        <v>149.1</v>
      </c>
      <c r="G65" s="76">
        <v>203.8</v>
      </c>
      <c r="H65" s="80">
        <v>149.1</v>
      </c>
      <c r="I65" s="80">
        <v>203.8</v>
      </c>
      <c r="J65" s="80">
        <f t="shared" si="0"/>
        <v>176.45</v>
      </c>
      <c r="K65" s="71"/>
      <c r="L65" s="74" t="s">
        <v>161</v>
      </c>
      <c r="M65" s="68"/>
    </row>
    <row r="66" spans="1:13" x14ac:dyDescent="0.35">
      <c r="B66" s="299"/>
      <c r="C66" s="77" t="s">
        <v>35</v>
      </c>
      <c r="D66" s="78" t="s">
        <v>45</v>
      </c>
      <c r="E66" s="78">
        <v>2020</v>
      </c>
      <c r="F66" s="78">
        <v>70</v>
      </c>
      <c r="G66" s="78">
        <v>70</v>
      </c>
      <c r="H66" s="81">
        <f>F66*PRODUCT(G23:H23)</f>
        <v>72.009151200000005</v>
      </c>
      <c r="I66" s="81">
        <f>G66*PRODUCT(G23:H23)</f>
        <v>72.009151200000005</v>
      </c>
      <c r="J66" s="79">
        <f t="shared" si="0"/>
        <v>72.009151200000005</v>
      </c>
      <c r="K66" s="71"/>
      <c r="L66" s="73"/>
      <c r="M66" s="68"/>
    </row>
    <row r="67" spans="1:13" x14ac:dyDescent="0.35">
      <c r="B67" s="299"/>
      <c r="C67" s="75" t="s">
        <v>36</v>
      </c>
      <c r="D67" s="76" t="s">
        <v>44</v>
      </c>
      <c r="E67" s="76">
        <v>2025</v>
      </c>
      <c r="F67" s="76">
        <v>110</v>
      </c>
      <c r="G67" s="76">
        <v>126</v>
      </c>
      <c r="H67" s="80">
        <f>F67*PRODUCT(F23:H23)</f>
        <v>114.67354458384003</v>
      </c>
      <c r="I67" s="80">
        <f>G67*PRODUCT(F23:H23)</f>
        <v>131.35333288694403</v>
      </c>
      <c r="J67" s="80">
        <f t="shared" si="0"/>
        <v>123.01343873539203</v>
      </c>
      <c r="K67" s="71"/>
      <c r="L67" s="73" t="s">
        <v>162</v>
      </c>
      <c r="M67" s="68"/>
    </row>
    <row r="68" spans="1:13" x14ac:dyDescent="0.35">
      <c r="B68" s="299"/>
      <c r="C68" s="77" t="s">
        <v>36</v>
      </c>
      <c r="D68" s="78" t="s">
        <v>44</v>
      </c>
      <c r="E68" s="78">
        <v>2025</v>
      </c>
      <c r="F68" s="78">
        <v>85</v>
      </c>
      <c r="G68" s="78">
        <v>100</v>
      </c>
      <c r="H68" s="81">
        <f>F68*PRODUCT(F23:H23)</f>
        <v>88.611375360240018</v>
      </c>
      <c r="I68" s="81">
        <f>G68*PRODUCT(F23:H23)</f>
        <v>104.24867689440003</v>
      </c>
      <c r="J68" s="79">
        <f t="shared" si="0"/>
        <v>96.430026127320019</v>
      </c>
      <c r="K68" s="71"/>
      <c r="L68" s="73" t="s">
        <v>162</v>
      </c>
      <c r="M68" s="68"/>
    </row>
    <row r="69" spans="1:13" x14ac:dyDescent="0.35">
      <c r="B69" s="299"/>
      <c r="C69" s="75" t="s">
        <v>37</v>
      </c>
      <c r="D69" s="76" t="s">
        <v>45</v>
      </c>
      <c r="E69" s="76">
        <v>2025</v>
      </c>
      <c r="F69" s="76">
        <v>125</v>
      </c>
      <c r="G69" s="76">
        <v>125</v>
      </c>
      <c r="H69" s="80">
        <f>G69*PRODUCT(G23:H23)</f>
        <v>128.58777000000001</v>
      </c>
      <c r="I69" s="80">
        <f>G69*PRODUCT(G23:H23)</f>
        <v>128.58777000000001</v>
      </c>
      <c r="J69" s="80">
        <f t="shared" si="0"/>
        <v>128.58777000000001</v>
      </c>
      <c r="K69" s="71"/>
      <c r="L69" s="73"/>
      <c r="M69" s="68"/>
    </row>
    <row r="70" spans="1:13" x14ac:dyDescent="0.35">
      <c r="B70" s="299"/>
      <c r="C70" s="77" t="s">
        <v>40</v>
      </c>
      <c r="D70" s="78" t="s">
        <v>46</v>
      </c>
      <c r="E70" s="78">
        <v>2025</v>
      </c>
      <c r="F70" s="78">
        <v>92.2</v>
      </c>
      <c r="G70" s="78">
        <v>126.1</v>
      </c>
      <c r="H70" s="81">
        <f>F70*H23</f>
        <v>93.426260000000013</v>
      </c>
      <c r="I70" s="81">
        <f>G70*H23</f>
        <v>127.77713</v>
      </c>
      <c r="J70" s="79">
        <f t="shared" si="0"/>
        <v>110.60169500000001</v>
      </c>
      <c r="K70" s="71"/>
      <c r="L70" s="74" t="s">
        <v>161</v>
      </c>
      <c r="M70" s="68"/>
    </row>
    <row r="71" spans="1:13" x14ac:dyDescent="0.35">
      <c r="B71" s="299"/>
      <c r="C71" s="75" t="s">
        <v>38</v>
      </c>
      <c r="D71" s="76" t="s">
        <v>46</v>
      </c>
      <c r="E71" s="76">
        <v>2030</v>
      </c>
      <c r="F71" s="76">
        <v>100</v>
      </c>
      <c r="G71" s="76">
        <v>150</v>
      </c>
      <c r="H71" s="80">
        <f>F71*H23</f>
        <v>101.33000000000001</v>
      </c>
      <c r="I71" s="80">
        <f>G71*H23</f>
        <v>151.995</v>
      </c>
      <c r="J71" s="80">
        <f t="shared" si="0"/>
        <v>126.66250000000001</v>
      </c>
      <c r="K71" s="71"/>
      <c r="L71" s="73"/>
      <c r="M71" s="68"/>
    </row>
    <row r="72" spans="1:13" x14ac:dyDescent="0.35">
      <c r="B72" s="299"/>
      <c r="C72" s="77" t="s">
        <v>39</v>
      </c>
      <c r="D72" s="78" t="s">
        <v>45</v>
      </c>
      <c r="E72" s="78">
        <v>2030</v>
      </c>
      <c r="F72" s="78">
        <v>171</v>
      </c>
      <c r="G72" s="78">
        <v>253</v>
      </c>
      <c r="H72" s="81">
        <f>F72*PRODUCT(G23:H23)</f>
        <v>175.90806936000001</v>
      </c>
      <c r="I72" s="81">
        <f>G72*PRODUCT(G23:H23)</f>
        <v>260.26164648000002</v>
      </c>
      <c r="J72" s="79">
        <f t="shared" si="0"/>
        <v>218.08485792000002</v>
      </c>
      <c r="K72" s="71"/>
      <c r="L72" s="74" t="s">
        <v>159</v>
      </c>
      <c r="M72" s="68"/>
    </row>
    <row r="73" spans="1:13" x14ac:dyDescent="0.35">
      <c r="B73" s="299"/>
      <c r="C73" s="75" t="s">
        <v>28</v>
      </c>
      <c r="D73" s="76" t="s">
        <v>44</v>
      </c>
      <c r="E73" s="76">
        <v>2030</v>
      </c>
      <c r="F73" s="76">
        <v>122</v>
      </c>
      <c r="G73" s="76">
        <v>204</v>
      </c>
      <c r="H73" s="82">
        <f>F73*PRODUCT(F23:H23)</f>
        <v>127.18338581116804</v>
      </c>
      <c r="I73" s="82">
        <f>G73*PRODUCT(F23:H23)</f>
        <v>212.66730086457605</v>
      </c>
      <c r="J73" s="80">
        <f t="shared" si="0"/>
        <v>169.92534333787205</v>
      </c>
      <c r="K73" s="71"/>
      <c r="L73" s="74" t="s">
        <v>160</v>
      </c>
      <c r="M73" s="68"/>
    </row>
    <row r="74" spans="1:13" x14ac:dyDescent="0.35">
      <c r="B74" s="299"/>
      <c r="C74" s="77" t="s">
        <v>28</v>
      </c>
      <c r="D74" s="78" t="s">
        <v>44</v>
      </c>
      <c r="E74" s="78">
        <v>2030</v>
      </c>
      <c r="F74" s="78">
        <v>117</v>
      </c>
      <c r="G74" s="78">
        <v>200</v>
      </c>
      <c r="H74" s="83">
        <f>F74*PRODUCT(F23:H23)</f>
        <v>121.97095196644803</v>
      </c>
      <c r="I74" s="83">
        <f>G74*PRODUCT(F23:H23)</f>
        <v>208.49735378880007</v>
      </c>
      <c r="J74" s="79">
        <f t="shared" si="0"/>
        <v>165.23415287762404</v>
      </c>
      <c r="K74" s="71"/>
      <c r="L74" s="74" t="s">
        <v>160</v>
      </c>
      <c r="M74" s="68"/>
    </row>
    <row r="75" spans="1:13" x14ac:dyDescent="0.35">
      <c r="C75" s="71"/>
      <c r="D75" s="71"/>
      <c r="E75" s="71"/>
      <c r="F75" s="71"/>
      <c r="G75" s="71"/>
      <c r="H75" s="71"/>
      <c r="I75" s="71"/>
      <c r="J75" s="71"/>
      <c r="K75" s="71"/>
      <c r="L75" s="72"/>
      <c r="M75" s="68"/>
    </row>
    <row r="76" spans="1:13" x14ac:dyDescent="0.35">
      <c r="C76" s="68"/>
      <c r="D76" s="68"/>
      <c r="E76" s="71"/>
      <c r="F76" s="68"/>
      <c r="G76" s="68"/>
      <c r="H76" s="68"/>
      <c r="I76" s="68"/>
      <c r="J76" s="68"/>
      <c r="K76" s="68"/>
      <c r="L76" s="72"/>
      <c r="M76" s="68"/>
    </row>
    <row r="77" spans="1:13" ht="19" x14ac:dyDescent="0.4">
      <c r="A77" s="84"/>
      <c r="B77" s="84"/>
      <c r="C77" s="84"/>
      <c r="D77" s="84"/>
      <c r="E77" s="68"/>
      <c r="F77" s="68"/>
      <c r="G77" s="68"/>
      <c r="H77" s="68"/>
      <c r="I77" s="68"/>
      <c r="J77" s="68"/>
      <c r="K77" s="68"/>
      <c r="L77" s="72"/>
    </row>
    <row r="78" spans="1:13" x14ac:dyDescent="0.3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8"/>
    </row>
    <row r="79" spans="1:13" ht="14.25" customHeight="1" x14ac:dyDescent="0.35">
      <c r="A79" s="70"/>
      <c r="B79" s="291" t="s">
        <v>164</v>
      </c>
      <c r="C79" s="287" t="s">
        <v>164</v>
      </c>
      <c r="D79" s="288"/>
      <c r="E79" s="288"/>
      <c r="F79" s="289" t="s">
        <v>6</v>
      </c>
      <c r="G79" s="289"/>
      <c r="H79" s="290" t="s">
        <v>15</v>
      </c>
      <c r="I79" s="290"/>
      <c r="J79" s="290"/>
      <c r="K79" s="70"/>
      <c r="L79" s="68"/>
    </row>
    <row r="80" spans="1:13" ht="14.25" customHeight="1" x14ac:dyDescent="0.35">
      <c r="A80" s="70"/>
      <c r="B80" s="291"/>
      <c r="C80" s="12" t="s">
        <v>7</v>
      </c>
      <c r="D80" s="12" t="s">
        <v>16</v>
      </c>
      <c r="E80" s="51" t="s">
        <v>8</v>
      </c>
      <c r="F80" s="7" t="s">
        <v>10</v>
      </c>
      <c r="G80" s="7" t="s">
        <v>9</v>
      </c>
      <c r="H80" s="8" t="s">
        <v>10</v>
      </c>
      <c r="I80" s="8" t="s">
        <v>9</v>
      </c>
      <c r="J80" s="8" t="s">
        <v>20</v>
      </c>
      <c r="K80" s="70"/>
      <c r="L80" s="85" t="s">
        <v>32</v>
      </c>
    </row>
    <row r="81" spans="1:12" x14ac:dyDescent="0.35">
      <c r="A81" s="70"/>
      <c r="B81" s="291"/>
      <c r="C81" s="75" t="s">
        <v>12</v>
      </c>
      <c r="D81" s="75" t="s">
        <v>165</v>
      </c>
      <c r="E81" s="75">
        <v>2015</v>
      </c>
      <c r="F81" s="86">
        <f>H81*D22 /PRODUCT(D23:H23)</f>
        <v>1.57</v>
      </c>
      <c r="G81" s="75"/>
      <c r="H81" s="86">
        <v>1.504144455410287</v>
      </c>
      <c r="I81" s="75"/>
      <c r="J81" s="75"/>
      <c r="K81" s="70"/>
      <c r="L81" t="s">
        <v>163</v>
      </c>
    </row>
    <row r="82" spans="1:12" x14ac:dyDescent="0.35">
      <c r="A82" s="70"/>
      <c r="B82" s="102"/>
      <c r="C82" s="70"/>
      <c r="D82" s="70"/>
      <c r="E82" s="70"/>
      <c r="F82" s="101"/>
      <c r="G82" s="70"/>
      <c r="H82" s="101"/>
      <c r="I82" s="70"/>
      <c r="J82" s="70"/>
      <c r="K82" s="70"/>
    </row>
    <row r="83" spans="1:12" x14ac:dyDescent="0.35">
      <c r="A83" s="70"/>
      <c r="B83" s="102"/>
      <c r="C83" s="70"/>
      <c r="D83" s="70"/>
      <c r="E83" s="70"/>
      <c r="F83" s="101"/>
      <c r="G83" s="70"/>
      <c r="H83" s="101"/>
      <c r="I83" s="70"/>
      <c r="J83" s="70"/>
      <c r="K83" s="70"/>
    </row>
    <row r="84" spans="1:12" x14ac:dyDescent="0.35">
      <c r="A84" s="70"/>
      <c r="B84" s="102"/>
      <c r="C84" s="70"/>
      <c r="D84" s="70"/>
      <c r="E84" s="70"/>
      <c r="F84" s="101"/>
      <c r="G84" s="70"/>
      <c r="H84" s="101"/>
      <c r="I84" s="70"/>
      <c r="J84" s="70"/>
      <c r="K84" s="70"/>
    </row>
    <row r="85" spans="1:12" x14ac:dyDescent="0.35">
      <c r="A85" s="70"/>
      <c r="B85" s="291" t="s">
        <v>124</v>
      </c>
      <c r="C85" s="292" t="s">
        <v>181</v>
      </c>
      <c r="D85" s="292"/>
      <c r="E85" s="292"/>
      <c r="F85" s="292"/>
      <c r="G85" s="292"/>
      <c r="H85" s="292"/>
      <c r="I85" s="292"/>
      <c r="J85" s="292"/>
      <c r="K85" s="70"/>
    </row>
    <row r="86" spans="1:12" x14ac:dyDescent="0.35">
      <c r="A86" s="70"/>
      <c r="B86" s="291"/>
      <c r="C86" s="70"/>
      <c r="D86" s="70"/>
      <c r="E86" s="70"/>
      <c r="F86" s="101"/>
      <c r="G86" s="70"/>
      <c r="H86" s="101"/>
      <c r="I86" s="70"/>
      <c r="J86" s="70"/>
      <c r="K86" s="70"/>
    </row>
    <row r="87" spans="1:12" x14ac:dyDescent="0.35">
      <c r="A87" s="70"/>
      <c r="B87" s="291"/>
      <c r="C87" s="287" t="s">
        <v>186</v>
      </c>
      <c r="D87" s="288"/>
      <c r="E87" s="288"/>
      <c r="F87" s="289" t="s">
        <v>6</v>
      </c>
      <c r="G87" s="289"/>
      <c r="H87" s="290" t="s">
        <v>15</v>
      </c>
      <c r="I87" s="290"/>
      <c r="J87" s="290"/>
      <c r="K87" s="70"/>
    </row>
    <row r="88" spans="1:12" x14ac:dyDescent="0.35">
      <c r="A88" s="70"/>
      <c r="B88" s="291"/>
      <c r="C88" s="12" t="s">
        <v>7</v>
      </c>
      <c r="D88" s="12" t="s">
        <v>16</v>
      </c>
      <c r="E88" s="99" t="s">
        <v>8</v>
      </c>
      <c r="F88" s="7" t="s">
        <v>10</v>
      </c>
      <c r="G88" s="7" t="s">
        <v>9</v>
      </c>
      <c r="H88" s="8" t="s">
        <v>10</v>
      </c>
      <c r="I88" s="8" t="s">
        <v>9</v>
      </c>
      <c r="J88" s="8" t="s">
        <v>20</v>
      </c>
      <c r="K88" s="70"/>
    </row>
    <row r="89" spans="1:12" x14ac:dyDescent="0.35">
      <c r="A89" s="70"/>
      <c r="B89" s="291"/>
      <c r="C89" s="75" t="s">
        <v>182</v>
      </c>
      <c r="D89" s="75" t="s">
        <v>183</v>
      </c>
      <c r="E89" s="75">
        <v>2014</v>
      </c>
      <c r="F89" s="86">
        <v>1.39</v>
      </c>
      <c r="G89" s="75"/>
      <c r="H89" s="86">
        <f>F89*PRODUCT(D23:H23)</f>
        <v>1.4781811976130776</v>
      </c>
      <c r="I89" s="75"/>
      <c r="J89" s="75"/>
      <c r="K89" s="70"/>
    </row>
    <row r="90" spans="1:12" x14ac:dyDescent="0.35">
      <c r="A90" s="70"/>
      <c r="B90" s="291"/>
      <c r="C90" s="70"/>
      <c r="D90" s="70"/>
      <c r="E90" s="70"/>
      <c r="F90" s="101"/>
      <c r="G90" s="70"/>
      <c r="H90" s="101"/>
      <c r="I90" s="70"/>
      <c r="J90" s="70"/>
      <c r="K90" s="70"/>
    </row>
    <row r="91" spans="1:12" x14ac:dyDescent="0.35">
      <c r="A91" s="70"/>
      <c r="B91" s="291"/>
      <c r="C91" s="70"/>
      <c r="D91" s="70"/>
      <c r="E91" s="70"/>
      <c r="F91" s="101"/>
      <c r="G91" s="70"/>
      <c r="H91" s="101"/>
      <c r="I91" s="70"/>
      <c r="J91" s="70"/>
      <c r="K91" s="70"/>
    </row>
    <row r="92" spans="1:12" x14ac:dyDescent="0.35">
      <c r="A92" s="70"/>
      <c r="B92" s="291"/>
      <c r="C92" s="287" t="s">
        <v>185</v>
      </c>
      <c r="D92" s="288"/>
      <c r="E92" s="288"/>
      <c r="F92" s="289" t="s">
        <v>6</v>
      </c>
      <c r="G92" s="289"/>
      <c r="H92" s="290" t="s">
        <v>15</v>
      </c>
      <c r="I92" s="290"/>
      <c r="J92" s="290"/>
      <c r="K92" s="70"/>
    </row>
    <row r="93" spans="1:12" x14ac:dyDescent="0.35">
      <c r="A93" s="70"/>
      <c r="B93" s="291"/>
      <c r="C93" s="12" t="s">
        <v>7</v>
      </c>
      <c r="D93" s="12" t="s">
        <v>16</v>
      </c>
      <c r="E93" s="99" t="s">
        <v>8</v>
      </c>
      <c r="F93" s="7" t="s">
        <v>10</v>
      </c>
      <c r="G93" s="7" t="s">
        <v>9</v>
      </c>
      <c r="H93" s="8" t="s">
        <v>10</v>
      </c>
      <c r="I93" s="8" t="s">
        <v>9</v>
      </c>
      <c r="J93" s="8" t="s">
        <v>20</v>
      </c>
      <c r="K93" s="70"/>
    </row>
    <row r="94" spans="1:12" x14ac:dyDescent="0.35">
      <c r="A94" s="70"/>
      <c r="B94" s="291"/>
      <c r="C94" s="75" t="s">
        <v>182</v>
      </c>
      <c r="D94" s="75" t="s">
        <v>183</v>
      </c>
      <c r="E94" s="75">
        <v>2014</v>
      </c>
      <c r="F94" s="86">
        <v>2.9889999999999999</v>
      </c>
      <c r="G94" s="75"/>
      <c r="H94" s="104">
        <f>F94*PRODUCT(D23:H23)</f>
        <v>3.1786212947233734</v>
      </c>
      <c r="I94" s="75"/>
      <c r="J94" s="75"/>
      <c r="K94" s="70"/>
    </row>
    <row r="95" spans="1:12" x14ac:dyDescent="0.35">
      <c r="A95" s="70"/>
      <c r="B95" s="291"/>
      <c r="C95" s="70"/>
      <c r="D95" s="70"/>
      <c r="E95" s="70"/>
      <c r="F95" s="101"/>
      <c r="G95" s="70"/>
      <c r="H95" s="101"/>
      <c r="I95" s="70"/>
      <c r="J95" s="70"/>
      <c r="K95" s="70"/>
    </row>
    <row r="96" spans="1:12" x14ac:dyDescent="0.35">
      <c r="A96" s="70"/>
      <c r="B96" s="291"/>
      <c r="C96" s="70"/>
      <c r="D96" s="70"/>
      <c r="E96" s="70"/>
      <c r="F96" s="101"/>
      <c r="G96" s="70"/>
      <c r="H96" s="101"/>
      <c r="I96" s="70"/>
      <c r="J96" s="70"/>
      <c r="K96" s="70"/>
    </row>
    <row r="97" spans="1:12" x14ac:dyDescent="0.35">
      <c r="A97" s="70"/>
      <c r="B97" s="291"/>
      <c r="C97" s="287" t="s">
        <v>184</v>
      </c>
      <c r="D97" s="288"/>
      <c r="E97" s="288"/>
      <c r="F97" s="289" t="s">
        <v>6</v>
      </c>
      <c r="G97" s="289"/>
      <c r="H97" s="290" t="s">
        <v>15</v>
      </c>
      <c r="I97" s="290"/>
      <c r="J97" s="290"/>
      <c r="K97" s="70"/>
    </row>
    <row r="98" spans="1:12" x14ac:dyDescent="0.35">
      <c r="A98" s="70"/>
      <c r="B98" s="291"/>
      <c r="C98" s="12" t="s">
        <v>7</v>
      </c>
      <c r="D98" s="12" t="s">
        <v>16</v>
      </c>
      <c r="E98" s="99" t="s">
        <v>8</v>
      </c>
      <c r="F98" s="7" t="s">
        <v>10</v>
      </c>
      <c r="G98" s="7" t="s">
        <v>9</v>
      </c>
      <c r="H98" s="8" t="s">
        <v>10</v>
      </c>
      <c r="I98" s="8" t="s">
        <v>9</v>
      </c>
      <c r="J98" s="8" t="s">
        <v>20</v>
      </c>
      <c r="K98" s="70"/>
    </row>
    <row r="99" spans="1:12" x14ac:dyDescent="0.35">
      <c r="A99" s="70"/>
      <c r="B99" s="291"/>
      <c r="C99" s="75" t="s">
        <v>182</v>
      </c>
      <c r="D99" s="75" t="s">
        <v>183</v>
      </c>
      <c r="E99" s="75">
        <v>2014</v>
      </c>
      <c r="F99" s="86">
        <v>5.84</v>
      </c>
      <c r="G99" s="75"/>
      <c r="H99" s="86">
        <f>F99*PRODUCT(D23:H23)</f>
        <v>6.210487909395952</v>
      </c>
      <c r="I99" s="75"/>
      <c r="J99" s="75"/>
      <c r="K99" s="70"/>
    </row>
    <row r="100" spans="1:12" x14ac:dyDescent="0.35">
      <c r="A100" s="70"/>
      <c r="B100" s="291"/>
      <c r="C100" s="70"/>
      <c r="D100" s="70"/>
      <c r="E100" s="70"/>
      <c r="F100" s="101"/>
      <c r="G100" s="70"/>
      <c r="H100" s="101"/>
      <c r="I100" s="70"/>
      <c r="J100" s="70"/>
      <c r="K100" s="70"/>
    </row>
    <row r="101" spans="1:12" x14ac:dyDescent="0.35">
      <c r="A101" s="70"/>
      <c r="B101" s="291"/>
      <c r="C101" s="70"/>
      <c r="D101" s="70"/>
      <c r="E101" s="70"/>
      <c r="F101" s="101"/>
      <c r="G101" s="70"/>
      <c r="H101" s="101"/>
      <c r="I101" s="70"/>
      <c r="J101" s="70"/>
      <c r="K101" s="70"/>
    </row>
    <row r="102" spans="1:12" x14ac:dyDescent="0.35">
      <c r="A102" s="70"/>
      <c r="B102" s="291"/>
      <c r="C102" s="287" t="s">
        <v>187</v>
      </c>
      <c r="D102" s="288"/>
      <c r="E102" s="288"/>
      <c r="F102" s="289" t="s">
        <v>6</v>
      </c>
      <c r="G102" s="289"/>
      <c r="H102" s="290" t="s">
        <v>15</v>
      </c>
      <c r="I102" s="290"/>
      <c r="J102" s="290"/>
      <c r="K102" s="70"/>
    </row>
    <row r="103" spans="1:12" x14ac:dyDescent="0.35">
      <c r="A103" s="70"/>
      <c r="B103" s="291"/>
      <c r="C103" s="12" t="s">
        <v>7</v>
      </c>
      <c r="D103" s="12" t="s">
        <v>16</v>
      </c>
      <c r="E103" s="99" t="s">
        <v>8</v>
      </c>
      <c r="F103" s="7" t="s">
        <v>10</v>
      </c>
      <c r="G103" s="7" t="s">
        <v>9</v>
      </c>
      <c r="H103" s="8" t="s">
        <v>10</v>
      </c>
      <c r="I103" s="8" t="s">
        <v>9</v>
      </c>
      <c r="J103" s="8" t="s">
        <v>20</v>
      </c>
      <c r="K103" s="70"/>
    </row>
    <row r="104" spans="1:12" x14ac:dyDescent="0.35">
      <c r="A104" s="70"/>
      <c r="B104" s="291"/>
      <c r="C104" s="75" t="s">
        <v>182</v>
      </c>
      <c r="D104" s="75" t="s">
        <v>183</v>
      </c>
      <c r="E104" s="75">
        <v>2014</v>
      </c>
      <c r="F104" s="86">
        <v>2.99</v>
      </c>
      <c r="G104" s="75"/>
      <c r="H104" s="86">
        <f>F104*PRODUCT(D23:H23)</f>
        <v>3.179684734433887</v>
      </c>
      <c r="I104" s="75"/>
      <c r="J104" s="75"/>
      <c r="K104" s="70"/>
    </row>
    <row r="105" spans="1:12" x14ac:dyDescent="0.35">
      <c r="A105" s="70"/>
      <c r="B105" s="291"/>
      <c r="C105" s="70"/>
      <c r="D105" s="70"/>
      <c r="E105" s="70"/>
      <c r="F105" s="101"/>
      <c r="G105" s="70"/>
      <c r="H105" s="101"/>
      <c r="I105" s="70"/>
      <c r="J105" s="70"/>
      <c r="K105" s="70"/>
    </row>
    <row r="106" spans="1:12" x14ac:dyDescent="0.35">
      <c r="A106" s="70"/>
      <c r="B106" s="291"/>
      <c r="C106" s="287" t="s">
        <v>188</v>
      </c>
      <c r="D106" s="288"/>
      <c r="E106" s="288"/>
      <c r="F106" s="289" t="s">
        <v>6</v>
      </c>
      <c r="G106" s="289"/>
      <c r="H106" s="290" t="s">
        <v>15</v>
      </c>
      <c r="I106" s="290"/>
      <c r="J106" s="290"/>
      <c r="K106" s="70"/>
    </row>
    <row r="107" spans="1:12" x14ac:dyDescent="0.35">
      <c r="A107" s="70"/>
      <c r="B107" s="291"/>
      <c r="C107" s="12" t="s">
        <v>7</v>
      </c>
      <c r="D107" s="12" t="s">
        <v>16</v>
      </c>
      <c r="E107" s="99" t="s">
        <v>8</v>
      </c>
      <c r="F107" s="7" t="s">
        <v>10</v>
      </c>
      <c r="G107" s="7" t="s">
        <v>9</v>
      </c>
      <c r="H107" s="8" t="s">
        <v>10</v>
      </c>
      <c r="I107" s="8" t="s">
        <v>9</v>
      </c>
      <c r="J107" s="8" t="s">
        <v>20</v>
      </c>
      <c r="K107" s="70"/>
    </row>
    <row r="108" spans="1:12" x14ac:dyDescent="0.35">
      <c r="A108" s="70"/>
      <c r="B108" s="291"/>
      <c r="C108" s="75" t="s">
        <v>182</v>
      </c>
      <c r="D108" s="75" t="s">
        <v>183</v>
      </c>
      <c r="E108" s="75">
        <v>2014</v>
      </c>
      <c r="F108" s="75">
        <v>3.5</v>
      </c>
      <c r="G108" s="75"/>
      <c r="H108" s="75">
        <f>F108*PRODUCT(D23:H23)</f>
        <v>3.7220389867955195</v>
      </c>
      <c r="I108" s="75"/>
      <c r="J108" s="75"/>
      <c r="K108" s="70"/>
      <c r="L108" s="68"/>
    </row>
    <row r="109" spans="1:12" x14ac:dyDescent="0.3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68"/>
    </row>
    <row r="110" spans="1:12" x14ac:dyDescent="0.3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68"/>
    </row>
    <row r="111" spans="1:12" x14ac:dyDescent="0.3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68"/>
    </row>
    <row r="112" spans="1:12" x14ac:dyDescent="0.35">
      <c r="B112" s="31"/>
      <c r="C112" s="301" t="s">
        <v>2</v>
      </c>
      <c r="D112" s="301"/>
      <c r="E112" s="301"/>
      <c r="F112" s="301"/>
      <c r="G112" s="301"/>
      <c r="H112" s="301"/>
      <c r="I112" s="301"/>
      <c r="J112" s="301"/>
    </row>
    <row r="113" spans="2:12" x14ac:dyDescent="0.35">
      <c r="B113" s="31"/>
    </row>
    <row r="114" spans="2:12" x14ac:dyDescent="0.35">
      <c r="B114" s="31"/>
      <c r="C114" s="287" t="s">
        <v>139</v>
      </c>
      <c r="D114" s="288"/>
      <c r="E114" s="288"/>
      <c r="F114" s="289" t="s">
        <v>6</v>
      </c>
      <c r="G114" s="289"/>
      <c r="H114" s="290" t="s">
        <v>15</v>
      </c>
      <c r="I114" s="290"/>
      <c r="J114" s="290"/>
    </row>
    <row r="115" spans="2:12" x14ac:dyDescent="0.35">
      <c r="B115" s="31"/>
      <c r="C115" s="12" t="s">
        <v>7</v>
      </c>
      <c r="D115" s="12" t="s">
        <v>16</v>
      </c>
      <c r="E115" s="13" t="s">
        <v>8</v>
      </c>
      <c r="F115" s="7" t="s">
        <v>10</v>
      </c>
      <c r="G115" s="7" t="s">
        <v>9</v>
      </c>
      <c r="H115" s="8" t="s">
        <v>10</v>
      </c>
      <c r="I115" s="8" t="s">
        <v>9</v>
      </c>
      <c r="J115" s="8" t="s">
        <v>20</v>
      </c>
      <c r="L115" s="1" t="s">
        <v>32</v>
      </c>
    </row>
    <row r="116" spans="2:12" ht="15.5" x14ac:dyDescent="0.35">
      <c r="B116" s="293" t="s">
        <v>47</v>
      </c>
      <c r="C116" t="s">
        <v>350</v>
      </c>
      <c r="D116" t="s">
        <v>138</v>
      </c>
      <c r="E116" s="159">
        <v>2011</v>
      </c>
      <c r="F116" s="28">
        <v>68807.34</v>
      </c>
      <c r="H116">
        <f>F116</f>
        <v>68807.34</v>
      </c>
      <c r="J116">
        <f>H116</f>
        <v>68807.34</v>
      </c>
      <c r="L116" t="s">
        <v>140</v>
      </c>
    </row>
    <row r="117" spans="2:12" x14ac:dyDescent="0.35">
      <c r="B117" s="293"/>
      <c r="C117" s="26" t="s">
        <v>141</v>
      </c>
      <c r="D117" s="26" t="s">
        <v>138</v>
      </c>
      <c r="E117" s="18">
        <v>2014</v>
      </c>
      <c r="F117" s="26">
        <v>7338.53</v>
      </c>
      <c r="G117" s="26"/>
      <c r="H117" s="19">
        <f>C16*F117</f>
        <v>7733.8474608218858</v>
      </c>
      <c r="I117" s="26"/>
      <c r="J117" s="19">
        <f>H117</f>
        <v>7733.8474608218858</v>
      </c>
    </row>
    <row r="118" spans="2:12" x14ac:dyDescent="0.35">
      <c r="B118" s="293"/>
      <c r="C118" s="94" t="s">
        <v>142</v>
      </c>
      <c r="D118" s="94" t="s">
        <v>138</v>
      </c>
      <c r="E118" s="96">
        <v>2014</v>
      </c>
      <c r="F118" s="94">
        <v>32110</v>
      </c>
      <c r="G118" s="94"/>
      <c r="H118" s="86">
        <f>F118*C16</f>
        <v>33839.725662631448</v>
      </c>
      <c r="I118" s="94"/>
      <c r="J118" s="86">
        <f>H118</f>
        <v>33839.725662631448</v>
      </c>
    </row>
    <row r="119" spans="2:12" ht="15.5" x14ac:dyDescent="0.35">
      <c r="B119" s="293"/>
      <c r="C119" s="94" t="s">
        <v>347</v>
      </c>
      <c r="D119" s="94" t="s">
        <v>345</v>
      </c>
      <c r="E119" s="96">
        <v>2015</v>
      </c>
      <c r="F119" s="95">
        <v>75000</v>
      </c>
      <c r="G119" s="94"/>
      <c r="H119" s="94">
        <f>F119*D22*C16</f>
        <v>87734.57369710585</v>
      </c>
      <c r="I119" s="94"/>
      <c r="J119" s="94">
        <f>H119</f>
        <v>87734.57369710585</v>
      </c>
    </row>
    <row r="120" spans="2:12" x14ac:dyDescent="0.35">
      <c r="B120" s="293"/>
      <c r="C120" s="94" t="s">
        <v>351</v>
      </c>
      <c r="D120" s="94" t="s">
        <v>138</v>
      </c>
      <c r="E120" s="96">
        <v>2015</v>
      </c>
      <c r="F120" s="94">
        <v>7338.53</v>
      </c>
      <c r="G120" s="94"/>
      <c r="H120" s="94">
        <v>7338.53</v>
      </c>
      <c r="I120" s="94"/>
      <c r="J120" s="94">
        <v>7338.53</v>
      </c>
    </row>
    <row r="121" spans="2:12" x14ac:dyDescent="0.35">
      <c r="B121" s="293"/>
      <c r="C121" t="s">
        <v>351</v>
      </c>
      <c r="D121" t="s">
        <v>138</v>
      </c>
      <c r="E121" s="159">
        <v>2018</v>
      </c>
      <c r="F121">
        <v>3669.73</v>
      </c>
      <c r="H121">
        <v>3669.73</v>
      </c>
      <c r="J121">
        <v>3669.73</v>
      </c>
    </row>
    <row r="122" spans="2:12" ht="15.5" x14ac:dyDescent="0.35">
      <c r="B122" s="293"/>
      <c r="C122" s="94" t="s">
        <v>352</v>
      </c>
      <c r="D122" s="94" t="s">
        <v>138</v>
      </c>
      <c r="E122" s="96">
        <v>2018</v>
      </c>
      <c r="F122" s="95">
        <v>15412.84</v>
      </c>
      <c r="G122" s="94"/>
      <c r="H122" s="95">
        <v>15412.84</v>
      </c>
      <c r="I122" s="94"/>
      <c r="J122" s="95">
        <v>15412.84</v>
      </c>
    </row>
    <row r="123" spans="2:12" ht="15.5" x14ac:dyDescent="0.35">
      <c r="B123" s="293"/>
      <c r="C123" t="s">
        <v>353</v>
      </c>
      <c r="D123" t="s">
        <v>138</v>
      </c>
      <c r="E123" s="159">
        <v>2018</v>
      </c>
      <c r="F123" s="28">
        <v>3958</v>
      </c>
      <c r="H123" s="28">
        <v>3958</v>
      </c>
      <c r="J123" s="28">
        <v>3958</v>
      </c>
    </row>
    <row r="124" spans="2:12" ht="15.5" x14ac:dyDescent="0.35">
      <c r="B124" s="293"/>
      <c r="C124" s="94" t="s">
        <v>353</v>
      </c>
      <c r="D124" s="94" t="s">
        <v>138</v>
      </c>
      <c r="E124" s="96">
        <v>2018</v>
      </c>
      <c r="F124" s="95">
        <v>9118</v>
      </c>
      <c r="G124" s="94"/>
      <c r="H124" s="95">
        <v>9118</v>
      </c>
      <c r="I124" s="94"/>
      <c r="J124" s="95">
        <v>9118</v>
      </c>
    </row>
    <row r="125" spans="2:12" ht="15.5" x14ac:dyDescent="0.35">
      <c r="B125" s="293"/>
      <c r="C125" t="s">
        <v>346</v>
      </c>
      <c r="D125" t="s">
        <v>345</v>
      </c>
      <c r="E125" s="159">
        <v>2019</v>
      </c>
      <c r="F125" s="28">
        <v>7500</v>
      </c>
      <c r="H125" s="194">
        <f>H16</f>
        <v>1.0133000000000001</v>
      </c>
      <c r="J125">
        <f>H125</f>
        <v>1.0133000000000001</v>
      </c>
    </row>
    <row r="126" spans="2:12" ht="15.5" x14ac:dyDescent="0.35">
      <c r="B126" s="293"/>
      <c r="C126" t="s">
        <v>353</v>
      </c>
      <c r="D126" t="s">
        <v>138</v>
      </c>
      <c r="E126" s="159">
        <v>2020</v>
      </c>
      <c r="F126" s="28">
        <v>6562</v>
      </c>
      <c r="H126" s="28">
        <v>6562</v>
      </c>
      <c r="J126" s="28">
        <v>6562</v>
      </c>
    </row>
    <row r="127" spans="2:12" x14ac:dyDescent="0.35">
      <c r="B127" s="293"/>
      <c r="C127" s="192" t="s">
        <v>357</v>
      </c>
      <c r="D127" s="94" t="s">
        <v>138</v>
      </c>
      <c r="E127" s="96">
        <v>2020</v>
      </c>
      <c r="F127" s="94">
        <v>3000</v>
      </c>
      <c r="G127" s="94"/>
      <c r="H127" s="94">
        <v>3000</v>
      </c>
      <c r="I127" s="94"/>
      <c r="J127" s="94">
        <v>3000</v>
      </c>
    </row>
    <row r="128" spans="2:12" ht="15.5" x14ac:dyDescent="0.35">
      <c r="B128" s="293"/>
      <c r="C128" s="193" t="s">
        <v>358</v>
      </c>
      <c r="D128" s="26" t="s">
        <v>138</v>
      </c>
      <c r="E128" s="18">
        <v>2020</v>
      </c>
      <c r="F128" s="92">
        <v>1741.28</v>
      </c>
      <c r="G128" s="26"/>
      <c r="H128" s="92">
        <v>1741.28</v>
      </c>
      <c r="I128" s="26"/>
      <c r="J128" s="92">
        <v>1741.28</v>
      </c>
    </row>
    <row r="129" spans="2:10" ht="15.5" x14ac:dyDescent="0.35">
      <c r="B129" s="293"/>
      <c r="C129" s="192" t="s">
        <v>359</v>
      </c>
      <c r="D129" s="94" t="s">
        <v>138</v>
      </c>
      <c r="E129" s="96">
        <v>2022</v>
      </c>
      <c r="F129" s="95">
        <v>917.43</v>
      </c>
      <c r="G129" s="94"/>
      <c r="H129" s="95">
        <v>917.43</v>
      </c>
      <c r="I129" s="94"/>
      <c r="J129" s="95">
        <v>917.43</v>
      </c>
    </row>
    <row r="130" spans="2:10" x14ac:dyDescent="0.35">
      <c r="B130" s="293"/>
    </row>
    <row r="131" spans="2:10" x14ac:dyDescent="0.35">
      <c r="B131" s="293"/>
      <c r="C131" s="287" t="s">
        <v>169</v>
      </c>
      <c r="D131" s="288"/>
      <c r="E131" s="288"/>
      <c r="F131" s="289" t="s">
        <v>6</v>
      </c>
      <c r="G131" s="289"/>
      <c r="H131" s="290" t="s">
        <v>15</v>
      </c>
      <c r="I131" s="290"/>
      <c r="J131" s="290"/>
    </row>
    <row r="132" spans="2:10" x14ac:dyDescent="0.35">
      <c r="B132" s="293"/>
      <c r="C132" s="12" t="s">
        <v>7</v>
      </c>
      <c r="D132" s="12" t="s">
        <v>16</v>
      </c>
      <c r="E132" s="51" t="s">
        <v>8</v>
      </c>
      <c r="F132" s="7" t="s">
        <v>10</v>
      </c>
      <c r="G132" s="7" t="s">
        <v>9</v>
      </c>
      <c r="H132" s="8" t="s">
        <v>10</v>
      </c>
      <c r="I132" s="8" t="s">
        <v>9</v>
      </c>
      <c r="J132" s="8" t="s">
        <v>20</v>
      </c>
    </row>
    <row r="133" spans="2:10" x14ac:dyDescent="0.35">
      <c r="B133" s="293"/>
      <c r="C133" s="26" t="s">
        <v>354</v>
      </c>
      <c r="D133" s="26" t="s">
        <v>138</v>
      </c>
      <c r="E133" s="18">
        <v>2015</v>
      </c>
      <c r="F133" s="26">
        <v>80</v>
      </c>
      <c r="G133" s="26"/>
      <c r="H133" s="26">
        <v>80</v>
      </c>
      <c r="I133" s="26"/>
      <c r="J133" s="26">
        <f t="shared" ref="J133:J139" si="1">H133</f>
        <v>80</v>
      </c>
    </row>
    <row r="134" spans="2:10" x14ac:dyDescent="0.35">
      <c r="B134" s="293"/>
      <c r="C134" s="94" t="s">
        <v>354</v>
      </c>
      <c r="D134" s="94" t="s">
        <v>138</v>
      </c>
      <c r="E134" s="96">
        <v>2015</v>
      </c>
      <c r="F134" s="94">
        <v>300</v>
      </c>
      <c r="G134" s="94"/>
      <c r="H134" s="94">
        <v>300</v>
      </c>
      <c r="I134" s="94"/>
      <c r="J134" s="94">
        <f t="shared" si="1"/>
        <v>300</v>
      </c>
    </row>
    <row r="135" spans="2:10" ht="15.5" x14ac:dyDescent="0.35">
      <c r="B135" s="293"/>
      <c r="C135" s="26" t="s">
        <v>355</v>
      </c>
      <c r="D135" s="26" t="s">
        <v>138</v>
      </c>
      <c r="E135" s="18">
        <v>2017</v>
      </c>
      <c r="F135" s="92">
        <v>550.46</v>
      </c>
      <c r="G135" s="26"/>
      <c r="H135" s="92">
        <v>550.46</v>
      </c>
      <c r="I135" s="26"/>
      <c r="J135" s="26">
        <f t="shared" si="1"/>
        <v>550.46</v>
      </c>
    </row>
    <row r="136" spans="2:10" x14ac:dyDescent="0.35">
      <c r="B136" s="293"/>
      <c r="C136" s="94" t="s">
        <v>356</v>
      </c>
      <c r="D136" s="94" t="s">
        <v>138</v>
      </c>
      <c r="E136" s="96">
        <v>2018</v>
      </c>
      <c r="F136" s="94">
        <v>100</v>
      </c>
      <c r="G136" s="94"/>
      <c r="H136" s="94">
        <f>F136*G16</f>
        <v>102.87021600000001</v>
      </c>
      <c r="I136" s="94"/>
      <c r="J136" s="94">
        <f t="shared" si="1"/>
        <v>102.87021600000001</v>
      </c>
    </row>
    <row r="137" spans="2:10" x14ac:dyDescent="0.35">
      <c r="C137" s="26" t="s">
        <v>348</v>
      </c>
      <c r="D137" s="26" t="s">
        <v>345</v>
      </c>
      <c r="E137" s="18">
        <v>2019</v>
      </c>
      <c r="F137" s="26">
        <v>500</v>
      </c>
      <c r="G137" s="26"/>
      <c r="H137" s="26">
        <f>F137*H16</f>
        <v>506.65000000000003</v>
      </c>
      <c r="I137" s="26"/>
      <c r="J137" s="26">
        <f t="shared" si="1"/>
        <v>506.65000000000003</v>
      </c>
    </row>
    <row r="138" spans="2:10" x14ac:dyDescent="0.35">
      <c r="C138" s="94" t="s">
        <v>349</v>
      </c>
      <c r="D138" s="94" t="s">
        <v>345</v>
      </c>
      <c r="E138" s="96">
        <v>2020</v>
      </c>
      <c r="F138" s="94">
        <v>100</v>
      </c>
      <c r="G138" s="94"/>
      <c r="H138" s="94">
        <f>F138*I22</f>
        <v>111.00000000000001</v>
      </c>
      <c r="I138" s="94"/>
      <c r="J138" s="94">
        <f t="shared" si="1"/>
        <v>111.00000000000001</v>
      </c>
    </row>
    <row r="139" spans="2:10" x14ac:dyDescent="0.35">
      <c r="C139" s="191" t="s">
        <v>350</v>
      </c>
      <c r="D139" s="26" t="s">
        <v>138</v>
      </c>
      <c r="E139" s="18">
        <v>2020</v>
      </c>
      <c r="F139" s="26">
        <v>100</v>
      </c>
      <c r="G139" s="26"/>
      <c r="H139" s="26">
        <v>100</v>
      </c>
      <c r="I139" s="26"/>
      <c r="J139" s="26">
        <f t="shared" si="1"/>
        <v>100</v>
      </c>
    </row>
    <row r="143" spans="2:10" x14ac:dyDescent="0.35">
      <c r="C143" s="32"/>
      <c r="E143" s="159"/>
    </row>
    <row r="145" spans="2:18" x14ac:dyDescent="0.35">
      <c r="C145" s="287" t="s">
        <v>43</v>
      </c>
      <c r="D145" s="288"/>
      <c r="E145" s="288"/>
      <c r="F145" s="289" t="s">
        <v>6</v>
      </c>
      <c r="G145" s="289"/>
      <c r="H145" s="290" t="s">
        <v>15</v>
      </c>
      <c r="I145" s="290"/>
      <c r="J145" s="290"/>
    </row>
    <row r="146" spans="2:18" x14ac:dyDescent="0.35">
      <c r="C146" s="12" t="s">
        <v>7</v>
      </c>
      <c r="D146" s="12" t="s">
        <v>16</v>
      </c>
      <c r="E146" s="13" t="s">
        <v>8</v>
      </c>
      <c r="F146" s="7" t="s">
        <v>10</v>
      </c>
      <c r="G146" s="7" t="s">
        <v>9</v>
      </c>
      <c r="H146" s="8" t="s">
        <v>10</v>
      </c>
      <c r="I146" s="8" t="s">
        <v>9</v>
      </c>
      <c r="J146" s="8" t="s">
        <v>20</v>
      </c>
      <c r="L146" s="1" t="s">
        <v>32</v>
      </c>
    </row>
    <row r="147" spans="2:18" ht="15.5" customHeight="1" x14ac:dyDescent="0.35">
      <c r="B147" s="293" t="s">
        <v>43</v>
      </c>
      <c r="C147" s="97" t="s">
        <v>168</v>
      </c>
      <c r="D147" s="94" t="s">
        <v>54</v>
      </c>
      <c r="E147" s="94">
        <v>2020</v>
      </c>
      <c r="F147" s="94">
        <v>50.46</v>
      </c>
      <c r="G147" s="94"/>
      <c r="H147" s="86">
        <f>F147*PRODUCT(D23:H23)</f>
        <v>53.66116779248626</v>
      </c>
      <c r="I147" s="94"/>
      <c r="J147" s="94"/>
      <c r="L147" t="s">
        <v>166</v>
      </c>
    </row>
    <row r="148" spans="2:18" ht="17.25" customHeight="1" x14ac:dyDescent="0.35">
      <c r="B148" s="294"/>
      <c r="C148" s="98" t="s">
        <v>168</v>
      </c>
      <c r="D148" s="26" t="s">
        <v>54</v>
      </c>
      <c r="E148" s="26">
        <v>2021</v>
      </c>
      <c r="F148" s="26">
        <v>50.19</v>
      </c>
      <c r="G148" s="26"/>
      <c r="H148" s="19">
        <f>F148*PRODUCT(D23:H23)</f>
        <v>53.374039070647747</v>
      </c>
      <c r="I148" s="26"/>
      <c r="J148" s="26"/>
    </row>
    <row r="149" spans="2:18" ht="17" customHeight="1" x14ac:dyDescent="0.35">
      <c r="B149" s="294"/>
      <c r="C149" s="97" t="s">
        <v>168</v>
      </c>
      <c r="D149" s="94" t="s">
        <v>54</v>
      </c>
      <c r="E149" s="94">
        <v>2022</v>
      </c>
      <c r="F149" s="94">
        <v>49.92</v>
      </c>
      <c r="G149" s="94"/>
      <c r="H149" s="86">
        <f>F149*PRODUCT(D23:H23)</f>
        <v>53.086910348809241</v>
      </c>
      <c r="I149" s="94"/>
      <c r="J149" s="94"/>
      <c r="K149" s="29"/>
      <c r="L149" s="29"/>
      <c r="P149" s="30"/>
      <c r="Q149" s="30"/>
      <c r="R149" s="30"/>
    </row>
    <row r="150" spans="2:18" ht="14.75" customHeight="1" x14ac:dyDescent="0.35">
      <c r="B150" s="294"/>
      <c r="C150" s="98" t="s">
        <v>168</v>
      </c>
      <c r="D150" s="26" t="s">
        <v>54</v>
      </c>
      <c r="E150" s="26">
        <v>2023</v>
      </c>
      <c r="F150" s="26">
        <v>49.69</v>
      </c>
      <c r="G150" s="92"/>
      <c r="H150" s="19">
        <f>F150*PRODUCT(D23:H23)</f>
        <v>52.842319215391242</v>
      </c>
      <c r="I150" s="92"/>
      <c r="J150" s="92"/>
      <c r="M150" s="28"/>
      <c r="N150" s="28"/>
      <c r="O150" s="28"/>
      <c r="P150" s="28"/>
      <c r="Q150" s="28"/>
      <c r="R150" s="28"/>
    </row>
    <row r="151" spans="2:18" ht="16.5" customHeight="1" x14ac:dyDescent="0.35">
      <c r="B151" s="294"/>
      <c r="C151" s="97" t="s">
        <v>168</v>
      </c>
      <c r="D151" s="94" t="s">
        <v>54</v>
      </c>
      <c r="E151" s="94">
        <v>2024</v>
      </c>
      <c r="F151" s="94">
        <v>49.45</v>
      </c>
      <c r="G151" s="95"/>
      <c r="H151" s="86">
        <f>F151*PRODUCT(D23:H23)</f>
        <v>52.58709368486813</v>
      </c>
      <c r="I151" s="95"/>
      <c r="J151" s="95"/>
      <c r="K151" s="28"/>
      <c r="L151" s="28"/>
      <c r="M151" s="28"/>
      <c r="N151" s="28"/>
      <c r="O151" s="28"/>
      <c r="P151" s="28"/>
      <c r="Q151" s="28"/>
      <c r="R151" s="28"/>
    </row>
    <row r="152" spans="2:18" ht="17.25" customHeight="1" x14ac:dyDescent="0.35">
      <c r="B152" s="294"/>
      <c r="C152" s="98" t="s">
        <v>168</v>
      </c>
      <c r="D152" s="26" t="s">
        <v>54</v>
      </c>
      <c r="E152" s="26">
        <v>2025</v>
      </c>
      <c r="F152" s="26">
        <v>49.24</v>
      </c>
      <c r="G152" s="92"/>
      <c r="H152" s="19">
        <f>F152*PRODUCT(D23:H23)</f>
        <v>52.363771345660396</v>
      </c>
      <c r="I152" s="92"/>
      <c r="J152" s="92"/>
      <c r="K152" s="28"/>
      <c r="L152" s="28"/>
      <c r="M152" s="28"/>
      <c r="N152" s="28"/>
      <c r="O152" s="28"/>
      <c r="P152" s="28"/>
      <c r="Q152" s="28"/>
      <c r="R152" s="28"/>
    </row>
    <row r="153" spans="2:18" ht="15.5" x14ac:dyDescent="0.35">
      <c r="B153" s="31"/>
      <c r="C153" s="28"/>
      <c r="D153" s="28"/>
      <c r="E153"/>
      <c r="G153" s="28"/>
      <c r="H153" s="28"/>
      <c r="I153" s="28"/>
      <c r="J153" s="28"/>
      <c r="K153" s="28"/>
    </row>
    <row r="154" spans="2:18" ht="15.5" x14ac:dyDescent="0.35">
      <c r="B154" s="31"/>
      <c r="C154" s="28"/>
      <c r="D154" s="28"/>
      <c r="E154"/>
      <c r="G154" s="28"/>
      <c r="H154" s="28"/>
      <c r="I154" s="28"/>
      <c r="J154" s="28"/>
      <c r="K154" s="28"/>
    </row>
    <row r="155" spans="2:18" ht="15.5" x14ac:dyDescent="0.35">
      <c r="B155" s="31"/>
      <c r="C155" s="28"/>
      <c r="D155" s="28"/>
      <c r="E155"/>
      <c r="G155" s="28"/>
      <c r="H155" s="28"/>
      <c r="I155" s="28"/>
      <c r="J155" s="28"/>
      <c r="K155" s="28"/>
    </row>
    <row r="156" spans="2:18" ht="15.5" x14ac:dyDescent="0.35">
      <c r="B156" s="31"/>
      <c r="C156" s="28"/>
      <c r="D156" s="28"/>
      <c r="E156"/>
    </row>
    <row r="157" spans="2:18" x14ac:dyDescent="0.35">
      <c r="B157" s="31"/>
    </row>
    <row r="158" spans="2:18" x14ac:dyDescent="0.35">
      <c r="B158" s="31"/>
    </row>
    <row r="159" spans="2:18" x14ac:dyDescent="0.35">
      <c r="B159" s="31"/>
    </row>
    <row r="160" spans="2:18" x14ac:dyDescent="0.35">
      <c r="B160" s="31"/>
    </row>
    <row r="161" spans="2:18" x14ac:dyDescent="0.35">
      <c r="B161" s="297" t="s">
        <v>170</v>
      </c>
      <c r="C161" s="287" t="s">
        <v>50</v>
      </c>
      <c r="D161" s="288"/>
      <c r="E161" s="288"/>
      <c r="F161" s="289" t="s">
        <v>6</v>
      </c>
      <c r="G161" s="289"/>
      <c r="H161" s="290" t="s">
        <v>15</v>
      </c>
      <c r="I161" s="290"/>
      <c r="J161" s="290"/>
    </row>
    <row r="162" spans="2:18" x14ac:dyDescent="0.35">
      <c r="B162" s="297"/>
      <c r="C162" s="12" t="s">
        <v>7</v>
      </c>
      <c r="D162" s="12" t="s">
        <v>16</v>
      </c>
      <c r="E162" s="13" t="s">
        <v>8</v>
      </c>
      <c r="F162" s="7" t="s">
        <v>10</v>
      </c>
      <c r="G162" s="7" t="s">
        <v>9</v>
      </c>
      <c r="H162" s="8" t="s">
        <v>10</v>
      </c>
      <c r="I162" s="8" t="s">
        <v>9</v>
      </c>
      <c r="J162" s="8" t="s">
        <v>20</v>
      </c>
      <c r="L162" s="1" t="s">
        <v>32</v>
      </c>
    </row>
    <row r="163" spans="2:18" x14ac:dyDescent="0.35">
      <c r="B163" s="297"/>
      <c r="C163" s="94" t="s">
        <v>167</v>
      </c>
      <c r="D163" s="94" t="s">
        <v>75</v>
      </c>
      <c r="E163" s="96">
        <v>2019</v>
      </c>
      <c r="F163" s="94">
        <v>2</v>
      </c>
      <c r="G163" s="94">
        <v>10</v>
      </c>
      <c r="H163" s="94">
        <f>F163*H23</f>
        <v>2.0266000000000002</v>
      </c>
      <c r="I163" s="94">
        <f>10*H23</f>
        <v>10.133000000000001</v>
      </c>
      <c r="J163" s="94"/>
    </row>
    <row r="171" spans="2:18" ht="15.5" x14ac:dyDescent="0.35">
      <c r="C171" s="28"/>
      <c r="D171" s="28"/>
      <c r="E171" s="28"/>
      <c r="F171" s="28"/>
      <c r="G171" s="28"/>
      <c r="H171" s="32"/>
      <c r="I171" s="28"/>
    </row>
    <row r="172" spans="2:18" ht="15.5" x14ac:dyDescent="0.35">
      <c r="C172" s="28"/>
      <c r="D172" s="28"/>
      <c r="E172"/>
      <c r="F172" s="28"/>
      <c r="H172" s="28"/>
      <c r="J172" s="28"/>
      <c r="L172" s="28"/>
      <c r="N172" s="28"/>
      <c r="P172" s="28"/>
      <c r="R172" s="28"/>
    </row>
    <row r="173" spans="2:18" ht="15.5" x14ac:dyDescent="0.35">
      <c r="C173" s="28"/>
      <c r="E173"/>
    </row>
    <row r="174" spans="2:18" ht="15.5" x14ac:dyDescent="0.35">
      <c r="C174" s="28"/>
      <c r="D174" s="28"/>
      <c r="E174" s="28"/>
      <c r="F174" s="28"/>
      <c r="G174" s="28"/>
      <c r="H174" s="28"/>
      <c r="I174" s="28"/>
    </row>
    <row r="182" spans="2:12" x14ac:dyDescent="0.35">
      <c r="C182" s="287" t="s">
        <v>51</v>
      </c>
      <c r="D182" s="288"/>
      <c r="E182" s="288"/>
      <c r="F182" s="289" t="s">
        <v>6</v>
      </c>
      <c r="G182" s="289"/>
      <c r="H182" s="290" t="s">
        <v>15</v>
      </c>
      <c r="I182" s="290"/>
      <c r="J182" s="290"/>
    </row>
    <row r="183" spans="2:12" x14ac:dyDescent="0.35">
      <c r="C183" s="12" t="s">
        <v>7</v>
      </c>
      <c r="D183" s="12" t="s">
        <v>16</v>
      </c>
      <c r="E183" s="13" t="s">
        <v>8</v>
      </c>
      <c r="F183" s="7" t="s">
        <v>10</v>
      </c>
      <c r="G183" s="7" t="s">
        <v>9</v>
      </c>
      <c r="H183" s="8" t="s">
        <v>10</v>
      </c>
      <c r="I183" s="8" t="s">
        <v>9</v>
      </c>
      <c r="J183" s="8" t="s">
        <v>20</v>
      </c>
      <c r="L183" s="1" t="s">
        <v>32</v>
      </c>
    </row>
    <row r="184" spans="2:12" ht="15.5" x14ac:dyDescent="0.35">
      <c r="B184" s="293" t="s">
        <v>51</v>
      </c>
      <c r="C184" s="25" t="s">
        <v>53</v>
      </c>
      <c r="D184" s="25" t="s">
        <v>55</v>
      </c>
      <c r="E184" s="25">
        <v>2011</v>
      </c>
      <c r="F184" s="91">
        <v>40</v>
      </c>
      <c r="G184" s="25"/>
      <c r="H184" s="22">
        <f>F184*PRODUCT(B23:H23)</f>
        <v>42.51306550079579</v>
      </c>
      <c r="I184" s="25"/>
      <c r="J184" s="25"/>
      <c r="L184" s="93" t="s">
        <v>166</v>
      </c>
    </row>
    <row r="185" spans="2:12" ht="15.5" x14ac:dyDescent="0.35">
      <c r="B185" s="293"/>
      <c r="C185" s="26" t="s">
        <v>56</v>
      </c>
      <c r="D185" s="26" t="s">
        <v>67</v>
      </c>
      <c r="E185" s="92">
        <v>2012</v>
      </c>
      <c r="F185" s="26">
        <v>36</v>
      </c>
      <c r="G185" s="26"/>
      <c r="H185" s="19">
        <f>F185*PRODUCT(B23:H23)</f>
        <v>38.261758950716207</v>
      </c>
      <c r="I185" s="26"/>
      <c r="J185" s="26"/>
      <c r="L185" s="93"/>
    </row>
    <row r="186" spans="2:12" ht="15.5" x14ac:dyDescent="0.35">
      <c r="B186" s="293"/>
      <c r="C186" s="25" t="s">
        <v>57</v>
      </c>
      <c r="D186" s="25" t="s">
        <v>68</v>
      </c>
      <c r="E186" s="25">
        <v>2013</v>
      </c>
      <c r="F186" s="91">
        <v>34</v>
      </c>
      <c r="G186" s="25"/>
      <c r="H186" s="22">
        <f>F186*PRODUCT(B23:H23)</f>
        <v>36.136105675676419</v>
      </c>
      <c r="I186" s="25"/>
      <c r="J186" s="25"/>
      <c r="L186" s="93"/>
    </row>
    <row r="187" spans="2:12" ht="15.5" x14ac:dyDescent="0.35">
      <c r="B187" s="293"/>
      <c r="C187" s="26" t="s">
        <v>58</v>
      </c>
      <c r="D187" s="26" t="s">
        <v>69</v>
      </c>
      <c r="E187" s="92">
        <v>2014</v>
      </c>
      <c r="F187" s="92">
        <v>32</v>
      </c>
      <c r="G187" s="26"/>
      <c r="H187" s="19">
        <f>F187*PRODUCT(C23:H23)</f>
        <v>33.723800099788427</v>
      </c>
      <c r="I187" s="26"/>
      <c r="J187" s="26"/>
      <c r="L187" s="93"/>
    </row>
    <row r="188" spans="2:12" ht="15.5" x14ac:dyDescent="0.35">
      <c r="B188" s="293"/>
      <c r="C188" s="25" t="s">
        <v>59</v>
      </c>
      <c r="D188" s="25" t="s">
        <v>54</v>
      </c>
      <c r="E188" s="25">
        <v>2015</v>
      </c>
      <c r="F188" s="91">
        <v>30</v>
      </c>
      <c r="G188" s="25"/>
      <c r="H188" s="22">
        <f>F188*PRODUCT(D23:H23)</f>
        <v>31.903191315390167</v>
      </c>
      <c r="I188" s="25"/>
      <c r="J188" s="25"/>
      <c r="L188" s="93"/>
    </row>
    <row r="189" spans="2:12" ht="15.5" x14ac:dyDescent="0.35">
      <c r="B189" s="293"/>
      <c r="C189" s="26" t="s">
        <v>60</v>
      </c>
      <c r="D189" s="26" t="s">
        <v>54</v>
      </c>
      <c r="E189" s="92">
        <v>2016</v>
      </c>
      <c r="F189" s="92">
        <v>28</v>
      </c>
      <c r="G189" s="26"/>
      <c r="H189" s="19">
        <f>F189*PRODUCT(D23:H23)</f>
        <v>29.776311894364156</v>
      </c>
      <c r="I189" s="26"/>
      <c r="J189" s="26"/>
      <c r="L189" s="93"/>
    </row>
    <row r="190" spans="2:12" ht="15.5" x14ac:dyDescent="0.35">
      <c r="B190" s="293"/>
      <c r="C190" s="25" t="s">
        <v>61</v>
      </c>
      <c r="D190" s="25" t="s">
        <v>54</v>
      </c>
      <c r="E190" s="25">
        <v>2017</v>
      </c>
      <c r="F190" s="91">
        <v>27</v>
      </c>
      <c r="G190" s="25"/>
      <c r="H190" s="22">
        <f>F190*PRODUCT(D23:H23)</f>
        <v>28.71287218385115</v>
      </c>
      <c r="I190" s="25"/>
      <c r="J190" s="25"/>
      <c r="L190" s="93"/>
    </row>
    <row r="191" spans="2:12" ht="15.5" x14ac:dyDescent="0.35">
      <c r="B191" s="293"/>
      <c r="C191" s="26" t="s">
        <v>62</v>
      </c>
      <c r="D191" s="26" t="s">
        <v>54</v>
      </c>
      <c r="E191" s="92">
        <v>2018</v>
      </c>
      <c r="F191" s="92">
        <v>26</v>
      </c>
      <c r="G191" s="26"/>
      <c r="H191" s="19">
        <f>F191*PRODUCT(D23:H23)</f>
        <v>27.649432473338145</v>
      </c>
      <c r="I191" s="26"/>
      <c r="J191" s="26"/>
      <c r="L191" s="93"/>
    </row>
    <row r="192" spans="2:12" ht="15.5" x14ac:dyDescent="0.35">
      <c r="B192" s="293"/>
      <c r="C192" s="25" t="s">
        <v>63</v>
      </c>
      <c r="D192" s="25" t="s">
        <v>54</v>
      </c>
      <c r="E192" s="25">
        <v>2019</v>
      </c>
      <c r="F192" s="91">
        <v>25</v>
      </c>
      <c r="G192" s="25"/>
      <c r="H192" s="22">
        <f>F192*PRODUCT(D23:H23)</f>
        <v>26.585992762825139</v>
      </c>
      <c r="I192" s="25"/>
      <c r="J192" s="25"/>
    </row>
    <row r="193" spans="2:18" ht="15.5" x14ac:dyDescent="0.35">
      <c r="B193" s="293"/>
      <c r="C193" s="26" t="s">
        <v>64</v>
      </c>
      <c r="D193" s="26" t="s">
        <v>54</v>
      </c>
      <c r="E193" s="92">
        <v>2020</v>
      </c>
      <c r="F193" s="92">
        <v>24</v>
      </c>
      <c r="G193" s="26"/>
      <c r="H193" s="19">
        <f>F193*PRODUCT(D23:H23)</f>
        <v>25.522553052312134</v>
      </c>
      <c r="I193" s="26"/>
      <c r="J193" s="26"/>
    </row>
    <row r="194" spans="2:18" ht="15.5" x14ac:dyDescent="0.35">
      <c r="B194" s="293"/>
      <c r="C194" s="25" t="s">
        <v>65</v>
      </c>
      <c r="D194" s="25" t="s">
        <v>54</v>
      </c>
      <c r="E194" s="25">
        <v>2021</v>
      </c>
      <c r="F194" s="91">
        <v>23</v>
      </c>
      <c r="G194" s="25"/>
      <c r="H194" s="22">
        <f>F194*PRODUCT(D23:H23)</f>
        <v>24.459113341799128</v>
      </c>
      <c r="I194" s="25"/>
      <c r="J194" s="25"/>
    </row>
    <row r="195" spans="2:18" ht="15.5" x14ac:dyDescent="0.35">
      <c r="B195" s="293"/>
      <c r="C195" s="26" t="s">
        <v>66</v>
      </c>
      <c r="D195" s="26" t="s">
        <v>54</v>
      </c>
      <c r="E195" s="92">
        <v>2022</v>
      </c>
      <c r="F195" s="92">
        <v>23</v>
      </c>
      <c r="G195" s="26"/>
      <c r="H195" s="19">
        <f>F195*PRODUCT(D23:H23)</f>
        <v>24.459113341799128</v>
      </c>
      <c r="I195" s="26"/>
      <c r="J195" s="26"/>
    </row>
    <row r="196" spans="2:18" ht="15.5" x14ac:dyDescent="0.35">
      <c r="B196" s="293"/>
      <c r="C196" s="25" t="s">
        <v>70</v>
      </c>
      <c r="D196" s="25" t="s">
        <v>54</v>
      </c>
      <c r="E196" s="25">
        <v>2023</v>
      </c>
      <c r="F196" s="91">
        <v>22</v>
      </c>
      <c r="G196" s="25"/>
      <c r="H196" s="22">
        <f>F196*PRODUCT(D23:H23)</f>
        <v>23.395673631286122</v>
      </c>
      <c r="I196" s="25"/>
      <c r="J196" s="25"/>
    </row>
    <row r="197" spans="2:18" ht="15.5" x14ac:dyDescent="0.35">
      <c r="B197" s="293"/>
      <c r="C197" s="26" t="s">
        <v>71</v>
      </c>
      <c r="D197" s="26" t="s">
        <v>54</v>
      </c>
      <c r="E197" s="92">
        <v>2024</v>
      </c>
      <c r="F197" s="92">
        <v>22</v>
      </c>
      <c r="G197" s="26"/>
      <c r="H197" s="19">
        <f>F197*PRODUCT(D23:H23)</f>
        <v>23.395673631286122</v>
      </c>
      <c r="I197" s="26"/>
      <c r="J197" s="26"/>
    </row>
    <row r="198" spans="2:18" ht="15.5" x14ac:dyDescent="0.35">
      <c r="C198" s="31"/>
      <c r="E198" s="28"/>
      <c r="F198" s="28"/>
    </row>
    <row r="199" spans="2:18" ht="15.5" x14ac:dyDescent="0.35">
      <c r="C199" s="31"/>
      <c r="E199" s="28"/>
      <c r="F199" s="28"/>
    </row>
    <row r="200" spans="2:18" ht="15.5" x14ac:dyDescent="0.35">
      <c r="C200" s="28"/>
      <c r="D200" s="28"/>
      <c r="E200" s="28"/>
      <c r="F200" s="28"/>
      <c r="G200" s="28"/>
      <c r="H200" s="32"/>
      <c r="I200" s="28"/>
    </row>
    <row r="201" spans="2:18" ht="15.5" x14ac:dyDescent="0.35">
      <c r="C201" s="28"/>
      <c r="D201" s="28"/>
      <c r="E201"/>
      <c r="F201" s="28"/>
      <c r="H201" s="28"/>
      <c r="J201" s="28"/>
      <c r="L201" s="28"/>
      <c r="N201" s="28"/>
      <c r="P201" s="28"/>
      <c r="R201" s="28"/>
    </row>
    <row r="202" spans="2:18" ht="15.5" x14ac:dyDescent="0.35">
      <c r="C202" s="28"/>
      <c r="D202" s="28"/>
      <c r="E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</row>
    <row r="203" spans="2:18" ht="15.5" x14ac:dyDescent="0.35">
      <c r="C203" s="31"/>
      <c r="E203" s="28"/>
      <c r="F203" s="28"/>
    </row>
    <row r="207" spans="2:18" x14ac:dyDescent="0.35">
      <c r="C207" s="287" t="s">
        <v>52</v>
      </c>
      <c r="D207" s="288"/>
      <c r="E207" s="288"/>
      <c r="F207" s="289" t="s">
        <v>6</v>
      </c>
      <c r="G207" s="289"/>
      <c r="H207" s="290" t="s">
        <v>15</v>
      </c>
      <c r="I207" s="290"/>
      <c r="J207" s="290"/>
    </row>
    <row r="208" spans="2:18" x14ac:dyDescent="0.35">
      <c r="C208" s="12" t="s">
        <v>7</v>
      </c>
      <c r="D208" s="12" t="s">
        <v>16</v>
      </c>
      <c r="E208" s="13" t="s">
        <v>8</v>
      </c>
      <c r="F208" s="7" t="s">
        <v>10</v>
      </c>
      <c r="G208" s="7" t="s">
        <v>9</v>
      </c>
      <c r="H208" s="8" t="s">
        <v>10</v>
      </c>
      <c r="I208" s="8" t="s">
        <v>9</v>
      </c>
      <c r="J208" s="8" t="s">
        <v>20</v>
      </c>
      <c r="L208" s="1" t="s">
        <v>32</v>
      </c>
    </row>
    <row r="209" spans="2:12" ht="15.5" x14ac:dyDescent="0.35">
      <c r="B209" s="293" t="s">
        <v>52</v>
      </c>
      <c r="C209" s="26" t="s">
        <v>53</v>
      </c>
      <c r="D209" s="26" t="s">
        <v>55</v>
      </c>
      <c r="E209" s="26">
        <v>2011</v>
      </c>
      <c r="F209" s="92">
        <v>40</v>
      </c>
      <c r="G209" s="26"/>
      <c r="H209" s="19">
        <f>F209*PRODUCT(B23:H23)</f>
        <v>42.51306550079579</v>
      </c>
      <c r="I209" s="26"/>
      <c r="J209" s="26"/>
      <c r="L209" t="s">
        <v>166</v>
      </c>
    </row>
    <row r="210" spans="2:12" ht="15.5" x14ac:dyDescent="0.35">
      <c r="B210" s="293"/>
      <c r="C210" s="94" t="s">
        <v>56</v>
      </c>
      <c r="D210" s="94" t="s">
        <v>67</v>
      </c>
      <c r="E210" s="95">
        <v>2012</v>
      </c>
      <c r="F210" s="94">
        <v>38</v>
      </c>
      <c r="G210" s="94"/>
      <c r="H210" s="86">
        <f>F210*PRODUCT(B23:H23)</f>
        <v>40.387412225756002</v>
      </c>
      <c r="I210" s="94"/>
      <c r="J210" s="94"/>
    </row>
    <row r="211" spans="2:12" ht="15.5" x14ac:dyDescent="0.35">
      <c r="B211" s="293"/>
      <c r="C211" s="26" t="s">
        <v>57</v>
      </c>
      <c r="D211" s="26" t="s">
        <v>68</v>
      </c>
      <c r="E211" s="26">
        <v>2013</v>
      </c>
      <c r="F211" s="92">
        <v>37</v>
      </c>
      <c r="G211" s="26"/>
      <c r="H211" s="19">
        <f>F211*PRODUCT(B23:H23)</f>
        <v>39.324585588236104</v>
      </c>
      <c r="I211" s="26"/>
      <c r="J211" s="26"/>
    </row>
    <row r="212" spans="2:12" ht="15.5" x14ac:dyDescent="0.35">
      <c r="B212" s="293"/>
      <c r="C212" s="94" t="s">
        <v>58</v>
      </c>
      <c r="D212" s="94" t="s">
        <v>69</v>
      </c>
      <c r="E212" s="95">
        <v>2014</v>
      </c>
      <c r="F212" s="95">
        <v>35</v>
      </c>
      <c r="G212" s="94"/>
      <c r="H212" s="86">
        <f>F212*PRODUCT(C23:H23)</f>
        <v>36.885406359143595</v>
      </c>
      <c r="I212" s="94"/>
      <c r="J212" s="94"/>
    </row>
    <row r="213" spans="2:12" ht="15.5" x14ac:dyDescent="0.35">
      <c r="B213" s="293"/>
      <c r="C213" s="26" t="s">
        <v>59</v>
      </c>
      <c r="D213" s="26" t="s">
        <v>54</v>
      </c>
      <c r="E213" s="26">
        <v>2015</v>
      </c>
      <c r="F213" s="92">
        <v>34</v>
      </c>
      <c r="G213" s="26"/>
      <c r="H213" s="19">
        <f>F213*PRODUCT(D23:H23)</f>
        <v>36.156950157442189</v>
      </c>
      <c r="I213" s="26"/>
      <c r="J213" s="26"/>
    </row>
    <row r="214" spans="2:12" ht="15.5" x14ac:dyDescent="0.35">
      <c r="B214" s="293"/>
      <c r="C214" s="94" t="s">
        <v>60</v>
      </c>
      <c r="D214" s="94" t="s">
        <v>54</v>
      </c>
      <c r="E214" s="95">
        <v>2016</v>
      </c>
      <c r="F214" s="95">
        <v>33</v>
      </c>
      <c r="G214" s="94"/>
      <c r="H214" s="86">
        <f>F214*PRODUCT(D23:H23)</f>
        <v>35.093510446929187</v>
      </c>
      <c r="I214" s="94"/>
      <c r="J214" s="94"/>
    </row>
    <row r="215" spans="2:12" ht="15.5" x14ac:dyDescent="0.35">
      <c r="B215" s="293"/>
      <c r="C215" s="26" t="s">
        <v>61</v>
      </c>
      <c r="D215" s="26" t="s">
        <v>54</v>
      </c>
      <c r="E215" s="26">
        <v>2017</v>
      </c>
      <c r="F215" s="92">
        <v>33</v>
      </c>
      <c r="G215" s="26"/>
      <c r="H215" s="19">
        <f>F215*PRODUCT(D23:H23)</f>
        <v>35.093510446929187</v>
      </c>
      <c r="I215" s="26"/>
      <c r="J215" s="26"/>
    </row>
    <row r="216" spans="2:12" ht="15.5" x14ac:dyDescent="0.35">
      <c r="B216" s="293"/>
      <c r="C216" s="94" t="s">
        <v>62</v>
      </c>
      <c r="D216" s="94" t="s">
        <v>54</v>
      </c>
      <c r="E216" s="95">
        <v>2018</v>
      </c>
      <c r="F216" s="95">
        <v>33</v>
      </c>
      <c r="G216" s="94"/>
      <c r="H216" s="86">
        <f>F216*PRODUCT(D23:H23)</f>
        <v>35.093510446929187</v>
      </c>
      <c r="I216" s="94"/>
      <c r="J216" s="94"/>
    </row>
    <row r="217" spans="2:12" ht="15.5" x14ac:dyDescent="0.35">
      <c r="B217" s="293"/>
      <c r="C217" s="26" t="s">
        <v>63</v>
      </c>
      <c r="D217" s="26" t="s">
        <v>54</v>
      </c>
      <c r="E217" s="26">
        <v>2019</v>
      </c>
      <c r="F217" s="92">
        <v>32</v>
      </c>
      <c r="G217" s="26"/>
      <c r="H217" s="19">
        <f>F217*PRODUCT(D23:H23)</f>
        <v>34.030070736416178</v>
      </c>
      <c r="I217" s="26"/>
      <c r="J217" s="26"/>
    </row>
    <row r="218" spans="2:12" ht="15.5" x14ac:dyDescent="0.35">
      <c r="B218" s="293"/>
      <c r="C218" s="94" t="s">
        <v>64</v>
      </c>
      <c r="D218" s="94" t="s">
        <v>54</v>
      </c>
      <c r="E218" s="95">
        <v>2020</v>
      </c>
      <c r="F218" s="95">
        <v>32</v>
      </c>
      <c r="G218" s="94"/>
      <c r="H218" s="86">
        <f>F218*PRODUCT(D23:H23)</f>
        <v>34.030070736416178</v>
      </c>
      <c r="I218" s="94"/>
      <c r="J218" s="94"/>
    </row>
    <row r="219" spans="2:12" ht="15.5" x14ac:dyDescent="0.35">
      <c r="B219" s="293"/>
      <c r="C219" s="26" t="s">
        <v>65</v>
      </c>
      <c r="D219" s="26" t="s">
        <v>54</v>
      </c>
      <c r="E219" s="26">
        <v>2021</v>
      </c>
      <c r="F219" s="92">
        <v>32</v>
      </c>
      <c r="G219" s="26"/>
      <c r="H219" s="19">
        <f>F219*PRODUCT(D23:H23)</f>
        <v>34.030070736416178</v>
      </c>
      <c r="I219" s="26"/>
      <c r="J219" s="26"/>
    </row>
    <row r="220" spans="2:12" ht="15.5" x14ac:dyDescent="0.35">
      <c r="B220" s="293"/>
      <c r="C220" s="94" t="s">
        <v>66</v>
      </c>
      <c r="D220" s="94" t="s">
        <v>54</v>
      </c>
      <c r="E220" s="95">
        <v>2022</v>
      </c>
      <c r="F220" s="95">
        <v>32</v>
      </c>
      <c r="G220" s="94"/>
      <c r="H220" s="86">
        <f>F220*PRODUCT(D23:H23)</f>
        <v>34.030070736416178</v>
      </c>
      <c r="I220" s="94"/>
      <c r="J220" s="94"/>
    </row>
    <row r="221" spans="2:12" ht="15.5" x14ac:dyDescent="0.35">
      <c r="B221" s="293"/>
      <c r="C221" s="26" t="s">
        <v>70</v>
      </c>
      <c r="D221" s="26" t="s">
        <v>54</v>
      </c>
      <c r="E221" s="26">
        <v>2023</v>
      </c>
      <c r="F221" s="92">
        <v>33</v>
      </c>
      <c r="G221" s="26"/>
      <c r="H221" s="19">
        <f>F221*PRODUCT(D23:H23)</f>
        <v>35.093510446929187</v>
      </c>
      <c r="I221" s="26"/>
      <c r="J221" s="26"/>
    </row>
    <row r="222" spans="2:12" ht="15.5" x14ac:dyDescent="0.35">
      <c r="B222" s="293"/>
      <c r="C222" s="94" t="s">
        <v>71</v>
      </c>
      <c r="D222" s="94" t="s">
        <v>54</v>
      </c>
      <c r="E222" s="95">
        <v>2024</v>
      </c>
      <c r="F222" s="95">
        <v>33</v>
      </c>
      <c r="G222" s="94"/>
      <c r="H222" s="86">
        <f>F222*PRODUCT(D23:H23)</f>
        <v>35.093510446929187</v>
      </c>
      <c r="I222" s="94"/>
      <c r="J222" s="94"/>
    </row>
    <row r="226" spans="2:12" x14ac:dyDescent="0.35">
      <c r="C226" s="287" t="s">
        <v>48</v>
      </c>
      <c r="D226" s="288"/>
      <c r="E226" s="288"/>
      <c r="F226" s="289" t="s">
        <v>6</v>
      </c>
      <c r="G226" s="289"/>
      <c r="H226" s="290" t="s">
        <v>15</v>
      </c>
      <c r="I226" s="290"/>
      <c r="J226" s="290"/>
    </row>
    <row r="227" spans="2:12" x14ac:dyDescent="0.35">
      <c r="C227" s="12" t="s">
        <v>7</v>
      </c>
      <c r="D227" s="12" t="s">
        <v>16</v>
      </c>
      <c r="E227" s="13" t="s">
        <v>8</v>
      </c>
      <c r="F227" s="7" t="s">
        <v>10</v>
      </c>
      <c r="G227" s="7" t="s">
        <v>9</v>
      </c>
      <c r="H227" s="8" t="s">
        <v>10</v>
      </c>
      <c r="I227" s="8" t="s">
        <v>9</v>
      </c>
      <c r="J227" s="8" t="s">
        <v>20</v>
      </c>
      <c r="L227" s="1" t="s">
        <v>32</v>
      </c>
    </row>
    <row r="228" spans="2:12" x14ac:dyDescent="0.35">
      <c r="B228" t="s">
        <v>334</v>
      </c>
      <c r="C228" t="s">
        <v>336</v>
      </c>
      <c r="D228" t="s">
        <v>78</v>
      </c>
      <c r="E228" s="2">
        <v>2019</v>
      </c>
      <c r="F228" s="142">
        <v>595</v>
      </c>
    </row>
    <row r="229" spans="2:12" x14ac:dyDescent="0.35">
      <c r="B229" t="s">
        <v>335</v>
      </c>
      <c r="C229" t="s">
        <v>336</v>
      </c>
      <c r="D229" t="s">
        <v>78</v>
      </c>
      <c r="E229" s="2">
        <v>2019</v>
      </c>
      <c r="F229">
        <v>495</v>
      </c>
    </row>
    <row r="241" spans="2:12" x14ac:dyDescent="0.35">
      <c r="C241" s="287" t="s">
        <v>49</v>
      </c>
      <c r="D241" s="288"/>
      <c r="E241" s="288"/>
      <c r="F241" s="289" t="s">
        <v>6</v>
      </c>
      <c r="G241" s="289"/>
      <c r="H241" s="290" t="s">
        <v>15</v>
      </c>
      <c r="I241" s="290"/>
      <c r="J241" s="290"/>
    </row>
    <row r="242" spans="2:12" x14ac:dyDescent="0.35">
      <c r="C242" s="12" t="s">
        <v>7</v>
      </c>
      <c r="D242" s="12" t="s">
        <v>16</v>
      </c>
      <c r="E242" s="13" t="s">
        <v>8</v>
      </c>
      <c r="F242" s="7" t="s">
        <v>10</v>
      </c>
      <c r="G242" s="7" t="s">
        <v>9</v>
      </c>
      <c r="H242" s="8" t="s">
        <v>10</v>
      </c>
      <c r="I242" s="8" t="s">
        <v>9</v>
      </c>
      <c r="J242" s="8" t="s">
        <v>20</v>
      </c>
      <c r="L242" s="1" t="s">
        <v>32</v>
      </c>
    </row>
    <row r="243" spans="2:12" x14ac:dyDescent="0.35">
      <c r="B243" t="s">
        <v>337</v>
      </c>
      <c r="C243" t="s">
        <v>338</v>
      </c>
      <c r="D243" t="s">
        <v>75</v>
      </c>
      <c r="E243" s="2">
        <v>2021</v>
      </c>
      <c r="F243">
        <v>729</v>
      </c>
    </row>
    <row r="248" spans="2:12" x14ac:dyDescent="0.35">
      <c r="C248" s="287" t="s">
        <v>360</v>
      </c>
      <c r="D248" s="288"/>
      <c r="E248" s="288"/>
      <c r="F248" s="289" t="s">
        <v>6</v>
      </c>
      <c r="G248" s="289"/>
      <c r="H248" s="290" t="s">
        <v>15</v>
      </c>
      <c r="I248" s="290"/>
      <c r="J248" s="290"/>
    </row>
    <row r="249" spans="2:12" x14ac:dyDescent="0.35">
      <c r="C249" s="12" t="s">
        <v>7</v>
      </c>
      <c r="D249" s="12" t="s">
        <v>16</v>
      </c>
      <c r="E249" s="160" t="s">
        <v>8</v>
      </c>
      <c r="F249" s="7" t="s">
        <v>10</v>
      </c>
      <c r="G249" s="7" t="s">
        <v>9</v>
      </c>
      <c r="H249" s="8" t="s">
        <v>10</v>
      </c>
      <c r="I249" s="8" t="s">
        <v>9</v>
      </c>
      <c r="J249" s="8" t="s">
        <v>20</v>
      </c>
      <c r="L249" s="1" t="s">
        <v>32</v>
      </c>
    </row>
    <row r="250" spans="2:12" ht="15.5" x14ac:dyDescent="0.35">
      <c r="C250" s="140" t="s">
        <v>361</v>
      </c>
      <c r="D250" t="s">
        <v>138</v>
      </c>
      <c r="E250" s="2">
        <v>2018</v>
      </c>
      <c r="F250" s="28">
        <v>162.38999999999999</v>
      </c>
      <c r="H250">
        <f>F250*G16</f>
        <v>167.05094376240001</v>
      </c>
      <c r="J250">
        <f>H250</f>
        <v>167.05094376240001</v>
      </c>
    </row>
    <row r="263" spans="3:12" x14ac:dyDescent="0.35">
      <c r="C263" s="287" t="s">
        <v>0</v>
      </c>
      <c r="D263" s="288"/>
      <c r="E263" s="288"/>
      <c r="F263" s="289" t="s">
        <v>6</v>
      </c>
      <c r="G263" s="289"/>
      <c r="H263" s="290" t="s">
        <v>15</v>
      </c>
      <c r="I263" s="290"/>
      <c r="J263" s="290"/>
    </row>
    <row r="264" spans="3:12" x14ac:dyDescent="0.35">
      <c r="C264" s="12" t="s">
        <v>7</v>
      </c>
      <c r="D264" s="12" t="s">
        <v>16</v>
      </c>
      <c r="E264" s="27" t="s">
        <v>8</v>
      </c>
      <c r="F264" s="7" t="s">
        <v>10</v>
      </c>
      <c r="G264" s="7" t="s">
        <v>9</v>
      </c>
      <c r="H264" s="8" t="s">
        <v>10</v>
      </c>
      <c r="I264" s="8" t="s">
        <v>9</v>
      </c>
      <c r="J264" s="8" t="s">
        <v>20</v>
      </c>
      <c r="L264" s="1" t="s">
        <v>32</v>
      </c>
    </row>
    <row r="265" spans="3:12" x14ac:dyDescent="0.35">
      <c r="C265" s="94" t="s">
        <v>72</v>
      </c>
      <c r="D265" s="94" t="s">
        <v>138</v>
      </c>
      <c r="E265" s="96">
        <v>2018</v>
      </c>
      <c r="F265" s="94">
        <v>100</v>
      </c>
      <c r="G265" s="94"/>
      <c r="H265" s="94">
        <f>F265*PRODUCT(G23:H23)</f>
        <v>102.87021600000001</v>
      </c>
      <c r="I265" s="94"/>
      <c r="J265" s="94"/>
    </row>
    <row r="295" spans="3:12" x14ac:dyDescent="0.35">
      <c r="C295" s="286" t="s">
        <v>173</v>
      </c>
      <c r="D295" s="286"/>
      <c r="E295" s="286"/>
      <c r="F295" s="286"/>
      <c r="G295" s="286"/>
      <c r="H295" s="286"/>
      <c r="I295" s="286"/>
      <c r="J295" s="286"/>
    </row>
    <row r="297" spans="3:12" x14ac:dyDescent="0.35">
      <c r="C297" s="287" t="s">
        <v>172</v>
      </c>
      <c r="D297" s="288"/>
      <c r="E297" s="288"/>
      <c r="F297" s="289" t="s">
        <v>6</v>
      </c>
      <c r="G297" s="289"/>
      <c r="H297" s="290" t="s">
        <v>15</v>
      </c>
      <c r="I297" s="290"/>
      <c r="J297" s="290"/>
    </row>
    <row r="298" spans="3:12" x14ac:dyDescent="0.35">
      <c r="C298" s="12" t="s">
        <v>7</v>
      </c>
      <c r="D298" s="12" t="s">
        <v>16</v>
      </c>
      <c r="E298" s="99" t="s">
        <v>8</v>
      </c>
      <c r="F298" s="7" t="s">
        <v>10</v>
      </c>
      <c r="G298" s="7" t="s">
        <v>9</v>
      </c>
      <c r="H298" s="8" t="s">
        <v>10</v>
      </c>
      <c r="I298" s="8" t="s">
        <v>9</v>
      </c>
      <c r="J298" s="8" t="s">
        <v>20</v>
      </c>
      <c r="L298" s="1" t="s">
        <v>32</v>
      </c>
    </row>
    <row r="299" spans="3:12" x14ac:dyDescent="0.35">
      <c r="C299" s="103" t="s">
        <v>171</v>
      </c>
      <c r="D299" s="53" t="s">
        <v>101</v>
      </c>
      <c r="E299" s="18">
        <v>2015</v>
      </c>
      <c r="F299" s="54">
        <v>6.67</v>
      </c>
      <c r="G299" s="26"/>
      <c r="H299" s="54">
        <f>F299*PRODUCT(D23:H23)</f>
        <v>7.0931428691217473</v>
      </c>
      <c r="I299" s="26"/>
      <c r="J299" s="26"/>
    </row>
    <row r="303" spans="3:12" x14ac:dyDescent="0.35">
      <c r="C303" s="287" t="s">
        <v>177</v>
      </c>
      <c r="D303" s="288"/>
      <c r="E303" s="288"/>
      <c r="F303" s="289" t="s">
        <v>6</v>
      </c>
      <c r="G303" s="289"/>
      <c r="H303" s="290" t="s">
        <v>15</v>
      </c>
      <c r="I303" s="290"/>
      <c r="J303" s="290"/>
    </row>
    <row r="304" spans="3:12" x14ac:dyDescent="0.35">
      <c r="C304" s="12" t="s">
        <v>7</v>
      </c>
      <c r="D304" s="12" t="s">
        <v>16</v>
      </c>
      <c r="E304" s="99" t="s">
        <v>8</v>
      </c>
      <c r="F304" s="7" t="s">
        <v>10</v>
      </c>
      <c r="G304" s="7" t="s">
        <v>9</v>
      </c>
      <c r="H304" s="8" t="s">
        <v>10</v>
      </c>
      <c r="I304" s="8" t="s">
        <v>9</v>
      </c>
      <c r="J304" s="8" t="s">
        <v>20</v>
      </c>
      <c r="L304" s="1" t="s">
        <v>32</v>
      </c>
    </row>
    <row r="305" spans="2:13" ht="14.25" customHeight="1" x14ac:dyDescent="0.35">
      <c r="C305" s="103" t="s">
        <v>174</v>
      </c>
      <c r="D305" s="53" t="s">
        <v>138</v>
      </c>
      <c r="E305" s="18">
        <v>2014</v>
      </c>
      <c r="F305" s="54">
        <v>200</v>
      </c>
      <c r="G305" s="26"/>
      <c r="H305" s="54">
        <f>F305*PRODUCT(D23:H23)</f>
        <v>212.68794210260111</v>
      </c>
      <c r="I305" s="26"/>
      <c r="J305" s="26"/>
      <c r="L305" s="93" t="s">
        <v>175</v>
      </c>
    </row>
    <row r="306" spans="2:13" x14ac:dyDescent="0.35">
      <c r="B306" s="31"/>
      <c r="C306" s="25" t="s">
        <v>243</v>
      </c>
      <c r="D306" s="25" t="s">
        <v>138</v>
      </c>
      <c r="E306" s="21">
        <v>2012</v>
      </c>
      <c r="F306" s="25">
        <v>200</v>
      </c>
      <c r="G306" s="25"/>
      <c r="H306" s="25"/>
      <c r="I306" s="25"/>
      <c r="J306" s="25"/>
      <c r="L306" s="93"/>
    </row>
    <row r="307" spans="2:13" x14ac:dyDescent="0.35">
      <c r="B307" s="31"/>
      <c r="L307" s="93"/>
    </row>
    <row r="308" spans="2:13" x14ac:dyDescent="0.35">
      <c r="C308" s="287" t="s">
        <v>176</v>
      </c>
      <c r="D308" s="288"/>
      <c r="E308" s="288"/>
      <c r="F308" s="289" t="s">
        <v>6</v>
      </c>
      <c r="G308" s="289"/>
      <c r="H308" s="290" t="s">
        <v>15</v>
      </c>
      <c r="I308" s="290"/>
      <c r="J308" s="290"/>
    </row>
    <row r="309" spans="2:13" x14ac:dyDescent="0.35">
      <c r="C309" s="12" t="s">
        <v>7</v>
      </c>
      <c r="D309" s="12" t="s">
        <v>16</v>
      </c>
      <c r="E309" s="99" t="s">
        <v>8</v>
      </c>
      <c r="F309" s="7" t="s">
        <v>10</v>
      </c>
      <c r="G309" s="7" t="s">
        <v>9</v>
      </c>
      <c r="H309" s="8" t="s">
        <v>10</v>
      </c>
      <c r="I309" s="8" t="s">
        <v>9</v>
      </c>
      <c r="J309" s="8" t="s">
        <v>20</v>
      </c>
      <c r="L309" s="1" t="s">
        <v>32</v>
      </c>
    </row>
    <row r="310" spans="2:13" x14ac:dyDescent="0.35">
      <c r="C310" s="103" t="s">
        <v>178</v>
      </c>
      <c r="D310" s="53" t="s">
        <v>138</v>
      </c>
      <c r="E310" s="18">
        <v>2014</v>
      </c>
      <c r="F310" s="54">
        <v>250</v>
      </c>
      <c r="G310" s="26"/>
      <c r="H310" s="54">
        <f>F310*PRODUCT(D23:H23)</f>
        <v>265.8599276282514</v>
      </c>
      <c r="I310" s="26"/>
      <c r="J310" s="26"/>
      <c r="L310" t="s">
        <v>179</v>
      </c>
    </row>
    <row r="313" spans="2:13" x14ac:dyDescent="0.35">
      <c r="C313" s="287" t="s">
        <v>180</v>
      </c>
      <c r="D313" s="288"/>
      <c r="E313" s="288"/>
      <c r="F313" s="289" t="s">
        <v>6</v>
      </c>
      <c r="G313" s="289"/>
      <c r="H313" s="290" t="s">
        <v>15</v>
      </c>
      <c r="I313" s="290"/>
      <c r="J313" s="290"/>
    </row>
    <row r="314" spans="2:13" x14ac:dyDescent="0.35">
      <c r="C314" s="12" t="s">
        <v>7</v>
      </c>
      <c r="D314" s="12" t="s">
        <v>16</v>
      </c>
      <c r="E314" s="99" t="s">
        <v>8</v>
      </c>
      <c r="F314" s="7" t="s">
        <v>10</v>
      </c>
      <c r="G314" s="7" t="s">
        <v>9</v>
      </c>
      <c r="H314" s="8" t="s">
        <v>10</v>
      </c>
      <c r="I314" s="8" t="s">
        <v>9</v>
      </c>
      <c r="J314" s="8" t="s">
        <v>20</v>
      </c>
      <c r="L314" s="1" t="s">
        <v>32</v>
      </c>
    </row>
    <row r="315" spans="2:13" x14ac:dyDescent="0.35">
      <c r="C315" s="103" t="s">
        <v>178</v>
      </c>
      <c r="D315" s="53" t="s">
        <v>138</v>
      </c>
      <c r="E315" s="18">
        <v>2014</v>
      </c>
      <c r="F315" s="54">
        <v>160</v>
      </c>
      <c r="G315" s="26"/>
      <c r="H315" s="54">
        <f>F315*PRODUCT(D23:H23)</f>
        <v>170.15035368208089</v>
      </c>
      <c r="I315" s="26"/>
      <c r="J315" s="26"/>
      <c r="L315" t="s">
        <v>179</v>
      </c>
    </row>
    <row r="318" spans="2:13" x14ac:dyDescent="0.35">
      <c r="C318" s="287" t="s">
        <v>217</v>
      </c>
      <c r="D318" s="288"/>
      <c r="E318" s="288"/>
      <c r="F318" s="289" t="s">
        <v>6</v>
      </c>
      <c r="G318" s="289"/>
      <c r="H318" s="290" t="s">
        <v>15</v>
      </c>
      <c r="I318" s="290"/>
      <c r="J318" s="290"/>
    </row>
    <row r="319" spans="2:13" x14ac:dyDescent="0.35">
      <c r="B319" s="31"/>
      <c r="C319" s="12" t="s">
        <v>7</v>
      </c>
      <c r="D319" s="12" t="s">
        <v>16</v>
      </c>
      <c r="E319" s="99" t="s">
        <v>8</v>
      </c>
      <c r="F319" s="7" t="s">
        <v>10</v>
      </c>
      <c r="G319" s="7" t="s">
        <v>9</v>
      </c>
      <c r="H319" s="8" t="s">
        <v>10</v>
      </c>
      <c r="I319" s="8" t="s">
        <v>9</v>
      </c>
      <c r="J319" s="8" t="s">
        <v>20</v>
      </c>
      <c r="L319" s="1" t="s">
        <v>32</v>
      </c>
    </row>
    <row r="320" spans="2:13" x14ac:dyDescent="0.35">
      <c r="B320" s="31"/>
      <c r="C320" s="103" t="s">
        <v>222</v>
      </c>
      <c r="D320" s="53" t="s">
        <v>101</v>
      </c>
      <c r="E320" s="18">
        <v>2014</v>
      </c>
      <c r="F320" s="54">
        <v>5.84</v>
      </c>
      <c r="G320" s="26"/>
      <c r="H320" s="54">
        <f>F320*C16</f>
        <v>6.1545935182113878</v>
      </c>
      <c r="I320" s="26"/>
      <c r="J320" s="26"/>
      <c r="K320" s="31"/>
      <c r="L320" s="31" t="s">
        <v>220</v>
      </c>
      <c r="M320" s="31"/>
    </row>
    <row r="321" spans="2:13" x14ac:dyDescent="0.35">
      <c r="B321" s="31"/>
      <c r="C321" s="46"/>
      <c r="D321" s="114"/>
      <c r="E321" s="33"/>
      <c r="F321" s="115"/>
      <c r="G321" s="31"/>
      <c r="H321" s="115"/>
      <c r="I321" s="31"/>
      <c r="J321" s="31"/>
      <c r="K321" s="31"/>
      <c r="L321" s="31"/>
      <c r="M321" s="31"/>
    </row>
    <row r="322" spans="2:13" x14ac:dyDescent="0.35">
      <c r="B322" s="31"/>
      <c r="C322" s="46"/>
      <c r="D322" s="114"/>
      <c r="E322" s="33"/>
      <c r="F322" s="115"/>
      <c r="G322" s="31"/>
      <c r="H322" s="115"/>
      <c r="I322" s="31"/>
      <c r="J322" s="31"/>
      <c r="K322" s="31"/>
      <c r="L322" s="31"/>
      <c r="M322" s="31"/>
    </row>
    <row r="323" spans="2:13" x14ac:dyDescent="0.35">
      <c r="B323" s="31"/>
      <c r="C323" s="287" t="s">
        <v>218</v>
      </c>
      <c r="D323" s="288"/>
      <c r="E323" s="288"/>
      <c r="F323" s="289" t="s">
        <v>6</v>
      </c>
      <c r="G323" s="289"/>
      <c r="H323" s="290" t="s">
        <v>15</v>
      </c>
      <c r="I323" s="290"/>
      <c r="J323" s="290"/>
      <c r="K323" s="31"/>
      <c r="L323" s="31"/>
      <c r="M323" s="31"/>
    </row>
    <row r="324" spans="2:13" x14ac:dyDescent="0.35">
      <c r="B324" s="31"/>
      <c r="C324" s="12" t="s">
        <v>7</v>
      </c>
      <c r="D324" s="12" t="s">
        <v>16</v>
      </c>
      <c r="E324" s="111" t="s">
        <v>8</v>
      </c>
      <c r="F324" s="7" t="s">
        <v>10</v>
      </c>
      <c r="G324" s="7" t="s">
        <v>9</v>
      </c>
      <c r="H324" s="8" t="s">
        <v>10</v>
      </c>
      <c r="I324" s="8" t="s">
        <v>9</v>
      </c>
      <c r="J324" s="8" t="s">
        <v>20</v>
      </c>
      <c r="K324" s="31"/>
      <c r="L324" s="1" t="s">
        <v>32</v>
      </c>
      <c r="M324" s="31"/>
    </row>
    <row r="325" spans="2:13" x14ac:dyDescent="0.35">
      <c r="B325" s="31"/>
      <c r="C325" s="103" t="s">
        <v>223</v>
      </c>
      <c r="D325" s="53" t="s">
        <v>101</v>
      </c>
      <c r="E325" s="18">
        <v>2014</v>
      </c>
      <c r="F325" s="54">
        <v>3.34</v>
      </c>
      <c r="G325" s="26"/>
      <c r="H325" s="54">
        <f>F325*C16</f>
        <v>3.5199216354154168</v>
      </c>
      <c r="I325" s="26"/>
      <c r="J325" s="26"/>
      <c r="K325" s="31"/>
      <c r="L325" s="31" t="s">
        <v>220</v>
      </c>
      <c r="M325" s="31"/>
    </row>
    <row r="326" spans="2:13" x14ac:dyDescent="0.35">
      <c r="B326" s="31"/>
      <c r="D326" s="114"/>
      <c r="E326" s="33"/>
      <c r="F326" s="115"/>
      <c r="G326" s="31"/>
      <c r="H326" s="115"/>
      <c r="I326" s="31"/>
      <c r="J326" s="31"/>
      <c r="K326" s="31"/>
      <c r="L326" s="31"/>
      <c r="M326" s="31"/>
    </row>
    <row r="327" spans="2:13" x14ac:dyDescent="0.35">
      <c r="B327" s="31"/>
      <c r="C327" s="46"/>
      <c r="D327" s="114"/>
      <c r="E327" s="33"/>
      <c r="F327" s="115"/>
      <c r="G327" s="31"/>
      <c r="H327" s="115"/>
      <c r="I327" s="31"/>
      <c r="J327" s="31"/>
      <c r="K327" s="31"/>
      <c r="L327" s="31"/>
      <c r="M327" s="31"/>
    </row>
    <row r="328" spans="2:13" x14ac:dyDescent="0.35">
      <c r="B328" s="31"/>
      <c r="C328" s="287" t="s">
        <v>219</v>
      </c>
      <c r="D328" s="288"/>
      <c r="E328" s="288"/>
      <c r="F328" s="289" t="s">
        <v>6</v>
      </c>
      <c r="G328" s="289"/>
      <c r="H328" s="290" t="s">
        <v>15</v>
      </c>
      <c r="I328" s="290"/>
      <c r="J328" s="290"/>
      <c r="K328" s="31"/>
      <c r="L328" s="31"/>
      <c r="M328" s="31"/>
    </row>
    <row r="329" spans="2:13" x14ac:dyDescent="0.35">
      <c r="B329" s="31"/>
      <c r="C329" s="12" t="s">
        <v>7</v>
      </c>
      <c r="D329" s="12" t="s">
        <v>16</v>
      </c>
      <c r="E329" s="111" t="s">
        <v>8</v>
      </c>
      <c r="F329" s="7" t="s">
        <v>10</v>
      </c>
      <c r="G329" s="7" t="s">
        <v>9</v>
      </c>
      <c r="H329" s="8" t="s">
        <v>10</v>
      </c>
      <c r="I329" s="8" t="s">
        <v>9</v>
      </c>
      <c r="J329" s="8" t="s">
        <v>20</v>
      </c>
      <c r="K329" s="31"/>
      <c r="L329" s="1" t="s">
        <v>32</v>
      </c>
      <c r="M329" s="31"/>
    </row>
    <row r="330" spans="2:13" x14ac:dyDescent="0.35">
      <c r="B330" s="31"/>
      <c r="C330" s="103" t="s">
        <v>156</v>
      </c>
      <c r="D330" s="53" t="s">
        <v>101</v>
      </c>
      <c r="E330" s="18">
        <v>2014</v>
      </c>
      <c r="F330" s="54">
        <v>3.33</v>
      </c>
      <c r="G330" s="26"/>
      <c r="H330" s="54">
        <f>F330*C16</f>
        <v>3.5093829478842333</v>
      </c>
      <c r="I330" s="26"/>
      <c r="J330" s="26"/>
      <c r="K330" s="31"/>
      <c r="L330" s="31" t="s">
        <v>220</v>
      </c>
      <c r="M330" s="31"/>
    </row>
    <row r="331" spans="2:13" x14ac:dyDescent="0.35">
      <c r="B331" s="31"/>
      <c r="C331" s="46"/>
      <c r="D331" s="114"/>
      <c r="E331" s="33"/>
      <c r="F331" s="115"/>
      <c r="G331" s="31"/>
      <c r="H331" s="115"/>
      <c r="I331" s="31"/>
      <c r="J331" s="31"/>
      <c r="K331" s="31"/>
      <c r="L331" s="31"/>
      <c r="M331" s="31"/>
    </row>
    <row r="332" spans="2:13" x14ac:dyDescent="0.35">
      <c r="B332" s="31"/>
      <c r="C332" s="46"/>
      <c r="D332" s="114"/>
      <c r="E332" s="33"/>
      <c r="F332" s="115"/>
      <c r="G332" s="31"/>
      <c r="H332" s="115"/>
      <c r="I332" s="31"/>
      <c r="J332" s="31"/>
      <c r="K332" s="31"/>
      <c r="L332" s="31"/>
      <c r="M332" s="31"/>
    </row>
    <row r="333" spans="2:13" x14ac:dyDescent="0.35">
      <c r="B333" s="31"/>
      <c r="C333" s="47"/>
      <c r="D333" s="47"/>
      <c r="E333" s="48"/>
      <c r="F333" s="47"/>
      <c r="G333" s="47"/>
      <c r="H333" s="49"/>
      <c r="I333" s="49"/>
      <c r="J333" s="49"/>
      <c r="K333" s="31"/>
      <c r="L333" s="49"/>
      <c r="M333" s="31"/>
    </row>
    <row r="334" spans="2:13" x14ac:dyDescent="0.35">
      <c r="B334" s="31"/>
      <c r="C334" s="31"/>
      <c r="D334" s="100"/>
      <c r="E334" s="33"/>
      <c r="F334" s="31"/>
      <c r="G334" s="31"/>
      <c r="H334" s="101"/>
      <c r="I334" s="31"/>
      <c r="J334" s="31"/>
      <c r="K334" s="31"/>
      <c r="L334" s="31"/>
      <c r="M334" s="31"/>
    </row>
    <row r="335" spans="2:13" x14ac:dyDescent="0.35">
      <c r="B335" s="31"/>
      <c r="C335" s="31"/>
      <c r="D335" s="39"/>
      <c r="E335" s="33"/>
      <c r="F335" s="39"/>
      <c r="G335" s="40"/>
      <c r="H335" s="41"/>
      <c r="I335" s="31"/>
      <c r="J335" s="31"/>
      <c r="K335" s="31"/>
      <c r="L335" s="31"/>
      <c r="M335" s="31"/>
    </row>
    <row r="336" spans="2:13" x14ac:dyDescent="0.35">
      <c r="B336" s="31"/>
      <c r="C336" s="31"/>
      <c r="D336" s="39"/>
      <c r="E336" s="33"/>
      <c r="F336" s="39"/>
      <c r="G336" s="40"/>
      <c r="H336" s="41"/>
      <c r="I336" s="31"/>
      <c r="J336" s="31"/>
      <c r="K336" s="31"/>
      <c r="L336" s="31"/>
      <c r="M336" s="31"/>
    </row>
    <row r="337" spans="2:13" x14ac:dyDescent="0.35">
      <c r="B337" s="31"/>
      <c r="C337" s="286" t="s">
        <v>189</v>
      </c>
      <c r="D337" s="286"/>
      <c r="E337" s="286"/>
      <c r="F337" s="286"/>
      <c r="G337" s="286"/>
      <c r="H337" s="286"/>
      <c r="I337" s="286"/>
      <c r="J337" s="286"/>
      <c r="K337" s="31"/>
      <c r="L337" s="31"/>
      <c r="M337" s="31"/>
    </row>
    <row r="338" spans="2:13" x14ac:dyDescent="0.35">
      <c r="C338" s="31"/>
      <c r="D338" s="39"/>
      <c r="E338" s="33"/>
      <c r="F338" s="39"/>
      <c r="G338" s="40"/>
      <c r="H338" s="41"/>
      <c r="I338" s="31"/>
      <c r="J338" s="31"/>
      <c r="K338" s="31"/>
      <c r="L338" s="31"/>
    </row>
    <row r="339" spans="2:13" x14ac:dyDescent="0.35">
      <c r="C339" s="287" t="s">
        <v>190</v>
      </c>
      <c r="D339" s="288"/>
      <c r="E339" s="288"/>
      <c r="F339" s="289" t="s">
        <v>6</v>
      </c>
      <c r="G339" s="289"/>
      <c r="H339" s="290" t="s">
        <v>15</v>
      </c>
      <c r="I339" s="290"/>
      <c r="J339" s="290"/>
      <c r="K339" s="31"/>
      <c r="L339" s="31"/>
    </row>
    <row r="340" spans="2:13" x14ac:dyDescent="0.35">
      <c r="C340" s="12" t="s">
        <v>7</v>
      </c>
      <c r="D340" s="12" t="s">
        <v>16</v>
      </c>
      <c r="E340" s="99" t="s">
        <v>8</v>
      </c>
      <c r="F340" s="7" t="s">
        <v>10</v>
      </c>
      <c r="G340" s="7" t="s">
        <v>9</v>
      </c>
      <c r="H340" s="8" t="s">
        <v>10</v>
      </c>
      <c r="I340" s="8" t="s">
        <v>9</v>
      </c>
      <c r="J340" s="8" t="s">
        <v>20</v>
      </c>
      <c r="K340" s="31"/>
      <c r="L340" s="1" t="s">
        <v>32</v>
      </c>
    </row>
    <row r="341" spans="2:13" x14ac:dyDescent="0.35">
      <c r="C341" s="94" t="s">
        <v>191</v>
      </c>
      <c r="D341" s="105" t="s">
        <v>138</v>
      </c>
      <c r="E341" s="96">
        <v>2014</v>
      </c>
      <c r="F341" s="105">
        <v>125</v>
      </c>
      <c r="G341" s="106"/>
      <c r="H341" s="107">
        <f>F341*PRODUCT(D23:H23)</f>
        <v>132.9299638141257</v>
      </c>
      <c r="I341" s="94"/>
      <c r="J341" s="94"/>
      <c r="K341" s="31"/>
      <c r="L341" s="31" t="s">
        <v>192</v>
      </c>
    </row>
    <row r="342" spans="2:13" x14ac:dyDescent="0.35">
      <c r="C342" s="31"/>
      <c r="D342" s="39"/>
      <c r="E342" s="33"/>
      <c r="F342" s="39"/>
      <c r="G342" s="40"/>
      <c r="H342" s="41"/>
      <c r="I342" s="31"/>
      <c r="J342" s="31"/>
      <c r="K342" s="31"/>
      <c r="L342" s="31"/>
    </row>
    <row r="343" spans="2:13" x14ac:dyDescent="0.35">
      <c r="C343" s="31"/>
      <c r="D343" s="39"/>
      <c r="E343" s="33"/>
      <c r="F343" s="39"/>
      <c r="G343" s="40"/>
      <c r="H343" s="41"/>
      <c r="I343" s="31"/>
      <c r="J343" s="31"/>
      <c r="K343" s="31"/>
      <c r="L343" s="31"/>
    </row>
    <row r="344" spans="2:13" x14ac:dyDescent="0.35">
      <c r="C344" s="287" t="s">
        <v>193</v>
      </c>
      <c r="D344" s="288"/>
      <c r="E344" s="288"/>
      <c r="F344" s="289" t="s">
        <v>6</v>
      </c>
      <c r="G344" s="289"/>
      <c r="H344" s="290" t="s">
        <v>15</v>
      </c>
      <c r="I344" s="290"/>
      <c r="J344" s="290"/>
      <c r="K344" s="31"/>
      <c r="L344" s="31"/>
    </row>
    <row r="345" spans="2:13" x14ac:dyDescent="0.35">
      <c r="C345" s="12" t="s">
        <v>7</v>
      </c>
      <c r="D345" s="12" t="s">
        <v>16</v>
      </c>
      <c r="E345" s="99" t="s">
        <v>8</v>
      </c>
      <c r="F345" s="7" t="s">
        <v>10</v>
      </c>
      <c r="G345" s="7" t="s">
        <v>9</v>
      </c>
      <c r="H345" s="8" t="s">
        <v>10</v>
      </c>
      <c r="I345" s="8" t="s">
        <v>9</v>
      </c>
      <c r="J345" s="8" t="s">
        <v>20</v>
      </c>
      <c r="K345" s="31"/>
      <c r="L345" s="1" t="s">
        <v>32</v>
      </c>
    </row>
    <row r="346" spans="2:13" x14ac:dyDescent="0.35">
      <c r="C346" s="94" t="s">
        <v>191</v>
      </c>
      <c r="D346" s="105" t="s">
        <v>138</v>
      </c>
      <c r="E346" s="96">
        <v>2014</v>
      </c>
      <c r="F346" s="105">
        <v>75</v>
      </c>
      <c r="G346" s="106"/>
      <c r="H346" s="107">
        <f>F346*PRODUCT(D23:H23)</f>
        <v>79.757978288475414</v>
      </c>
      <c r="I346" s="94"/>
      <c r="J346" s="94"/>
      <c r="K346" s="31"/>
      <c r="L346" s="31" t="s">
        <v>192</v>
      </c>
    </row>
    <row r="347" spans="2:13" x14ac:dyDescent="0.35">
      <c r="C347" s="31"/>
      <c r="D347" s="39"/>
      <c r="E347" s="33"/>
      <c r="F347" s="39"/>
      <c r="G347" s="40"/>
      <c r="H347" s="41"/>
      <c r="I347" s="31"/>
      <c r="J347" s="31"/>
      <c r="K347" s="31"/>
      <c r="L347" s="31"/>
    </row>
    <row r="348" spans="2:13" x14ac:dyDescent="0.35">
      <c r="C348" s="31"/>
      <c r="D348" s="39"/>
      <c r="E348" s="33"/>
      <c r="F348" s="39"/>
      <c r="G348" s="40"/>
      <c r="H348" s="41"/>
      <c r="I348" s="31"/>
      <c r="J348" s="31"/>
      <c r="K348" s="31"/>
      <c r="L348" s="31"/>
    </row>
    <row r="349" spans="2:13" x14ac:dyDescent="0.35">
      <c r="C349" s="287" t="s">
        <v>200</v>
      </c>
      <c r="D349" s="288"/>
      <c r="E349" s="288"/>
      <c r="F349" s="289" t="s">
        <v>6</v>
      </c>
      <c r="G349" s="289"/>
      <c r="H349" s="290" t="s">
        <v>15</v>
      </c>
      <c r="I349" s="290"/>
      <c r="J349" s="290"/>
      <c r="K349" s="31"/>
      <c r="L349" s="31"/>
    </row>
    <row r="350" spans="2:13" x14ac:dyDescent="0.35">
      <c r="C350" s="12" t="s">
        <v>7</v>
      </c>
      <c r="D350" s="12" t="s">
        <v>16</v>
      </c>
      <c r="E350" s="99" t="s">
        <v>8</v>
      </c>
      <c r="F350" s="7" t="s">
        <v>10</v>
      </c>
      <c r="G350" s="7" t="s">
        <v>9</v>
      </c>
      <c r="H350" s="8" t="s">
        <v>10</v>
      </c>
      <c r="I350" s="8" t="s">
        <v>9</v>
      </c>
      <c r="J350" s="8" t="s">
        <v>20</v>
      </c>
      <c r="K350" s="46"/>
      <c r="L350" s="1" t="s">
        <v>32</v>
      </c>
    </row>
    <row r="351" spans="2:13" x14ac:dyDescent="0.35">
      <c r="C351" s="94" t="s">
        <v>194</v>
      </c>
      <c r="D351" s="105" t="s">
        <v>101</v>
      </c>
      <c r="E351" s="105">
        <v>2014</v>
      </c>
      <c r="F351" s="105">
        <v>25</v>
      </c>
      <c r="G351" s="106"/>
      <c r="H351" s="108">
        <f>F351*PRODUCT(D23:H23)</f>
        <v>26.585992762825139</v>
      </c>
      <c r="I351" s="94"/>
      <c r="J351" s="105"/>
      <c r="K351" s="46"/>
      <c r="L351" s="31" t="s">
        <v>195</v>
      </c>
    </row>
    <row r="354" spans="3:12" x14ac:dyDescent="0.35">
      <c r="C354" s="287" t="s">
        <v>199</v>
      </c>
      <c r="D354" s="288"/>
      <c r="E354" s="288"/>
      <c r="F354" s="289" t="s">
        <v>6</v>
      </c>
      <c r="G354" s="289"/>
      <c r="H354" s="290" t="s">
        <v>15</v>
      </c>
      <c r="I354" s="290"/>
      <c r="J354" s="290"/>
      <c r="K354" s="31"/>
      <c r="L354" s="31"/>
    </row>
    <row r="355" spans="3:12" x14ac:dyDescent="0.35">
      <c r="C355" s="12" t="s">
        <v>7</v>
      </c>
      <c r="D355" s="12" t="s">
        <v>16</v>
      </c>
      <c r="E355" s="99" t="s">
        <v>8</v>
      </c>
      <c r="F355" s="7" t="s">
        <v>10</v>
      </c>
      <c r="G355" s="7" t="s">
        <v>9</v>
      </c>
      <c r="H355" s="8" t="s">
        <v>10</v>
      </c>
      <c r="I355" s="8" t="s">
        <v>9</v>
      </c>
      <c r="J355" s="8" t="s">
        <v>20</v>
      </c>
      <c r="K355" s="46"/>
      <c r="L355" s="1" t="s">
        <v>32</v>
      </c>
    </row>
    <row r="356" spans="3:12" x14ac:dyDescent="0.35">
      <c r="C356" s="94" t="s">
        <v>194</v>
      </c>
      <c r="D356" s="105" t="s">
        <v>138</v>
      </c>
      <c r="E356" s="105">
        <v>2014</v>
      </c>
      <c r="F356" s="94">
        <v>50</v>
      </c>
      <c r="G356" s="94"/>
      <c r="H356" s="94">
        <f>F356*PRODUCT(D23:H23)</f>
        <v>53.171985525650278</v>
      </c>
      <c r="I356" s="94"/>
      <c r="J356" s="94"/>
      <c r="L356" t="s">
        <v>196</v>
      </c>
    </row>
    <row r="359" spans="3:12" x14ac:dyDescent="0.35">
      <c r="C359" s="287" t="s">
        <v>197</v>
      </c>
      <c r="D359" s="288"/>
      <c r="E359" s="288"/>
      <c r="F359" s="289" t="s">
        <v>6</v>
      </c>
      <c r="G359" s="289"/>
      <c r="H359" s="290" t="s">
        <v>15</v>
      </c>
      <c r="I359" s="290"/>
      <c r="J359" s="290"/>
    </row>
    <row r="360" spans="3:12" x14ac:dyDescent="0.35">
      <c r="C360" s="12" t="s">
        <v>7</v>
      </c>
      <c r="D360" s="12" t="s">
        <v>16</v>
      </c>
      <c r="E360" s="99" t="s">
        <v>8</v>
      </c>
      <c r="F360" s="7" t="s">
        <v>10</v>
      </c>
      <c r="G360" s="7" t="s">
        <v>9</v>
      </c>
      <c r="H360" s="8" t="s">
        <v>10</v>
      </c>
      <c r="I360" s="8" t="s">
        <v>9</v>
      </c>
      <c r="J360" s="8" t="s">
        <v>20</v>
      </c>
      <c r="L360" s="1" t="s">
        <v>32</v>
      </c>
    </row>
    <row r="361" spans="3:12" x14ac:dyDescent="0.35">
      <c r="C361" s="94" t="s">
        <v>194</v>
      </c>
      <c r="D361" s="105" t="s">
        <v>138</v>
      </c>
      <c r="E361" s="105">
        <v>2014</v>
      </c>
      <c r="F361" s="94">
        <v>200</v>
      </c>
      <c r="G361" s="94"/>
      <c r="H361" s="94">
        <f>F361*PRODUCT(D23:H23)</f>
        <v>212.68794210260111</v>
      </c>
      <c r="I361" s="94"/>
      <c r="J361" s="94"/>
      <c r="L361" t="s">
        <v>198</v>
      </c>
    </row>
    <row r="364" spans="3:12" x14ac:dyDescent="0.35">
      <c r="C364" s="287" t="s">
        <v>201</v>
      </c>
      <c r="D364" s="288"/>
      <c r="E364" s="288"/>
      <c r="F364" s="289" t="s">
        <v>6</v>
      </c>
      <c r="G364" s="289"/>
      <c r="H364" s="290" t="s">
        <v>15</v>
      </c>
      <c r="I364" s="290"/>
      <c r="J364" s="290"/>
    </row>
    <row r="365" spans="3:12" x14ac:dyDescent="0.35">
      <c r="C365" s="12" t="s">
        <v>7</v>
      </c>
      <c r="D365" s="12" t="s">
        <v>16</v>
      </c>
      <c r="E365" s="99" t="s">
        <v>8</v>
      </c>
      <c r="F365" s="7" t="s">
        <v>10</v>
      </c>
      <c r="G365" s="7" t="s">
        <v>9</v>
      </c>
      <c r="H365" s="8" t="s">
        <v>10</v>
      </c>
      <c r="I365" s="8" t="s">
        <v>9</v>
      </c>
      <c r="J365" s="8" t="s">
        <v>20</v>
      </c>
      <c r="L365" s="1" t="s">
        <v>32</v>
      </c>
    </row>
    <row r="366" spans="3:12" x14ac:dyDescent="0.35">
      <c r="C366" s="94" t="s">
        <v>194</v>
      </c>
      <c r="D366" s="105" t="s">
        <v>138</v>
      </c>
      <c r="E366" s="105">
        <v>2014</v>
      </c>
      <c r="F366" s="94">
        <v>250</v>
      </c>
      <c r="G366" s="94"/>
      <c r="H366" s="94">
        <f>F366*PRODUCT(D23:H23)</f>
        <v>265.8599276282514</v>
      </c>
      <c r="I366" s="94"/>
      <c r="J366" s="94"/>
    </row>
    <row r="374" spans="3:12" x14ac:dyDescent="0.35">
      <c r="C374" s="286" t="s">
        <v>202</v>
      </c>
      <c r="D374" s="286"/>
      <c r="E374" s="286"/>
      <c r="F374" s="286"/>
      <c r="G374" s="286"/>
      <c r="H374" s="286"/>
      <c r="I374" s="286"/>
      <c r="J374" s="286"/>
    </row>
    <row r="376" spans="3:12" x14ac:dyDescent="0.35">
      <c r="C376" s="287" t="s">
        <v>204</v>
      </c>
      <c r="D376" s="288"/>
      <c r="E376" s="288"/>
      <c r="F376" s="289" t="s">
        <v>6</v>
      </c>
      <c r="G376" s="289"/>
      <c r="H376" s="290" t="s">
        <v>15</v>
      </c>
      <c r="I376" s="290"/>
      <c r="J376" s="290"/>
    </row>
    <row r="377" spans="3:12" x14ac:dyDescent="0.35">
      <c r="C377" s="12" t="s">
        <v>7</v>
      </c>
      <c r="D377" s="12" t="s">
        <v>16</v>
      </c>
      <c r="E377" s="99" t="s">
        <v>8</v>
      </c>
      <c r="F377" s="7" t="s">
        <v>10</v>
      </c>
      <c r="G377" s="7" t="s">
        <v>9</v>
      </c>
      <c r="H377" s="8" t="s">
        <v>10</v>
      </c>
      <c r="I377" s="8" t="s">
        <v>9</v>
      </c>
      <c r="J377" s="8" t="s">
        <v>20</v>
      </c>
      <c r="L377" s="1" t="s">
        <v>32</v>
      </c>
    </row>
    <row r="378" spans="3:12" x14ac:dyDescent="0.35">
      <c r="C378" s="94" t="s">
        <v>207</v>
      </c>
      <c r="D378" s="94" t="s">
        <v>138</v>
      </c>
      <c r="E378" s="96">
        <v>2014</v>
      </c>
      <c r="F378" s="94">
        <v>120</v>
      </c>
      <c r="G378" s="94"/>
      <c r="H378" s="94"/>
      <c r="I378" s="94"/>
      <c r="J378" s="94"/>
      <c r="L378" t="s">
        <v>245</v>
      </c>
    </row>
    <row r="379" spans="3:12" x14ac:dyDescent="0.35">
      <c r="C379" s="26" t="s">
        <v>243</v>
      </c>
      <c r="D379" s="26" t="s">
        <v>138</v>
      </c>
      <c r="E379" s="18">
        <v>2012</v>
      </c>
      <c r="F379" s="26">
        <v>50</v>
      </c>
      <c r="G379" s="26"/>
      <c r="H379" s="26"/>
      <c r="I379" s="26"/>
      <c r="J379" s="26"/>
    </row>
    <row r="381" spans="3:12" x14ac:dyDescent="0.35">
      <c r="C381" s="287" t="s">
        <v>203</v>
      </c>
      <c r="D381" s="288"/>
      <c r="E381" s="288"/>
      <c r="F381" s="289" t="s">
        <v>6</v>
      </c>
      <c r="G381" s="289"/>
      <c r="H381" s="290" t="s">
        <v>15</v>
      </c>
      <c r="I381" s="290"/>
      <c r="J381" s="290"/>
    </row>
    <row r="382" spans="3:12" x14ac:dyDescent="0.35">
      <c r="C382" s="12" t="s">
        <v>7</v>
      </c>
      <c r="D382" s="12" t="s">
        <v>16</v>
      </c>
      <c r="E382" s="99" t="s">
        <v>8</v>
      </c>
      <c r="F382" s="7" t="s">
        <v>10</v>
      </c>
      <c r="G382" s="7" t="s">
        <v>9</v>
      </c>
      <c r="H382" s="8" t="s">
        <v>10</v>
      </c>
      <c r="I382" s="8" t="s">
        <v>9</v>
      </c>
      <c r="J382" s="8" t="s">
        <v>20</v>
      </c>
    </row>
    <row r="383" spans="3:12" x14ac:dyDescent="0.35">
      <c r="C383" s="94" t="s">
        <v>207</v>
      </c>
      <c r="D383" s="94" t="s">
        <v>138</v>
      </c>
      <c r="E383" s="96">
        <v>2014</v>
      </c>
      <c r="F383" s="94">
        <v>170</v>
      </c>
      <c r="G383" s="94"/>
      <c r="H383" s="94"/>
      <c r="I383" s="94"/>
      <c r="J383" s="94"/>
    </row>
    <row r="386" spans="3:12" x14ac:dyDescent="0.35">
      <c r="C386" s="287" t="s">
        <v>205</v>
      </c>
      <c r="D386" s="288"/>
      <c r="E386" s="288"/>
      <c r="F386" s="289" t="s">
        <v>6</v>
      </c>
      <c r="G386" s="289"/>
      <c r="H386" s="290" t="s">
        <v>15</v>
      </c>
      <c r="I386" s="290"/>
      <c r="J386" s="290"/>
    </row>
    <row r="387" spans="3:12" x14ac:dyDescent="0.35">
      <c r="C387" s="12" t="s">
        <v>7</v>
      </c>
      <c r="D387" s="12" t="s">
        <v>16</v>
      </c>
      <c r="E387" s="99" t="s">
        <v>8</v>
      </c>
      <c r="F387" s="7" t="s">
        <v>10</v>
      </c>
      <c r="G387" s="7" t="s">
        <v>9</v>
      </c>
      <c r="H387" s="8" t="s">
        <v>10</v>
      </c>
      <c r="I387" s="8" t="s">
        <v>9</v>
      </c>
      <c r="J387" s="8" t="s">
        <v>20</v>
      </c>
    </row>
    <row r="388" spans="3:12" x14ac:dyDescent="0.35">
      <c r="C388" s="94" t="s">
        <v>207</v>
      </c>
      <c r="D388" s="94" t="s">
        <v>138</v>
      </c>
      <c r="E388" s="96">
        <v>2014</v>
      </c>
      <c r="F388" s="94">
        <v>90</v>
      </c>
      <c r="G388" s="94"/>
      <c r="H388" s="94">
        <f>F388*PRODUCT(D23:H23)</f>
        <v>95.709573946170508</v>
      </c>
      <c r="I388" s="94"/>
      <c r="J388" s="94"/>
    </row>
    <row r="391" spans="3:12" x14ac:dyDescent="0.35">
      <c r="C391" s="287" t="s">
        <v>206</v>
      </c>
      <c r="D391" s="288"/>
      <c r="E391" s="288"/>
      <c r="F391" s="289" t="s">
        <v>6</v>
      </c>
      <c r="G391" s="289"/>
      <c r="H391" s="290" t="s">
        <v>15</v>
      </c>
      <c r="I391" s="290"/>
      <c r="J391" s="290"/>
    </row>
    <row r="392" spans="3:12" x14ac:dyDescent="0.35">
      <c r="C392" s="12" t="s">
        <v>7</v>
      </c>
      <c r="D392" s="12" t="s">
        <v>16</v>
      </c>
      <c r="E392" s="99" t="s">
        <v>8</v>
      </c>
      <c r="F392" s="7" t="s">
        <v>10</v>
      </c>
      <c r="G392" s="7" t="s">
        <v>9</v>
      </c>
      <c r="H392" s="8" t="s">
        <v>10</v>
      </c>
      <c r="I392" s="8" t="s">
        <v>9</v>
      </c>
      <c r="J392" s="8" t="s">
        <v>20</v>
      </c>
    </row>
    <row r="393" spans="3:12" x14ac:dyDescent="0.35">
      <c r="C393" s="94" t="s">
        <v>207</v>
      </c>
      <c r="D393" s="94" t="s">
        <v>138</v>
      </c>
      <c r="E393" s="96">
        <v>2014</v>
      </c>
      <c r="F393" s="94">
        <v>9</v>
      </c>
      <c r="G393" s="94"/>
      <c r="H393" s="94">
        <f>F393*PRODUCT(D23:H23)</f>
        <v>9.5709573946170501</v>
      </c>
      <c r="I393" s="94"/>
      <c r="J393" s="94"/>
    </row>
    <row r="394" spans="3:12" x14ac:dyDescent="0.35">
      <c r="C394" s="31"/>
      <c r="D394" s="39"/>
      <c r="E394" s="33"/>
      <c r="F394" s="39"/>
      <c r="G394" s="40"/>
      <c r="H394" s="45"/>
      <c r="I394" s="31"/>
      <c r="J394" s="31"/>
      <c r="K394" s="46"/>
      <c r="L394" s="31"/>
    </row>
    <row r="396" spans="3:12" x14ac:dyDescent="0.35">
      <c r="C396" s="287" t="s">
        <v>209</v>
      </c>
      <c r="D396" s="288"/>
      <c r="E396" s="288"/>
      <c r="F396" s="289" t="s">
        <v>6</v>
      </c>
      <c r="G396" s="289"/>
      <c r="H396" s="290" t="s">
        <v>15</v>
      </c>
      <c r="I396" s="290"/>
      <c r="J396" s="290"/>
    </row>
    <row r="397" spans="3:12" x14ac:dyDescent="0.35">
      <c r="C397" s="12" t="s">
        <v>7</v>
      </c>
      <c r="D397" s="12" t="s">
        <v>16</v>
      </c>
      <c r="E397" s="99" t="s">
        <v>8</v>
      </c>
      <c r="F397" s="7" t="s">
        <v>10</v>
      </c>
      <c r="G397" s="7" t="s">
        <v>9</v>
      </c>
      <c r="H397" s="8" t="s">
        <v>10</v>
      </c>
      <c r="I397" s="8" t="s">
        <v>9</v>
      </c>
      <c r="J397" s="8" t="s">
        <v>20</v>
      </c>
      <c r="L397" s="1" t="s">
        <v>32</v>
      </c>
    </row>
    <row r="398" spans="3:12" x14ac:dyDescent="0.35">
      <c r="C398" s="94" t="s">
        <v>207</v>
      </c>
      <c r="D398" s="94" t="s">
        <v>138</v>
      </c>
      <c r="E398" s="96">
        <v>2014</v>
      </c>
      <c r="F398" s="94">
        <v>93</v>
      </c>
      <c r="G398" s="94"/>
      <c r="H398" s="94">
        <f>F398*PRODUCT(D23:H23)</f>
        <v>98.899893077709521</v>
      </c>
      <c r="I398" s="94"/>
      <c r="J398" s="94"/>
      <c r="L398" t="s">
        <v>210</v>
      </c>
    </row>
    <row r="399" spans="3:12" x14ac:dyDescent="0.35">
      <c r="C399" s="26" t="s">
        <v>243</v>
      </c>
      <c r="D399" s="26" t="s">
        <v>138</v>
      </c>
      <c r="E399" s="18">
        <v>2012</v>
      </c>
      <c r="F399" s="26">
        <v>100</v>
      </c>
      <c r="G399" s="26"/>
      <c r="H399" s="26"/>
      <c r="I399" s="26"/>
      <c r="J399" s="26"/>
      <c r="L399" t="s">
        <v>244</v>
      </c>
    </row>
    <row r="402" spans="3:12" x14ac:dyDescent="0.35">
      <c r="C402" s="287" t="s">
        <v>208</v>
      </c>
      <c r="D402" s="288"/>
      <c r="E402" s="288"/>
      <c r="F402" s="289" t="s">
        <v>6</v>
      </c>
      <c r="G402" s="289"/>
      <c r="H402" s="290" t="s">
        <v>15</v>
      </c>
      <c r="I402" s="290"/>
      <c r="J402" s="290"/>
    </row>
    <row r="403" spans="3:12" x14ac:dyDescent="0.35">
      <c r="C403" s="12" t="s">
        <v>7</v>
      </c>
      <c r="D403" s="12" t="s">
        <v>16</v>
      </c>
      <c r="E403" s="99" t="s">
        <v>8</v>
      </c>
      <c r="F403" s="7" t="s">
        <v>10</v>
      </c>
      <c r="G403" s="7" t="s">
        <v>9</v>
      </c>
      <c r="H403" s="8" t="s">
        <v>10</v>
      </c>
      <c r="I403" s="8" t="s">
        <v>9</v>
      </c>
      <c r="J403" s="8" t="s">
        <v>20</v>
      </c>
      <c r="L403" s="1" t="s">
        <v>32</v>
      </c>
    </row>
    <row r="404" spans="3:12" x14ac:dyDescent="0.35">
      <c r="C404" s="94" t="s">
        <v>207</v>
      </c>
      <c r="D404" s="94" t="s">
        <v>138</v>
      </c>
      <c r="E404" s="96">
        <v>2014</v>
      </c>
      <c r="F404" s="94">
        <v>45</v>
      </c>
      <c r="G404" s="94"/>
      <c r="H404" s="94">
        <f>F404*PRODUCT(D23:H23)</f>
        <v>47.854786973085254</v>
      </c>
      <c r="I404" s="94"/>
      <c r="J404" s="94"/>
      <c r="L404" t="s">
        <v>211</v>
      </c>
    </row>
    <row r="407" spans="3:12" x14ac:dyDescent="0.35">
      <c r="C407" s="287" t="s">
        <v>212</v>
      </c>
      <c r="D407" s="288"/>
      <c r="E407" s="288"/>
      <c r="F407" s="289" t="s">
        <v>6</v>
      </c>
      <c r="G407" s="289"/>
      <c r="H407" s="290" t="s">
        <v>15</v>
      </c>
      <c r="I407" s="290"/>
      <c r="J407" s="290"/>
    </row>
    <row r="408" spans="3:12" x14ac:dyDescent="0.35">
      <c r="C408" s="12" t="s">
        <v>7</v>
      </c>
      <c r="D408" s="12" t="s">
        <v>16</v>
      </c>
      <c r="E408" s="99" t="s">
        <v>8</v>
      </c>
      <c r="F408" s="7" t="s">
        <v>10</v>
      </c>
      <c r="G408" s="7" t="s">
        <v>9</v>
      </c>
      <c r="H408" s="8" t="s">
        <v>10</v>
      </c>
      <c r="I408" s="8" t="s">
        <v>9</v>
      </c>
      <c r="J408" s="8" t="s">
        <v>20</v>
      </c>
      <c r="L408" s="1" t="s">
        <v>32</v>
      </c>
    </row>
    <row r="409" spans="3:12" x14ac:dyDescent="0.35">
      <c r="C409" s="94" t="s">
        <v>207</v>
      </c>
      <c r="D409" s="94" t="s">
        <v>138</v>
      </c>
      <c r="E409" s="96">
        <v>2014</v>
      </c>
      <c r="F409" s="94">
        <v>25</v>
      </c>
      <c r="G409" s="94"/>
      <c r="H409" s="94">
        <f>F409*PRODUCT(D23:H23)</f>
        <v>26.585992762825139</v>
      </c>
      <c r="I409" s="94"/>
      <c r="J409" s="94"/>
    </row>
    <row r="412" spans="3:12" x14ac:dyDescent="0.35">
      <c r="C412" s="287" t="s">
        <v>213</v>
      </c>
      <c r="D412" s="288"/>
      <c r="E412" s="288"/>
      <c r="F412" s="289" t="s">
        <v>6</v>
      </c>
      <c r="G412" s="289"/>
      <c r="H412" s="290" t="s">
        <v>15</v>
      </c>
      <c r="I412" s="290"/>
      <c r="J412" s="290"/>
    </row>
    <row r="413" spans="3:12" x14ac:dyDescent="0.35">
      <c r="C413" s="12" t="s">
        <v>7</v>
      </c>
      <c r="D413" s="12" t="s">
        <v>16</v>
      </c>
      <c r="E413" s="99" t="s">
        <v>8</v>
      </c>
      <c r="F413" s="7" t="s">
        <v>10</v>
      </c>
      <c r="G413" s="7" t="s">
        <v>9</v>
      </c>
      <c r="H413" s="8" t="s">
        <v>10</v>
      </c>
      <c r="I413" s="8" t="s">
        <v>9</v>
      </c>
      <c r="J413" s="8" t="s">
        <v>20</v>
      </c>
      <c r="L413" s="1" t="s">
        <v>32</v>
      </c>
    </row>
    <row r="414" spans="3:12" x14ac:dyDescent="0.35">
      <c r="C414" s="94" t="s">
        <v>207</v>
      </c>
      <c r="D414" s="94" t="s">
        <v>138</v>
      </c>
      <c r="E414" s="96">
        <v>2014</v>
      </c>
      <c r="F414" s="94">
        <v>18</v>
      </c>
      <c r="G414" s="94"/>
      <c r="H414" s="94">
        <f>F414*PRODUCT(D23:H23)</f>
        <v>19.1419147892341</v>
      </c>
      <c r="I414" s="94"/>
      <c r="J414" s="94"/>
    </row>
    <row r="418" spans="3:12" x14ac:dyDescent="0.35">
      <c r="C418" s="287" t="s">
        <v>73</v>
      </c>
      <c r="D418" s="288"/>
      <c r="E418" s="288"/>
      <c r="F418" s="289" t="s">
        <v>6</v>
      </c>
      <c r="G418" s="289"/>
      <c r="H418" s="290" t="s">
        <v>15</v>
      </c>
      <c r="I418" s="290"/>
      <c r="J418" s="290"/>
    </row>
    <row r="419" spans="3:12" x14ac:dyDescent="0.35">
      <c r="C419" s="12" t="s">
        <v>7</v>
      </c>
      <c r="D419" s="12" t="s">
        <v>16</v>
      </c>
      <c r="E419" s="27" t="s">
        <v>8</v>
      </c>
      <c r="F419" s="7" t="s">
        <v>10</v>
      </c>
      <c r="G419" s="7" t="s">
        <v>9</v>
      </c>
      <c r="H419" s="8" t="s">
        <v>10</v>
      </c>
      <c r="I419" s="8" t="s">
        <v>9</v>
      </c>
      <c r="J419" s="8" t="s">
        <v>20</v>
      </c>
      <c r="L419" s="1" t="s">
        <v>32</v>
      </c>
    </row>
    <row r="420" spans="3:12" x14ac:dyDescent="0.35">
      <c r="C420" s="26" t="s">
        <v>77</v>
      </c>
      <c r="D420" s="26" t="s">
        <v>78</v>
      </c>
      <c r="E420" s="18">
        <v>2020</v>
      </c>
      <c r="F420" s="26">
        <v>171.47</v>
      </c>
      <c r="G420" s="26"/>
      <c r="H420" s="52">
        <f>I22*F420</f>
        <v>190.33170000000001</v>
      </c>
      <c r="I420" s="26"/>
      <c r="J420" s="26"/>
      <c r="L420" t="s">
        <v>79</v>
      </c>
    </row>
    <row r="421" spans="3:12" x14ac:dyDescent="0.35">
      <c r="C421" s="94" t="s">
        <v>207</v>
      </c>
      <c r="D421" s="94" t="s">
        <v>138</v>
      </c>
      <c r="E421" s="96">
        <v>2014</v>
      </c>
      <c r="F421" s="94">
        <v>150</v>
      </c>
      <c r="G421" s="94"/>
      <c r="H421" s="94">
        <f>F421*PRODUCT(D23:H23)</f>
        <v>159.51595657695083</v>
      </c>
      <c r="I421" s="94"/>
      <c r="J421" s="94"/>
      <c r="L421" t="s">
        <v>195</v>
      </c>
    </row>
    <row r="425" spans="3:12" x14ac:dyDescent="0.35">
      <c r="C425" s="287" t="s">
        <v>215</v>
      </c>
      <c r="D425" s="288"/>
      <c r="E425" s="288"/>
      <c r="F425" s="289" t="s">
        <v>6</v>
      </c>
      <c r="G425" s="289"/>
      <c r="H425" s="290" t="s">
        <v>15</v>
      </c>
      <c r="I425" s="290"/>
      <c r="J425" s="290"/>
    </row>
    <row r="426" spans="3:12" x14ac:dyDescent="0.35">
      <c r="C426" s="12" t="s">
        <v>7</v>
      </c>
      <c r="D426" s="12" t="s">
        <v>16</v>
      </c>
      <c r="E426" s="99" t="s">
        <v>8</v>
      </c>
      <c r="F426" s="7" t="s">
        <v>10</v>
      </c>
      <c r="G426" s="7" t="s">
        <v>9</v>
      </c>
      <c r="H426" s="8" t="s">
        <v>10</v>
      </c>
      <c r="I426" s="8" t="s">
        <v>9</v>
      </c>
      <c r="J426" s="8" t="s">
        <v>20</v>
      </c>
      <c r="L426" s="1" t="s">
        <v>32</v>
      </c>
    </row>
    <row r="427" spans="3:12" x14ac:dyDescent="0.35">
      <c r="C427" s="94" t="s">
        <v>207</v>
      </c>
      <c r="D427" s="94" t="s">
        <v>138</v>
      </c>
      <c r="E427" s="96">
        <v>2014</v>
      </c>
      <c r="F427" s="94">
        <v>50</v>
      </c>
      <c r="G427" s="94"/>
      <c r="H427" s="94">
        <f>F427*PRODUCT(D23:H23)</f>
        <v>53.171985525650278</v>
      </c>
      <c r="I427" s="94"/>
      <c r="J427" s="94"/>
    </row>
    <row r="428" spans="3:12" x14ac:dyDescent="0.35">
      <c r="C428" s="26" t="s">
        <v>243</v>
      </c>
      <c r="D428" s="26" t="s">
        <v>138</v>
      </c>
      <c r="E428" s="18">
        <v>2012</v>
      </c>
      <c r="F428" s="26">
        <v>50</v>
      </c>
      <c r="G428" s="26"/>
      <c r="H428" s="26"/>
      <c r="I428" s="26"/>
      <c r="J428" s="26"/>
      <c r="L428" t="s">
        <v>247</v>
      </c>
    </row>
    <row r="432" spans="3:12" x14ac:dyDescent="0.35">
      <c r="C432" s="286" t="s">
        <v>214</v>
      </c>
      <c r="D432" s="286"/>
      <c r="E432" s="286"/>
      <c r="F432" s="286"/>
      <c r="G432" s="286"/>
      <c r="H432" s="286"/>
      <c r="I432" s="286"/>
      <c r="J432" s="286"/>
    </row>
    <row r="434" spans="1:12" x14ac:dyDescent="0.35">
      <c r="C434" s="287" t="s">
        <v>74</v>
      </c>
      <c r="D434" s="288"/>
      <c r="E434" s="288"/>
      <c r="F434" s="289" t="s">
        <v>6</v>
      </c>
      <c r="G434" s="289"/>
      <c r="H434" s="290" t="s">
        <v>15</v>
      </c>
      <c r="I434" s="290"/>
      <c r="J434" s="290"/>
    </row>
    <row r="435" spans="1:12" x14ac:dyDescent="0.35">
      <c r="C435" s="12" t="s">
        <v>7</v>
      </c>
      <c r="D435" s="12" t="s">
        <v>16</v>
      </c>
      <c r="E435" s="27" t="s">
        <v>8</v>
      </c>
      <c r="F435" s="7" t="s">
        <v>10</v>
      </c>
      <c r="G435" s="7" t="s">
        <v>9</v>
      </c>
      <c r="H435" s="8" t="s">
        <v>10</v>
      </c>
      <c r="I435" s="8" t="s">
        <v>9</v>
      </c>
      <c r="J435" s="8" t="s">
        <v>20</v>
      </c>
      <c r="L435" s="1" t="s">
        <v>32</v>
      </c>
    </row>
    <row r="436" spans="1:12" x14ac:dyDescent="0.35">
      <c r="C436" s="26" t="s">
        <v>77</v>
      </c>
      <c r="D436" s="53" t="s">
        <v>75</v>
      </c>
      <c r="E436" s="18">
        <v>2020</v>
      </c>
      <c r="F436" s="54">
        <v>980.56</v>
      </c>
      <c r="G436" s="26"/>
      <c r="H436" s="54">
        <v>980.56</v>
      </c>
      <c r="I436" s="26"/>
      <c r="J436" s="26"/>
      <c r="L436" t="s">
        <v>76</v>
      </c>
    </row>
    <row r="439" spans="1:12" x14ac:dyDescent="0.35">
      <c r="B439" s="31"/>
      <c r="C439" s="287" t="s">
        <v>246</v>
      </c>
      <c r="D439" s="288"/>
      <c r="E439" s="288"/>
      <c r="F439" s="289" t="s">
        <v>6</v>
      </c>
      <c r="G439" s="289"/>
      <c r="H439" s="290" t="s">
        <v>15</v>
      </c>
      <c r="I439" s="290"/>
      <c r="J439" s="290"/>
    </row>
    <row r="440" spans="1:12" x14ac:dyDescent="0.35">
      <c r="B440" s="31"/>
      <c r="C440" s="12" t="s">
        <v>7</v>
      </c>
      <c r="D440" s="12" t="s">
        <v>16</v>
      </c>
      <c r="E440" s="111" t="s">
        <v>8</v>
      </c>
      <c r="F440" s="7" t="s">
        <v>10</v>
      </c>
      <c r="G440" s="7" t="s">
        <v>9</v>
      </c>
      <c r="H440" s="8" t="s">
        <v>10</v>
      </c>
      <c r="I440" s="8" t="s">
        <v>9</v>
      </c>
      <c r="J440" s="8" t="s">
        <v>20</v>
      </c>
      <c r="L440" s="1" t="s">
        <v>32</v>
      </c>
    </row>
    <row r="441" spans="1:12" x14ac:dyDescent="0.35">
      <c r="A441" s="31"/>
      <c r="B441" s="31"/>
      <c r="C441" s="25" t="s">
        <v>243</v>
      </c>
      <c r="D441" s="25" t="s">
        <v>138</v>
      </c>
      <c r="E441" s="21">
        <v>2012</v>
      </c>
      <c r="F441" s="25">
        <v>2</v>
      </c>
      <c r="G441" s="25"/>
      <c r="H441" s="25"/>
      <c r="I441" s="25"/>
      <c r="J441" s="25"/>
      <c r="L441" t="s">
        <v>247</v>
      </c>
    </row>
    <row r="442" spans="1:12" x14ac:dyDescent="0.35">
      <c r="A442" s="31"/>
      <c r="B442" s="31"/>
      <c r="E442" s="110"/>
    </row>
    <row r="443" spans="1:12" x14ac:dyDescent="0.35">
      <c r="B443" s="31"/>
      <c r="E443" s="110"/>
    </row>
    <row r="444" spans="1:12" x14ac:dyDescent="0.35">
      <c r="B444" s="31"/>
      <c r="C444" s="287" t="s">
        <v>248</v>
      </c>
      <c r="D444" s="288"/>
      <c r="E444" s="288"/>
      <c r="F444" s="289" t="s">
        <v>6</v>
      </c>
      <c r="G444" s="289"/>
      <c r="H444" s="290" t="s">
        <v>15</v>
      </c>
      <c r="I444" s="290"/>
      <c r="J444" s="290"/>
    </row>
    <row r="445" spans="1:12" x14ac:dyDescent="0.35">
      <c r="B445" s="31"/>
      <c r="C445" s="12" t="s">
        <v>7</v>
      </c>
      <c r="D445" s="12" t="s">
        <v>16</v>
      </c>
      <c r="E445" s="111" t="s">
        <v>8</v>
      </c>
      <c r="F445" s="7" t="s">
        <v>10</v>
      </c>
      <c r="G445" s="7" t="s">
        <v>9</v>
      </c>
      <c r="H445" s="8" t="s">
        <v>10</v>
      </c>
      <c r="I445" s="8" t="s">
        <v>9</v>
      </c>
      <c r="J445" s="8" t="s">
        <v>20</v>
      </c>
      <c r="L445" s="1" t="s">
        <v>32</v>
      </c>
    </row>
    <row r="446" spans="1:12" x14ac:dyDescent="0.35">
      <c r="B446" s="31"/>
      <c r="C446" s="25" t="s">
        <v>243</v>
      </c>
      <c r="D446" s="25" t="s">
        <v>138</v>
      </c>
      <c r="E446" s="21">
        <v>2012</v>
      </c>
      <c r="F446" s="25">
        <v>7</v>
      </c>
      <c r="G446" s="25"/>
      <c r="H446" s="25"/>
      <c r="I446" s="25"/>
      <c r="J446" s="25"/>
      <c r="L446" t="s">
        <v>247</v>
      </c>
    </row>
    <row r="447" spans="1:12" x14ac:dyDescent="0.35">
      <c r="B447" s="31"/>
      <c r="E447" s="110"/>
    </row>
    <row r="448" spans="1:12" x14ac:dyDescent="0.35">
      <c r="B448" s="31"/>
    </row>
    <row r="449" spans="2:12" x14ac:dyDescent="0.35">
      <c r="B449" s="31"/>
      <c r="C449" s="287" t="s">
        <v>216</v>
      </c>
      <c r="D449" s="288"/>
      <c r="E449" s="288"/>
      <c r="F449" s="289" t="s">
        <v>6</v>
      </c>
      <c r="G449" s="289"/>
      <c r="H449" s="290" t="s">
        <v>15</v>
      </c>
      <c r="I449" s="290"/>
      <c r="J449" s="290"/>
    </row>
    <row r="450" spans="2:12" x14ac:dyDescent="0.35">
      <c r="B450" s="31"/>
      <c r="C450" s="12" t="s">
        <v>7</v>
      </c>
      <c r="D450" s="12" t="s">
        <v>16</v>
      </c>
      <c r="E450" s="99" t="s">
        <v>8</v>
      </c>
      <c r="F450" s="7" t="s">
        <v>10</v>
      </c>
      <c r="G450" s="7" t="s">
        <v>9</v>
      </c>
      <c r="H450" s="8" t="s">
        <v>10</v>
      </c>
      <c r="I450" s="8" t="s">
        <v>9</v>
      </c>
      <c r="J450" s="8" t="s">
        <v>20</v>
      </c>
      <c r="L450" s="1" t="s">
        <v>32</v>
      </c>
    </row>
    <row r="451" spans="2:12" x14ac:dyDescent="0.35">
      <c r="B451" s="31"/>
      <c r="C451" s="94" t="s">
        <v>207</v>
      </c>
      <c r="D451" s="94" t="s">
        <v>138</v>
      </c>
      <c r="E451" s="96">
        <v>2014</v>
      </c>
      <c r="F451" s="94">
        <v>15</v>
      </c>
      <c r="G451" s="94"/>
      <c r="H451" s="94">
        <f>F451*PRODUCT(D23:H23)</f>
        <v>15.951595657695083</v>
      </c>
      <c r="I451" s="94"/>
      <c r="J451" s="94"/>
    </row>
    <row r="452" spans="2:12" x14ac:dyDescent="0.35">
      <c r="B452" s="31"/>
      <c r="C452" s="31"/>
      <c r="D452" s="31"/>
      <c r="E452" s="33"/>
      <c r="F452" s="31"/>
      <c r="G452" s="31"/>
      <c r="H452" s="31"/>
      <c r="I452" s="31"/>
      <c r="J452" s="31"/>
    </row>
    <row r="453" spans="2:12" x14ac:dyDescent="0.35">
      <c r="B453" s="31"/>
      <c r="C453" s="31"/>
      <c r="D453" s="31"/>
      <c r="E453" s="33"/>
      <c r="F453" s="31"/>
      <c r="G453" s="31"/>
      <c r="H453" s="31"/>
      <c r="I453" s="31"/>
      <c r="J453" s="31"/>
    </row>
    <row r="454" spans="2:12" x14ac:dyDescent="0.35">
      <c r="B454" s="31"/>
      <c r="C454" s="31" t="s">
        <v>370</v>
      </c>
      <c r="D454" s="31"/>
      <c r="E454" s="33"/>
      <c r="F454" s="31"/>
      <c r="G454" s="31"/>
      <c r="H454" s="31"/>
      <c r="I454" s="31"/>
      <c r="J454" s="31"/>
    </row>
    <row r="455" spans="2:12" x14ac:dyDescent="0.35">
      <c r="B455" s="31"/>
      <c r="C455" s="31"/>
      <c r="D455" s="31"/>
      <c r="E455" s="33"/>
      <c r="F455" s="31"/>
      <c r="G455" s="31"/>
      <c r="H455" s="31"/>
      <c r="I455" s="31"/>
      <c r="J455" s="31"/>
    </row>
    <row r="456" spans="2:12" x14ac:dyDescent="0.35">
      <c r="B456" s="31"/>
      <c r="C456" s="287" t="s">
        <v>371</v>
      </c>
      <c r="D456" s="288"/>
      <c r="E456" s="288"/>
      <c r="F456" s="289" t="s">
        <v>6</v>
      </c>
      <c r="G456" s="289"/>
      <c r="H456" s="290" t="s">
        <v>15</v>
      </c>
      <c r="I456" s="290"/>
      <c r="J456" s="290"/>
    </row>
    <row r="457" spans="2:12" x14ac:dyDescent="0.35">
      <c r="B457" s="31"/>
      <c r="C457" s="12" t="s">
        <v>7</v>
      </c>
      <c r="D457" s="12" t="s">
        <v>16</v>
      </c>
      <c r="E457" s="188" t="s">
        <v>8</v>
      </c>
      <c r="F457" s="7" t="s">
        <v>10</v>
      </c>
      <c r="G457" s="7" t="s">
        <v>9</v>
      </c>
      <c r="H457" s="8" t="s">
        <v>10</v>
      </c>
      <c r="I457" s="8" t="s">
        <v>9</v>
      </c>
      <c r="J457" s="8" t="s">
        <v>20</v>
      </c>
      <c r="L457" s="1" t="s">
        <v>32</v>
      </c>
    </row>
    <row r="458" spans="2:12" x14ac:dyDescent="0.35">
      <c r="B458" s="31"/>
      <c r="C458" s="94" t="s">
        <v>207</v>
      </c>
      <c r="D458" s="94" t="s">
        <v>372</v>
      </c>
      <c r="E458" s="96">
        <v>2014</v>
      </c>
      <c r="F458" s="94">
        <v>48.16</v>
      </c>
      <c r="G458" s="94"/>
      <c r="H458" s="94">
        <f>F458*PRODUCT(D30:H30)</f>
        <v>0</v>
      </c>
      <c r="I458" s="94"/>
      <c r="J458" s="94"/>
    </row>
    <row r="459" spans="2:12" x14ac:dyDescent="0.35">
      <c r="B459" s="31"/>
      <c r="C459" s="31"/>
      <c r="D459" s="31"/>
      <c r="E459" s="33"/>
      <c r="F459" s="31"/>
      <c r="G459" s="31"/>
      <c r="H459" s="31"/>
      <c r="I459" s="31"/>
      <c r="J459" s="31"/>
    </row>
    <row r="460" spans="2:12" x14ac:dyDescent="0.35">
      <c r="B460" s="31"/>
      <c r="C460" s="31"/>
      <c r="D460" s="31"/>
      <c r="E460" s="33"/>
      <c r="F460" s="31"/>
      <c r="G460" s="31"/>
      <c r="H460" s="31"/>
      <c r="I460" s="31"/>
      <c r="J460" s="31"/>
    </row>
    <row r="461" spans="2:12" x14ac:dyDescent="0.35">
      <c r="B461" s="31"/>
      <c r="C461" s="287" t="s">
        <v>374</v>
      </c>
      <c r="D461" s="288"/>
      <c r="E461" s="288"/>
      <c r="F461" s="289" t="s">
        <v>6</v>
      </c>
      <c r="G461" s="289"/>
      <c r="H461" s="290" t="s">
        <v>15</v>
      </c>
      <c r="I461" s="290"/>
      <c r="J461" s="290"/>
    </row>
    <row r="462" spans="2:12" x14ac:dyDescent="0.35">
      <c r="B462" s="31"/>
      <c r="C462" s="12" t="s">
        <v>7</v>
      </c>
      <c r="D462" s="12" t="s">
        <v>16</v>
      </c>
      <c r="E462" s="188" t="s">
        <v>8</v>
      </c>
      <c r="F462" s="7" t="s">
        <v>10</v>
      </c>
      <c r="G462" s="7" t="s">
        <v>9</v>
      </c>
      <c r="H462" s="8" t="s">
        <v>10</v>
      </c>
      <c r="I462" s="8" t="s">
        <v>9</v>
      </c>
      <c r="J462" s="8" t="s">
        <v>20</v>
      </c>
      <c r="L462" s="1" t="s">
        <v>32</v>
      </c>
    </row>
    <row r="463" spans="2:12" x14ac:dyDescent="0.35">
      <c r="B463" s="31"/>
      <c r="C463" s="94" t="s">
        <v>207</v>
      </c>
      <c r="D463" s="94" t="s">
        <v>372</v>
      </c>
      <c r="E463" s="96">
        <v>2014</v>
      </c>
      <c r="F463" s="94">
        <v>34.93</v>
      </c>
      <c r="G463" s="94"/>
      <c r="H463" s="94">
        <f>F463*C16</f>
        <v>36.811635546425308</v>
      </c>
      <c r="I463" s="94"/>
      <c r="J463" s="94"/>
      <c r="L463" t="s">
        <v>373</v>
      </c>
    </row>
    <row r="464" spans="2:12" x14ac:dyDescent="0.35">
      <c r="B464" s="31"/>
      <c r="C464" s="31"/>
      <c r="D464" s="31"/>
      <c r="E464" s="33"/>
      <c r="F464" s="31"/>
      <c r="G464" s="31"/>
      <c r="H464" s="31"/>
      <c r="I464" s="31"/>
      <c r="J464" s="31"/>
    </row>
    <row r="465" spans="2:12" x14ac:dyDescent="0.35">
      <c r="B465" s="31"/>
      <c r="C465" s="31"/>
      <c r="D465" s="31"/>
      <c r="E465" s="33"/>
      <c r="F465" s="31"/>
      <c r="G465" s="31"/>
      <c r="H465" s="31"/>
      <c r="I465" s="31"/>
      <c r="J465" s="31"/>
    </row>
    <row r="466" spans="2:12" x14ac:dyDescent="0.35">
      <c r="B466" s="31"/>
      <c r="C466" s="287" t="s">
        <v>375</v>
      </c>
      <c r="D466" s="288"/>
      <c r="E466" s="288"/>
      <c r="F466" s="289" t="s">
        <v>6</v>
      </c>
      <c r="G466" s="289"/>
      <c r="H466" s="290" t="s">
        <v>15</v>
      </c>
      <c r="I466" s="290"/>
      <c r="J466" s="290"/>
    </row>
    <row r="467" spans="2:12" x14ac:dyDescent="0.35">
      <c r="B467" s="31"/>
      <c r="C467" s="12" t="s">
        <v>7</v>
      </c>
      <c r="D467" s="12" t="s">
        <v>16</v>
      </c>
      <c r="E467" s="188" t="s">
        <v>8</v>
      </c>
      <c r="F467" s="7" t="s">
        <v>10</v>
      </c>
      <c r="G467" s="7" t="s">
        <v>9</v>
      </c>
      <c r="H467" s="8" t="s">
        <v>10</v>
      </c>
      <c r="I467" s="8" t="s">
        <v>9</v>
      </c>
      <c r="J467" s="8" t="s">
        <v>20</v>
      </c>
      <c r="L467" s="1" t="s">
        <v>32</v>
      </c>
    </row>
    <row r="468" spans="2:12" x14ac:dyDescent="0.35">
      <c r="B468" s="31"/>
      <c r="C468" s="31" t="s">
        <v>207</v>
      </c>
      <c r="D468" s="31" t="s">
        <v>101</v>
      </c>
      <c r="E468" s="33">
        <v>2014</v>
      </c>
      <c r="F468" s="31">
        <v>2.25</v>
      </c>
      <c r="G468" s="31"/>
      <c r="H468" s="31">
        <f>F468*C16</f>
        <v>2.3712046945163738</v>
      </c>
      <c r="I468" s="31"/>
      <c r="J468" s="31"/>
      <c r="L468" t="s">
        <v>376</v>
      </c>
    </row>
    <row r="469" spans="2:12" x14ac:dyDescent="0.35">
      <c r="B469" s="31"/>
      <c r="C469" s="31"/>
      <c r="D469" s="31"/>
      <c r="E469" s="33"/>
      <c r="F469" s="31"/>
      <c r="G469" s="31"/>
      <c r="H469" s="31"/>
      <c r="I469" s="31"/>
      <c r="J469" s="31"/>
    </row>
    <row r="470" spans="2:12" x14ac:dyDescent="0.35">
      <c r="B470" s="31"/>
      <c r="C470" s="31"/>
      <c r="D470" s="31"/>
      <c r="E470" s="33"/>
      <c r="F470" s="31"/>
      <c r="G470" s="31"/>
      <c r="H470" s="31"/>
      <c r="I470" s="31"/>
      <c r="J470" s="31"/>
    </row>
    <row r="471" spans="2:12" x14ac:dyDescent="0.35">
      <c r="B471" s="31"/>
      <c r="C471" s="31"/>
      <c r="D471" s="31"/>
      <c r="E471" s="33"/>
      <c r="F471" s="31"/>
      <c r="G471" s="31"/>
      <c r="H471" s="31"/>
      <c r="I471" s="31"/>
      <c r="J471" s="31"/>
    </row>
    <row r="472" spans="2:12" x14ac:dyDescent="0.35">
      <c r="B472" s="31"/>
      <c r="C472" s="31"/>
      <c r="D472" s="31"/>
      <c r="E472" s="33"/>
      <c r="F472" s="31"/>
      <c r="G472" s="31"/>
      <c r="H472" s="31"/>
      <c r="I472" s="31"/>
      <c r="J472" s="31"/>
    </row>
    <row r="473" spans="2:12" x14ac:dyDescent="0.35">
      <c r="B473" s="31"/>
      <c r="C473" s="31"/>
      <c r="D473" s="31"/>
      <c r="E473" s="33"/>
      <c r="F473" s="31"/>
      <c r="G473" s="31"/>
      <c r="H473" s="31"/>
      <c r="I473" s="31"/>
      <c r="J473" s="31"/>
    </row>
    <row r="474" spans="2:12" x14ac:dyDescent="0.35">
      <c r="B474" s="31"/>
      <c r="C474" s="31"/>
      <c r="D474" s="31"/>
      <c r="E474" s="33"/>
      <c r="F474" s="31"/>
      <c r="G474" s="31"/>
      <c r="H474" s="31"/>
      <c r="I474" s="31"/>
      <c r="J474" s="31"/>
    </row>
    <row r="475" spans="2:12" x14ac:dyDescent="0.35">
      <c r="B475" s="31"/>
      <c r="C475" s="31"/>
      <c r="D475" s="31"/>
      <c r="E475" s="33"/>
      <c r="F475" s="31"/>
      <c r="G475" s="31"/>
      <c r="H475" s="31"/>
      <c r="I475" s="31"/>
      <c r="J475" s="31"/>
    </row>
    <row r="476" spans="2:12" x14ac:dyDescent="0.35">
      <c r="B476" s="31"/>
      <c r="C476" s="31"/>
      <c r="D476" s="31"/>
      <c r="E476" s="33"/>
      <c r="F476" s="31"/>
      <c r="G476" s="31"/>
      <c r="H476" s="31"/>
      <c r="I476" s="31"/>
      <c r="J476" s="31"/>
    </row>
    <row r="477" spans="2:12" x14ac:dyDescent="0.35">
      <c r="B477" s="31"/>
      <c r="C477" s="31"/>
      <c r="D477" s="31"/>
      <c r="E477" s="33"/>
      <c r="F477" s="31"/>
      <c r="G477" s="31"/>
      <c r="H477" s="31"/>
      <c r="I477" s="31"/>
      <c r="J477" s="31"/>
    </row>
    <row r="478" spans="2:12" x14ac:dyDescent="0.35">
      <c r="B478" s="31"/>
      <c r="C478" s="31"/>
      <c r="D478" s="31"/>
      <c r="E478" s="33"/>
      <c r="F478" s="31"/>
      <c r="G478" s="31"/>
      <c r="H478" s="31"/>
      <c r="I478" s="31"/>
      <c r="J478" s="31"/>
    </row>
    <row r="479" spans="2:12" x14ac:dyDescent="0.35">
      <c r="B479" s="31"/>
      <c r="C479" s="31"/>
      <c r="D479" s="31"/>
      <c r="E479" s="33"/>
      <c r="F479" s="31"/>
      <c r="G479" s="31"/>
      <c r="H479" s="31"/>
      <c r="I479" s="31"/>
      <c r="J479" s="31"/>
    </row>
    <row r="480" spans="2:12" x14ac:dyDescent="0.35">
      <c r="B480" s="31"/>
      <c r="C480" s="31"/>
      <c r="D480" s="31"/>
      <c r="E480" s="33"/>
      <c r="F480" s="31"/>
      <c r="G480" s="31"/>
      <c r="H480" s="31"/>
      <c r="I480" s="31"/>
      <c r="J480" s="31"/>
      <c r="K480" s="31"/>
      <c r="L480" s="31"/>
    </row>
    <row r="481" spans="2:12" x14ac:dyDescent="0.35">
      <c r="B481" s="31"/>
      <c r="C481" s="31"/>
      <c r="D481" s="31"/>
      <c r="E481" s="33"/>
      <c r="F481" s="31"/>
      <c r="G481" s="31"/>
      <c r="H481" s="31"/>
      <c r="I481" s="31"/>
      <c r="J481" s="31"/>
      <c r="K481" s="31"/>
      <c r="L481" s="31"/>
    </row>
    <row r="482" spans="2:12" x14ac:dyDescent="0.35">
      <c r="B482" s="31"/>
      <c r="C482" s="31"/>
      <c r="D482" s="31"/>
      <c r="E482" s="33"/>
      <c r="F482" s="31"/>
      <c r="G482" s="31"/>
      <c r="H482" s="31"/>
      <c r="I482" s="31"/>
      <c r="J482" s="31"/>
      <c r="K482" s="31"/>
      <c r="L482" s="31"/>
    </row>
    <row r="483" spans="2:12" x14ac:dyDescent="0.35">
      <c r="B483" s="31"/>
      <c r="C483" s="31"/>
      <c r="D483" s="31"/>
      <c r="E483" s="33"/>
      <c r="F483" s="31"/>
      <c r="G483" s="31"/>
      <c r="H483" s="31"/>
      <c r="I483" s="31"/>
      <c r="J483" s="31"/>
      <c r="K483" s="31"/>
      <c r="L483" s="31"/>
    </row>
    <row r="484" spans="2:12" x14ac:dyDescent="0.35">
      <c r="B484" s="31"/>
      <c r="C484" s="31"/>
      <c r="D484" s="31"/>
      <c r="E484" s="302" t="s">
        <v>254</v>
      </c>
      <c r="F484" s="302"/>
      <c r="G484" s="302"/>
      <c r="H484" s="31"/>
      <c r="I484" s="31"/>
      <c r="J484" s="31"/>
      <c r="K484" s="31"/>
      <c r="L484" s="31"/>
    </row>
    <row r="485" spans="2:12" x14ac:dyDescent="0.35">
      <c r="B485" s="31"/>
      <c r="C485" s="31"/>
      <c r="D485" s="31"/>
      <c r="E485" s="33"/>
      <c r="F485" s="31"/>
      <c r="G485" s="31"/>
      <c r="H485" s="31"/>
      <c r="I485" s="31"/>
      <c r="J485" s="31"/>
      <c r="K485" s="31"/>
      <c r="L485" s="31"/>
    </row>
    <row r="486" spans="2:12" x14ac:dyDescent="0.35">
      <c r="B486" s="31"/>
      <c r="C486" s="31"/>
      <c r="D486" s="31"/>
      <c r="E486" s="33"/>
      <c r="F486" s="31"/>
      <c r="G486" s="31"/>
      <c r="H486" s="31"/>
      <c r="I486" s="31"/>
      <c r="J486" s="31"/>
      <c r="K486" s="31"/>
      <c r="L486" s="31"/>
    </row>
    <row r="487" spans="2:12" x14ac:dyDescent="0.35">
      <c r="B487" s="31"/>
      <c r="C487" s="113" t="s">
        <v>124</v>
      </c>
      <c r="D487" s="31"/>
      <c r="E487" s="33"/>
      <c r="F487" s="31"/>
      <c r="G487" s="31"/>
      <c r="H487" s="31"/>
      <c r="I487" s="31"/>
      <c r="J487" s="31"/>
      <c r="K487" s="31"/>
      <c r="L487" s="31"/>
    </row>
    <row r="488" spans="2:12" x14ac:dyDescent="0.35">
      <c r="B488" s="31"/>
      <c r="C488" s="31"/>
      <c r="D488" s="31"/>
      <c r="E488" s="33"/>
      <c r="F488" s="31"/>
      <c r="G488" s="31"/>
      <c r="H488" s="31"/>
      <c r="I488" s="31"/>
      <c r="J488" s="31"/>
      <c r="K488" s="31"/>
      <c r="L488" s="31"/>
    </row>
    <row r="489" spans="2:12" x14ac:dyDescent="0.35">
      <c r="B489" s="31"/>
      <c r="C489" s="287" t="s">
        <v>129</v>
      </c>
      <c r="D489" s="288"/>
      <c r="E489" s="288"/>
      <c r="F489" s="289" t="s">
        <v>6</v>
      </c>
      <c r="G489" s="289"/>
      <c r="H489" s="290" t="s">
        <v>15</v>
      </c>
      <c r="I489" s="290"/>
      <c r="J489" s="290"/>
    </row>
    <row r="490" spans="2:12" x14ac:dyDescent="0.35">
      <c r="B490" s="31"/>
      <c r="C490" s="12" t="s">
        <v>7</v>
      </c>
      <c r="D490" s="12" t="s">
        <v>16</v>
      </c>
      <c r="E490" s="112" t="s">
        <v>8</v>
      </c>
      <c r="F490" s="7" t="s">
        <v>10</v>
      </c>
      <c r="G490" s="7" t="s">
        <v>9</v>
      </c>
      <c r="H490" s="8" t="s">
        <v>10</v>
      </c>
      <c r="I490" s="8" t="s">
        <v>9</v>
      </c>
      <c r="J490" s="8" t="s">
        <v>20</v>
      </c>
      <c r="L490" s="1" t="s">
        <v>32</v>
      </c>
    </row>
    <row r="491" spans="2:12" x14ac:dyDescent="0.35">
      <c r="B491" s="31"/>
      <c r="C491" s="140" t="s">
        <v>207</v>
      </c>
      <c r="D491" s="140" t="s">
        <v>101</v>
      </c>
      <c r="E491" s="141">
        <v>2014</v>
      </c>
      <c r="F491" s="140">
        <v>3.5</v>
      </c>
      <c r="G491" s="140"/>
      <c r="H491" s="140">
        <f>F491*C16</f>
        <v>3.6885406359143591</v>
      </c>
      <c r="I491" s="140"/>
      <c r="J491" s="140"/>
      <c r="K491" s="31"/>
      <c r="L491" s="31"/>
    </row>
    <row r="492" spans="2:12" ht="15.5" x14ac:dyDescent="0.35">
      <c r="B492" s="31"/>
      <c r="C492" s="217" t="s">
        <v>381</v>
      </c>
      <c r="D492" s="31" t="s">
        <v>101</v>
      </c>
      <c r="E492" s="33">
        <v>2012</v>
      </c>
      <c r="F492" s="31">
        <v>8</v>
      </c>
      <c r="G492" s="31"/>
      <c r="H492" s="31">
        <f>B16*F492</f>
        <v>8.5026131001591576</v>
      </c>
      <c r="I492" s="31"/>
      <c r="J492" s="31"/>
      <c r="K492" s="31"/>
      <c r="L492" s="31"/>
    </row>
    <row r="493" spans="2:12" x14ac:dyDescent="0.35">
      <c r="B493" s="31"/>
      <c r="C493" s="31"/>
      <c r="D493" s="31"/>
      <c r="E493" s="33"/>
      <c r="F493" s="31"/>
      <c r="G493" s="31"/>
      <c r="H493" s="31"/>
      <c r="I493" s="31"/>
      <c r="J493" s="31"/>
      <c r="K493" s="31"/>
      <c r="L493" s="31"/>
    </row>
    <row r="495" spans="2:12" x14ac:dyDescent="0.35">
      <c r="C495" s="287" t="s">
        <v>137</v>
      </c>
      <c r="D495" s="288"/>
      <c r="E495" s="288"/>
      <c r="F495" s="289" t="s">
        <v>6</v>
      </c>
      <c r="G495" s="289"/>
      <c r="H495" s="290" t="s">
        <v>15</v>
      </c>
      <c r="I495" s="290"/>
      <c r="J495" s="290"/>
    </row>
    <row r="496" spans="2:12" x14ac:dyDescent="0.35">
      <c r="C496" s="12" t="s">
        <v>7</v>
      </c>
      <c r="D496" s="12" t="s">
        <v>16</v>
      </c>
      <c r="E496" s="112" t="s">
        <v>8</v>
      </c>
      <c r="F496" s="7" t="s">
        <v>10</v>
      </c>
      <c r="G496" s="7" t="s">
        <v>9</v>
      </c>
      <c r="H496" s="8" t="s">
        <v>10</v>
      </c>
      <c r="I496" s="8" t="s">
        <v>9</v>
      </c>
      <c r="J496" s="8" t="s">
        <v>20</v>
      </c>
      <c r="L496" s="1" t="s">
        <v>32</v>
      </c>
    </row>
    <row r="497" spans="3:12" x14ac:dyDescent="0.35">
      <c r="C497" s="94" t="s">
        <v>207</v>
      </c>
      <c r="D497" s="94" t="s">
        <v>101</v>
      </c>
      <c r="E497" s="96">
        <v>2014</v>
      </c>
      <c r="F497" s="94">
        <v>13.5</v>
      </c>
      <c r="G497" s="94"/>
      <c r="H497" s="94">
        <f>F497*C16</f>
        <v>14.227228167098243</v>
      </c>
      <c r="I497" s="94"/>
      <c r="J497" s="94"/>
    </row>
    <row r="501" spans="3:12" x14ac:dyDescent="0.35">
      <c r="C501" s="287" t="s">
        <v>128</v>
      </c>
      <c r="D501" s="288"/>
      <c r="E501" s="288"/>
      <c r="F501" s="289" t="s">
        <v>6</v>
      </c>
      <c r="G501" s="289"/>
      <c r="H501" s="290" t="s">
        <v>15</v>
      </c>
      <c r="I501" s="290"/>
      <c r="J501" s="290"/>
    </row>
    <row r="502" spans="3:12" x14ac:dyDescent="0.35">
      <c r="C502" s="12" t="s">
        <v>7</v>
      </c>
      <c r="D502" s="12" t="s">
        <v>16</v>
      </c>
      <c r="E502" s="125" t="s">
        <v>8</v>
      </c>
      <c r="F502" s="7" t="s">
        <v>10</v>
      </c>
      <c r="G502" s="7" t="s">
        <v>9</v>
      </c>
      <c r="H502" s="8" t="s">
        <v>10</v>
      </c>
      <c r="I502" s="8" t="s">
        <v>9</v>
      </c>
      <c r="J502" s="8" t="s">
        <v>20</v>
      </c>
      <c r="L502" s="1" t="s">
        <v>32</v>
      </c>
    </row>
    <row r="503" spans="3:12" x14ac:dyDescent="0.35">
      <c r="C503" s="94" t="s">
        <v>207</v>
      </c>
      <c r="D503" s="94" t="s">
        <v>101</v>
      </c>
      <c r="E503" s="96">
        <v>2014</v>
      </c>
      <c r="F503" s="94">
        <f>Calculations!H12</f>
        <v>0.91353699999999993</v>
      </c>
      <c r="G503" s="94"/>
      <c r="H503" s="94">
        <f>F503*C16</f>
        <v>0.96274809911751302</v>
      </c>
      <c r="I503" s="94"/>
      <c r="J503" s="94"/>
    </row>
    <row r="504" spans="3:12" ht="15.5" x14ac:dyDescent="0.35">
      <c r="C504" s="216" t="s">
        <v>382</v>
      </c>
      <c r="D504" s="31" t="s">
        <v>101</v>
      </c>
      <c r="E504" s="33">
        <v>2012</v>
      </c>
      <c r="F504" s="31">
        <v>2</v>
      </c>
      <c r="G504" s="31">
        <v>3</v>
      </c>
      <c r="H504" s="31">
        <f>F504*B16</f>
        <v>2.1256532750397894</v>
      </c>
      <c r="I504" s="31">
        <f>G504*B16</f>
        <v>3.1884799125596839</v>
      </c>
      <c r="J504" s="31"/>
    </row>
    <row r="507" spans="3:12" x14ac:dyDescent="0.35">
      <c r="C507" s="286" t="s">
        <v>268</v>
      </c>
      <c r="D507" s="286"/>
      <c r="E507" s="286"/>
      <c r="F507" s="131"/>
      <c r="G507" s="285"/>
      <c r="H507" s="285"/>
    </row>
    <row r="510" spans="3:12" x14ac:dyDescent="0.35">
      <c r="C510" s="287" t="s">
        <v>267</v>
      </c>
      <c r="D510" s="288"/>
      <c r="E510" s="288"/>
      <c r="F510" s="289" t="s">
        <v>6</v>
      </c>
      <c r="G510" s="289"/>
      <c r="H510" s="290" t="s">
        <v>15</v>
      </c>
      <c r="I510" s="290"/>
      <c r="J510" s="290"/>
    </row>
    <row r="511" spans="3:12" x14ac:dyDescent="0.35">
      <c r="C511" s="12" t="s">
        <v>7</v>
      </c>
      <c r="D511" s="12" t="s">
        <v>16</v>
      </c>
      <c r="E511" s="133" t="s">
        <v>8</v>
      </c>
      <c r="F511" s="7" t="s">
        <v>10</v>
      </c>
      <c r="G511" s="7" t="s">
        <v>9</v>
      </c>
      <c r="H511" s="8" t="s">
        <v>10</v>
      </c>
      <c r="I511" s="8" t="s">
        <v>9</v>
      </c>
      <c r="J511" s="8" t="s">
        <v>20</v>
      </c>
      <c r="L511" s="1" t="s">
        <v>32</v>
      </c>
    </row>
    <row r="512" spans="3:12" x14ac:dyDescent="0.35">
      <c r="C512" s="94" t="s">
        <v>207</v>
      </c>
      <c r="D512" s="94" t="s">
        <v>272</v>
      </c>
      <c r="E512" s="96">
        <v>2014</v>
      </c>
      <c r="F512" s="94">
        <v>120.22</v>
      </c>
      <c r="G512" s="94">
        <v>147.62</v>
      </c>
      <c r="H512" s="94"/>
      <c r="I512" s="94"/>
      <c r="J512" s="94"/>
      <c r="L512" t="s">
        <v>273</v>
      </c>
    </row>
    <row r="513" spans="3:12" x14ac:dyDescent="0.35">
      <c r="C513" s="26" t="s">
        <v>207</v>
      </c>
      <c r="D513" s="26" t="s">
        <v>101</v>
      </c>
      <c r="E513" s="18">
        <v>2014</v>
      </c>
      <c r="F513" s="26">
        <v>0.6</v>
      </c>
      <c r="G513" s="26">
        <v>0.41</v>
      </c>
      <c r="H513" s="26"/>
      <c r="I513" s="26"/>
      <c r="J513" s="26"/>
    </row>
    <row r="516" spans="3:12" x14ac:dyDescent="0.35">
      <c r="C516" s="1" t="s">
        <v>269</v>
      </c>
    </row>
    <row r="518" spans="3:12" x14ac:dyDescent="0.35">
      <c r="C518" s="287" t="s">
        <v>269</v>
      </c>
      <c r="D518" s="288"/>
      <c r="E518" s="288"/>
      <c r="F518" s="289" t="s">
        <v>6</v>
      </c>
      <c r="G518" s="289"/>
      <c r="H518" s="290" t="s">
        <v>15</v>
      </c>
      <c r="I518" s="290"/>
      <c r="J518" s="290"/>
    </row>
    <row r="519" spans="3:12" x14ac:dyDescent="0.35">
      <c r="C519" s="12" t="s">
        <v>7</v>
      </c>
      <c r="D519" s="12" t="s">
        <v>16</v>
      </c>
      <c r="E519" s="133" t="s">
        <v>8</v>
      </c>
      <c r="F519" s="7" t="s">
        <v>10</v>
      </c>
      <c r="G519" s="7" t="s">
        <v>9</v>
      </c>
      <c r="H519" s="8" t="s">
        <v>10</v>
      </c>
      <c r="I519" s="8" t="s">
        <v>9</v>
      </c>
      <c r="J519" s="8" t="s">
        <v>20</v>
      </c>
      <c r="L519" s="1" t="s">
        <v>32</v>
      </c>
    </row>
    <row r="520" spans="3:12" x14ac:dyDescent="0.35">
      <c r="C520" s="94" t="s">
        <v>207</v>
      </c>
      <c r="D520" s="94" t="s">
        <v>138</v>
      </c>
      <c r="E520" s="96">
        <v>2014</v>
      </c>
      <c r="F520" s="94">
        <v>24.39</v>
      </c>
      <c r="G520" s="94">
        <v>25.27</v>
      </c>
      <c r="H520" s="94"/>
      <c r="I520" s="94"/>
      <c r="J520" s="94"/>
      <c r="L520" t="s">
        <v>279</v>
      </c>
    </row>
    <row r="521" spans="3:12" x14ac:dyDescent="0.35">
      <c r="E521" s="132"/>
    </row>
    <row r="522" spans="3:12" x14ac:dyDescent="0.35">
      <c r="E522" s="132"/>
    </row>
    <row r="523" spans="3:12" x14ac:dyDescent="0.35">
      <c r="C523" s="1" t="s">
        <v>270</v>
      </c>
      <c r="E523" s="132"/>
    </row>
    <row r="524" spans="3:12" x14ac:dyDescent="0.35">
      <c r="E524" s="132"/>
    </row>
    <row r="525" spans="3:12" x14ac:dyDescent="0.35">
      <c r="C525" s="287" t="s">
        <v>128</v>
      </c>
      <c r="D525" s="288"/>
      <c r="E525" s="288"/>
      <c r="F525" s="289" t="s">
        <v>6</v>
      </c>
      <c r="G525" s="289"/>
      <c r="H525" s="290" t="s">
        <v>15</v>
      </c>
      <c r="I525" s="290"/>
      <c r="J525" s="290"/>
    </row>
    <row r="526" spans="3:12" x14ac:dyDescent="0.35">
      <c r="C526" s="12" t="s">
        <v>7</v>
      </c>
      <c r="D526" s="12" t="s">
        <v>16</v>
      </c>
      <c r="E526" s="133" t="s">
        <v>8</v>
      </c>
      <c r="F526" s="7" t="s">
        <v>10</v>
      </c>
      <c r="G526" s="7" t="s">
        <v>9</v>
      </c>
      <c r="H526" s="8" t="s">
        <v>10</v>
      </c>
      <c r="I526" s="8" t="s">
        <v>9</v>
      </c>
      <c r="J526" s="8" t="s">
        <v>20</v>
      </c>
      <c r="L526" s="1" t="s">
        <v>32</v>
      </c>
    </row>
    <row r="527" spans="3:12" x14ac:dyDescent="0.35">
      <c r="C527" s="94" t="s">
        <v>207</v>
      </c>
      <c r="D527" s="94" t="s">
        <v>101</v>
      </c>
      <c r="E527" s="96">
        <v>2013</v>
      </c>
      <c r="F527" s="94">
        <v>0.22</v>
      </c>
      <c r="G527" s="94"/>
      <c r="H527" s="94"/>
      <c r="I527" s="94"/>
      <c r="J527" s="94"/>
    </row>
    <row r="528" spans="3:12" x14ac:dyDescent="0.35">
      <c r="C528" s="31"/>
      <c r="D528" s="31"/>
      <c r="E528" s="33"/>
      <c r="F528" s="31"/>
      <c r="G528" s="31"/>
      <c r="H528" s="31"/>
      <c r="I528" s="31"/>
    </row>
    <row r="529" spans="3:12" x14ac:dyDescent="0.35">
      <c r="C529" s="31"/>
      <c r="D529" s="31"/>
      <c r="E529" s="33"/>
      <c r="F529" s="31"/>
      <c r="G529" s="31"/>
      <c r="H529" s="31"/>
      <c r="I529" s="31"/>
    </row>
    <row r="530" spans="3:12" x14ac:dyDescent="0.35">
      <c r="C530" s="31"/>
      <c r="D530" s="31"/>
      <c r="E530" s="33"/>
      <c r="F530" s="31"/>
      <c r="G530" s="31"/>
      <c r="H530" s="31"/>
      <c r="I530" s="31"/>
    </row>
    <row r="531" spans="3:12" x14ac:dyDescent="0.35">
      <c r="C531" s="287" t="s">
        <v>129</v>
      </c>
      <c r="D531" s="288"/>
      <c r="E531" s="288"/>
      <c r="F531" s="289" t="s">
        <v>6</v>
      </c>
      <c r="G531" s="289"/>
      <c r="H531" s="290" t="s">
        <v>15</v>
      </c>
      <c r="I531" s="290"/>
      <c r="J531" s="290"/>
    </row>
    <row r="532" spans="3:12" x14ac:dyDescent="0.35">
      <c r="C532" s="12" t="s">
        <v>7</v>
      </c>
      <c r="D532" s="12" t="s">
        <v>16</v>
      </c>
      <c r="E532" s="133" t="s">
        <v>8</v>
      </c>
      <c r="F532" s="7" t="s">
        <v>10</v>
      </c>
      <c r="G532" s="7" t="s">
        <v>9</v>
      </c>
      <c r="H532" s="8" t="s">
        <v>10</v>
      </c>
      <c r="I532" s="8" t="s">
        <v>9</v>
      </c>
      <c r="J532" s="8" t="s">
        <v>20</v>
      </c>
      <c r="L532" s="1" t="s">
        <v>32</v>
      </c>
    </row>
    <row r="533" spans="3:12" x14ac:dyDescent="0.35">
      <c r="C533" s="94" t="s">
        <v>207</v>
      </c>
      <c r="D533" s="94" t="s">
        <v>101</v>
      </c>
      <c r="E533" s="96">
        <v>2013</v>
      </c>
      <c r="F533" s="94">
        <v>0.7</v>
      </c>
      <c r="G533" s="94"/>
      <c r="H533" s="94"/>
      <c r="I533" s="94"/>
      <c r="J533" s="94"/>
    </row>
    <row r="534" spans="3:12" x14ac:dyDescent="0.35">
      <c r="C534" s="31"/>
      <c r="D534" s="31"/>
      <c r="E534" s="33"/>
      <c r="F534" s="31"/>
      <c r="G534" s="31"/>
      <c r="H534" s="31"/>
      <c r="I534" s="31"/>
    </row>
    <row r="535" spans="3:12" x14ac:dyDescent="0.35">
      <c r="C535" s="31"/>
      <c r="D535" s="31"/>
      <c r="E535" s="33"/>
      <c r="F535" s="31"/>
      <c r="G535" s="31"/>
      <c r="H535" s="31"/>
      <c r="I535" s="31"/>
    </row>
    <row r="536" spans="3:12" x14ac:dyDescent="0.35">
      <c r="C536" s="287" t="s">
        <v>271</v>
      </c>
      <c r="D536" s="288"/>
      <c r="E536" s="288"/>
      <c r="F536" s="289" t="s">
        <v>6</v>
      </c>
      <c r="G536" s="289"/>
      <c r="H536" s="290" t="s">
        <v>15</v>
      </c>
      <c r="I536" s="290"/>
      <c r="J536" s="290"/>
    </row>
    <row r="537" spans="3:12" x14ac:dyDescent="0.35">
      <c r="C537" s="12" t="s">
        <v>7</v>
      </c>
      <c r="D537" s="12" t="s">
        <v>16</v>
      </c>
      <c r="E537" s="133" t="s">
        <v>8</v>
      </c>
      <c r="F537" s="7" t="s">
        <v>10</v>
      </c>
      <c r="G537" s="7" t="s">
        <v>9</v>
      </c>
      <c r="H537" s="8" t="s">
        <v>10</v>
      </c>
      <c r="I537" s="8" t="s">
        <v>9</v>
      </c>
      <c r="J537" s="8" t="s">
        <v>20</v>
      </c>
      <c r="L537" s="1" t="s">
        <v>32</v>
      </c>
    </row>
    <row r="538" spans="3:12" x14ac:dyDescent="0.35">
      <c r="C538" s="94" t="s">
        <v>207</v>
      </c>
      <c r="D538" s="94" t="s">
        <v>101</v>
      </c>
      <c r="E538" s="96">
        <v>2013</v>
      </c>
      <c r="F538" s="94">
        <v>0.11</v>
      </c>
      <c r="G538" s="94"/>
      <c r="H538" s="94"/>
      <c r="I538" s="94"/>
      <c r="J538" s="94"/>
    </row>
    <row r="539" spans="3:12" x14ac:dyDescent="0.35">
      <c r="C539" s="31"/>
      <c r="D539" s="31"/>
      <c r="E539" s="33"/>
      <c r="F539" s="31"/>
      <c r="G539" s="31"/>
      <c r="H539" s="31"/>
      <c r="I539" s="31"/>
    </row>
    <row r="540" spans="3:12" x14ac:dyDescent="0.35">
      <c r="C540" s="31"/>
      <c r="D540" s="31"/>
      <c r="E540" s="33"/>
      <c r="F540" s="31"/>
      <c r="G540" s="31"/>
      <c r="H540" s="31"/>
      <c r="I540" s="31"/>
    </row>
    <row r="541" spans="3:12" x14ac:dyDescent="0.35">
      <c r="C541" s="31"/>
      <c r="D541" s="31"/>
      <c r="E541" s="33"/>
      <c r="F541" s="31"/>
      <c r="G541" s="31"/>
      <c r="H541" s="31"/>
      <c r="I541" s="31"/>
    </row>
    <row r="542" spans="3:12" x14ac:dyDescent="0.35">
      <c r="C542" s="300" t="s">
        <v>266</v>
      </c>
      <c r="D542" s="300"/>
      <c r="E542" s="33"/>
      <c r="F542" s="31"/>
      <c r="G542" s="31"/>
      <c r="H542" s="31"/>
      <c r="I542" s="31"/>
    </row>
    <row r="543" spans="3:12" x14ac:dyDescent="0.35">
      <c r="C543" s="31"/>
      <c r="D543" s="31"/>
      <c r="E543" s="33"/>
      <c r="F543" s="31"/>
      <c r="G543" s="31"/>
      <c r="H543" s="31"/>
      <c r="I543" s="31"/>
    </row>
    <row r="544" spans="3:12" x14ac:dyDescent="0.35">
      <c r="C544" s="287" t="s">
        <v>266</v>
      </c>
      <c r="D544" s="288"/>
      <c r="E544" s="288"/>
      <c r="F544" s="289" t="s">
        <v>6</v>
      </c>
      <c r="G544" s="289"/>
      <c r="H544" s="290" t="s">
        <v>15</v>
      </c>
      <c r="I544" s="290"/>
      <c r="J544" s="290"/>
    </row>
    <row r="545" spans="3:12" x14ac:dyDescent="0.35">
      <c r="C545" s="12" t="s">
        <v>7</v>
      </c>
      <c r="D545" s="12" t="s">
        <v>16</v>
      </c>
      <c r="E545" s="133" t="s">
        <v>8</v>
      </c>
      <c r="F545" s="7" t="s">
        <v>10</v>
      </c>
      <c r="G545" s="7" t="s">
        <v>9</v>
      </c>
      <c r="H545" s="8" t="s">
        <v>10</v>
      </c>
      <c r="I545" s="8" t="s">
        <v>9</v>
      </c>
      <c r="J545" s="8" t="s">
        <v>20</v>
      </c>
      <c r="L545" s="1" t="s">
        <v>32</v>
      </c>
    </row>
    <row r="546" spans="3:12" x14ac:dyDescent="0.35">
      <c r="C546" s="94" t="s">
        <v>207</v>
      </c>
      <c r="D546" s="94" t="s">
        <v>272</v>
      </c>
      <c r="E546" s="96">
        <v>2013</v>
      </c>
      <c r="F546" s="94">
        <v>96.26</v>
      </c>
      <c r="G546" s="94">
        <v>175.86</v>
      </c>
      <c r="H546" s="94"/>
      <c r="I546" s="94"/>
      <c r="J546" s="94"/>
      <c r="L546" t="s">
        <v>279</v>
      </c>
    </row>
    <row r="547" spans="3:12" x14ac:dyDescent="0.35">
      <c r="C547" s="26" t="s">
        <v>207</v>
      </c>
      <c r="D547" s="26" t="s">
        <v>101</v>
      </c>
      <c r="E547" s="18">
        <v>2013</v>
      </c>
      <c r="F547" s="26">
        <v>0.48</v>
      </c>
      <c r="G547" s="26">
        <v>0.5</v>
      </c>
      <c r="H547" s="26"/>
      <c r="I547" s="26"/>
      <c r="J547" s="26"/>
    </row>
    <row r="548" spans="3:12" x14ac:dyDescent="0.35">
      <c r="C548" s="31"/>
      <c r="D548" s="31"/>
      <c r="E548" s="33"/>
    </row>
    <row r="549" spans="3:12" x14ac:dyDescent="0.35">
      <c r="C549" s="31"/>
      <c r="D549" s="31"/>
      <c r="E549" s="33"/>
    </row>
    <row r="550" spans="3:12" x14ac:dyDescent="0.35">
      <c r="C550" s="31"/>
      <c r="D550" s="31"/>
      <c r="E550" s="33"/>
    </row>
    <row r="554" spans="3:12" x14ac:dyDescent="0.35">
      <c r="E554" s="285" t="s">
        <v>249</v>
      </c>
      <c r="F554" s="285"/>
      <c r="G554" s="285"/>
    </row>
    <row r="555" spans="3:12" x14ac:dyDescent="0.35">
      <c r="C555" s="287" t="s">
        <v>249</v>
      </c>
      <c r="D555" s="288"/>
      <c r="E555" s="288"/>
      <c r="F555" s="289" t="s">
        <v>6</v>
      </c>
      <c r="G555" s="289"/>
      <c r="H555" s="290" t="s">
        <v>15</v>
      </c>
      <c r="I555" s="290"/>
      <c r="J555" s="290"/>
    </row>
    <row r="556" spans="3:12" x14ac:dyDescent="0.35">
      <c r="C556" s="12" t="s">
        <v>7</v>
      </c>
      <c r="D556" s="12" t="s">
        <v>16</v>
      </c>
      <c r="E556" s="111" t="s">
        <v>8</v>
      </c>
      <c r="F556" s="7" t="s">
        <v>10</v>
      </c>
      <c r="G556" s="7" t="s">
        <v>9</v>
      </c>
      <c r="H556" s="8" t="s">
        <v>10</v>
      </c>
      <c r="I556" s="8" t="s">
        <v>9</v>
      </c>
      <c r="J556" s="8" t="s">
        <v>20</v>
      </c>
      <c r="L556" s="1" t="s">
        <v>32</v>
      </c>
    </row>
    <row r="557" spans="3:12" x14ac:dyDescent="0.35">
      <c r="C557" s="26" t="s">
        <v>243</v>
      </c>
      <c r="D557" s="26" t="s">
        <v>256</v>
      </c>
      <c r="E557" s="18">
        <v>2012</v>
      </c>
      <c r="F557" s="26">
        <v>25</v>
      </c>
      <c r="G557" s="26"/>
      <c r="H557" s="26"/>
      <c r="I557" s="26"/>
      <c r="J557" s="26"/>
      <c r="L557" t="s">
        <v>250</v>
      </c>
    </row>
    <row r="558" spans="3:12" x14ac:dyDescent="0.35">
      <c r="C558" s="94" t="s">
        <v>243</v>
      </c>
      <c r="D558" s="94" t="s">
        <v>256</v>
      </c>
      <c r="E558" s="96">
        <v>2012</v>
      </c>
      <c r="F558" s="94">
        <v>40</v>
      </c>
      <c r="G558" s="94"/>
      <c r="H558" s="94"/>
      <c r="I558" s="94"/>
      <c r="J558" s="94"/>
      <c r="L558" t="s">
        <v>251</v>
      </c>
    </row>
    <row r="559" spans="3:12" x14ac:dyDescent="0.35">
      <c r="C559" s="26" t="s">
        <v>243</v>
      </c>
      <c r="D559" s="26" t="s">
        <v>256</v>
      </c>
      <c r="E559" s="18">
        <v>2012</v>
      </c>
      <c r="F559" s="26">
        <v>50</v>
      </c>
      <c r="G559" s="26"/>
      <c r="H559" s="26"/>
      <c r="I559" s="26"/>
      <c r="J559" s="26"/>
      <c r="L559" t="s">
        <v>252</v>
      </c>
    </row>
    <row r="560" spans="3:12" x14ac:dyDescent="0.35">
      <c r="C560" s="31"/>
      <c r="D560" s="31"/>
      <c r="E560" s="33"/>
      <c r="F560" s="31"/>
      <c r="G560" s="31"/>
      <c r="H560" s="31"/>
      <c r="I560" s="31"/>
      <c r="J560" s="31"/>
      <c r="K560" s="31"/>
      <c r="L560" s="31"/>
    </row>
    <row r="562" spans="3:16" x14ac:dyDescent="0.35">
      <c r="C562" s="287" t="s">
        <v>367</v>
      </c>
      <c r="D562" s="288"/>
      <c r="E562" s="288"/>
      <c r="F562" s="289" t="s">
        <v>6</v>
      </c>
      <c r="G562" s="289"/>
      <c r="H562" s="290" t="s">
        <v>15</v>
      </c>
      <c r="I562" s="290"/>
      <c r="J562" s="290"/>
    </row>
    <row r="563" spans="3:16" x14ac:dyDescent="0.35">
      <c r="C563" s="12" t="s">
        <v>7</v>
      </c>
      <c r="D563" s="12" t="s">
        <v>16</v>
      </c>
      <c r="E563" s="188" t="s">
        <v>8</v>
      </c>
      <c r="F563" s="7" t="s">
        <v>10</v>
      </c>
      <c r="G563" s="7" t="s">
        <v>9</v>
      </c>
      <c r="H563" s="8" t="s">
        <v>10</v>
      </c>
      <c r="I563" s="8" t="s">
        <v>9</v>
      </c>
      <c r="J563" s="8" t="s">
        <v>20</v>
      </c>
      <c r="L563" s="1" t="s">
        <v>32</v>
      </c>
    </row>
    <row r="564" spans="3:16" x14ac:dyDescent="0.35">
      <c r="C564" t="s">
        <v>253</v>
      </c>
      <c r="D564" t="s">
        <v>368</v>
      </c>
      <c r="E564" s="2">
        <v>2014</v>
      </c>
      <c r="F564">
        <v>52.42</v>
      </c>
      <c r="H564">
        <f>F564*C16</f>
        <v>55.24380003846592</v>
      </c>
    </row>
    <row r="566" spans="3:16" x14ac:dyDescent="0.35">
      <c r="E566" s="285" t="s">
        <v>257</v>
      </c>
      <c r="F566" s="285"/>
      <c r="G566" s="285"/>
    </row>
    <row r="568" spans="3:16" x14ac:dyDescent="0.35">
      <c r="C568" s="287" t="s">
        <v>258</v>
      </c>
      <c r="D568" s="288"/>
      <c r="E568" s="288"/>
      <c r="F568" s="289" t="s">
        <v>6</v>
      </c>
      <c r="G568" s="289"/>
      <c r="H568" s="290" t="s">
        <v>15</v>
      </c>
      <c r="I568" s="290"/>
      <c r="J568" s="290"/>
      <c r="M568" s="31"/>
      <c r="N568" s="31"/>
      <c r="O568" s="31"/>
      <c r="P568" s="31"/>
    </row>
    <row r="569" spans="3:16" x14ac:dyDescent="0.35">
      <c r="C569" s="12" t="s">
        <v>7</v>
      </c>
      <c r="D569" s="12" t="s">
        <v>16</v>
      </c>
      <c r="E569" s="125" t="s">
        <v>8</v>
      </c>
      <c r="F569" s="7" t="s">
        <v>10</v>
      </c>
      <c r="G569" s="7" t="s">
        <v>9</v>
      </c>
      <c r="H569" s="8" t="s">
        <v>10</v>
      </c>
      <c r="I569" s="8" t="s">
        <v>9</v>
      </c>
      <c r="J569" s="8" t="s">
        <v>20</v>
      </c>
      <c r="L569" s="1" t="s">
        <v>32</v>
      </c>
      <c r="M569" s="134"/>
      <c r="N569" s="31"/>
      <c r="O569" s="39"/>
      <c r="P569" s="31"/>
    </row>
    <row r="570" spans="3:16" ht="15.5" x14ac:dyDescent="0.35">
      <c r="C570" s="135" t="s">
        <v>243</v>
      </c>
      <c r="D570" s="26" t="s">
        <v>138</v>
      </c>
      <c r="E570" s="18">
        <v>2012</v>
      </c>
      <c r="F570" s="26">
        <v>500000000</v>
      </c>
      <c r="G570" s="26"/>
      <c r="H570" s="26"/>
      <c r="I570" s="26"/>
      <c r="J570" s="26"/>
      <c r="L570" t="s">
        <v>265</v>
      </c>
      <c r="M570" s="134"/>
      <c r="N570" s="31"/>
      <c r="O570" s="39"/>
      <c r="P570" s="31"/>
    </row>
    <row r="571" spans="3:16" x14ac:dyDescent="0.35">
      <c r="M571" s="134"/>
      <c r="N571" s="31"/>
      <c r="O571" s="39"/>
      <c r="P571" s="31"/>
    </row>
    <row r="572" spans="3:16" x14ac:dyDescent="0.35">
      <c r="M572" s="134"/>
      <c r="N572" s="31"/>
      <c r="O572" s="39"/>
      <c r="P572" s="31"/>
    </row>
    <row r="573" spans="3:16" x14ac:dyDescent="0.35">
      <c r="M573" s="31"/>
      <c r="N573" s="31"/>
      <c r="O573" s="31"/>
      <c r="P573" s="31"/>
    </row>
    <row r="574" spans="3:16" x14ac:dyDescent="0.35">
      <c r="M574" s="31"/>
      <c r="N574" s="31"/>
      <c r="O574" s="31"/>
      <c r="P574" s="31"/>
    </row>
    <row r="575" spans="3:16" x14ac:dyDescent="0.35">
      <c r="C575" s="287" t="s">
        <v>259</v>
      </c>
      <c r="D575" s="288"/>
      <c r="E575" s="288"/>
      <c r="F575" s="289" t="s">
        <v>6</v>
      </c>
      <c r="G575" s="289"/>
      <c r="H575" s="290" t="s">
        <v>15</v>
      </c>
      <c r="I575" s="290"/>
      <c r="J575" s="290"/>
      <c r="M575" s="31"/>
      <c r="N575" s="31"/>
      <c r="O575" s="31"/>
      <c r="P575" s="31"/>
    </row>
    <row r="576" spans="3:16" x14ac:dyDescent="0.35">
      <c r="C576" s="12" t="s">
        <v>7</v>
      </c>
      <c r="D576" s="12" t="s">
        <v>16</v>
      </c>
      <c r="E576" s="125" t="s">
        <v>8</v>
      </c>
      <c r="F576" s="7" t="s">
        <v>10</v>
      </c>
      <c r="G576" s="7" t="s">
        <v>9</v>
      </c>
      <c r="H576" s="8" t="s">
        <v>10</v>
      </c>
      <c r="I576" s="8" t="s">
        <v>9</v>
      </c>
      <c r="J576" s="8" t="s">
        <v>20</v>
      </c>
      <c r="L576" s="1" t="s">
        <v>32</v>
      </c>
    </row>
    <row r="577" spans="3:12" ht="15.5" x14ac:dyDescent="0.35">
      <c r="C577" s="136" t="s">
        <v>243</v>
      </c>
      <c r="D577" s="26" t="s">
        <v>234</v>
      </c>
      <c r="E577" s="18">
        <v>2012</v>
      </c>
      <c r="F577" s="26">
        <v>5</v>
      </c>
      <c r="G577" s="26"/>
      <c r="H577" s="26"/>
      <c r="I577" s="26"/>
      <c r="J577" s="26"/>
      <c r="L577" t="s">
        <v>265</v>
      </c>
    </row>
    <row r="581" spans="3:12" x14ac:dyDescent="0.35">
      <c r="C581" s="31"/>
    </row>
    <row r="582" spans="3:12" x14ac:dyDescent="0.35">
      <c r="C582" s="31"/>
    </row>
    <row r="583" spans="3:12" x14ac:dyDescent="0.35">
      <c r="C583" s="31"/>
    </row>
    <row r="584" spans="3:12" x14ac:dyDescent="0.35">
      <c r="C584" s="287" t="s">
        <v>260</v>
      </c>
      <c r="D584" s="288"/>
      <c r="E584" s="288"/>
      <c r="F584" s="289" t="s">
        <v>6</v>
      </c>
      <c r="G584" s="289"/>
      <c r="H584" s="290" t="s">
        <v>15</v>
      </c>
      <c r="I584" s="290"/>
      <c r="J584" s="290"/>
    </row>
    <row r="585" spans="3:12" x14ac:dyDescent="0.35">
      <c r="C585" s="12" t="s">
        <v>7</v>
      </c>
      <c r="D585" s="12" t="s">
        <v>16</v>
      </c>
      <c r="E585" s="125" t="s">
        <v>8</v>
      </c>
      <c r="F585" s="7" t="s">
        <v>10</v>
      </c>
      <c r="G585" s="7" t="s">
        <v>9</v>
      </c>
      <c r="H585" s="8" t="s">
        <v>10</v>
      </c>
      <c r="I585" s="8" t="s">
        <v>9</v>
      </c>
      <c r="J585" s="8" t="s">
        <v>20</v>
      </c>
      <c r="L585" s="1" t="s">
        <v>32</v>
      </c>
    </row>
    <row r="586" spans="3:12" ht="15.5" x14ac:dyDescent="0.35">
      <c r="C586" s="136" t="s">
        <v>264</v>
      </c>
      <c r="D586" s="26" t="s">
        <v>234</v>
      </c>
      <c r="E586" s="18">
        <v>2012</v>
      </c>
      <c r="F586" s="26">
        <v>-5</v>
      </c>
      <c r="G586" s="26">
        <v>9</v>
      </c>
      <c r="H586" s="26"/>
      <c r="I586" s="26"/>
      <c r="J586" s="26"/>
      <c r="L586" t="s">
        <v>265</v>
      </c>
    </row>
    <row r="587" spans="3:12" ht="15.5" x14ac:dyDescent="0.35">
      <c r="C587" s="138" t="s">
        <v>264</v>
      </c>
      <c r="D587" s="25" t="s">
        <v>234</v>
      </c>
      <c r="E587" s="21">
        <v>2012</v>
      </c>
      <c r="F587" s="25">
        <v>5.8</v>
      </c>
      <c r="G587" s="25">
        <v>13</v>
      </c>
      <c r="H587" s="25"/>
      <c r="I587" s="25"/>
      <c r="J587" s="25"/>
    </row>
    <row r="591" spans="3:12" x14ac:dyDescent="0.35">
      <c r="C591" s="287" t="s">
        <v>261</v>
      </c>
      <c r="D591" s="288"/>
      <c r="E591" s="288"/>
      <c r="F591" s="289" t="s">
        <v>6</v>
      </c>
      <c r="G591" s="289"/>
      <c r="H591" s="290" t="s">
        <v>15</v>
      </c>
      <c r="I591" s="290"/>
      <c r="J591" s="290"/>
    </row>
    <row r="592" spans="3:12" x14ac:dyDescent="0.35">
      <c r="C592" s="12" t="s">
        <v>7</v>
      </c>
      <c r="D592" s="12" t="s">
        <v>16</v>
      </c>
      <c r="E592" s="125" t="s">
        <v>8</v>
      </c>
      <c r="F592" s="7" t="s">
        <v>10</v>
      </c>
      <c r="G592" s="7" t="s">
        <v>9</v>
      </c>
      <c r="H592" s="8" t="s">
        <v>10</v>
      </c>
      <c r="I592" s="8" t="s">
        <v>9</v>
      </c>
      <c r="J592" s="8" t="s">
        <v>20</v>
      </c>
      <c r="L592" s="1" t="s">
        <v>32</v>
      </c>
    </row>
    <row r="593" spans="3:12" ht="15.5" x14ac:dyDescent="0.35">
      <c r="C593" s="136" t="s">
        <v>263</v>
      </c>
      <c r="D593" s="26" t="s">
        <v>234</v>
      </c>
      <c r="E593" s="18">
        <v>2012</v>
      </c>
      <c r="F593" s="26">
        <v>5</v>
      </c>
      <c r="G593" s="26">
        <v>15</v>
      </c>
      <c r="H593" s="26"/>
      <c r="I593" s="26"/>
      <c r="J593" s="26"/>
      <c r="L593" t="s">
        <v>265</v>
      </c>
    </row>
    <row r="597" spans="3:12" x14ac:dyDescent="0.35">
      <c r="C597" s="287" t="s">
        <v>262</v>
      </c>
      <c r="D597" s="288"/>
      <c r="E597" s="288"/>
      <c r="F597" s="289" t="s">
        <v>6</v>
      </c>
      <c r="G597" s="289"/>
      <c r="H597" s="290" t="s">
        <v>15</v>
      </c>
      <c r="I597" s="290"/>
      <c r="J597" s="290"/>
    </row>
    <row r="598" spans="3:12" x14ac:dyDescent="0.35">
      <c r="C598" s="12" t="s">
        <v>7</v>
      </c>
      <c r="D598" s="12" t="s">
        <v>16</v>
      </c>
      <c r="E598" s="125" t="s">
        <v>8</v>
      </c>
      <c r="F598" s="7" t="s">
        <v>10</v>
      </c>
      <c r="G598" s="7" t="s">
        <v>9</v>
      </c>
      <c r="H598" s="8" t="s">
        <v>10</v>
      </c>
      <c r="I598" s="8" t="s">
        <v>9</v>
      </c>
      <c r="J598" s="8" t="s">
        <v>20</v>
      </c>
      <c r="L598" s="1" t="s">
        <v>32</v>
      </c>
    </row>
    <row r="599" spans="3:12" ht="15.5" x14ac:dyDescent="0.35">
      <c r="C599" s="137" t="s">
        <v>263</v>
      </c>
      <c r="D599" s="26" t="s">
        <v>234</v>
      </c>
      <c r="E599" s="18">
        <v>2012</v>
      </c>
      <c r="F599" s="26">
        <v>5</v>
      </c>
      <c r="G599" s="26">
        <v>15</v>
      </c>
      <c r="H599" s="26"/>
      <c r="I599" s="26"/>
      <c r="J599" s="26"/>
      <c r="L599" t="s">
        <v>265</v>
      </c>
    </row>
  </sheetData>
  <sortState ref="C133:J142">
    <sortCondition ref="E133:E142"/>
  </sortState>
  <mergeCells count="224">
    <mergeCell ref="C434:E434"/>
    <mergeCell ref="H364:J364"/>
    <mergeCell ref="C374:J374"/>
    <mergeCell ref="C407:E407"/>
    <mergeCell ref="C364:E364"/>
    <mergeCell ref="F364:G364"/>
    <mergeCell ref="F381:G381"/>
    <mergeCell ref="H376:J376"/>
    <mergeCell ref="E484:G484"/>
    <mergeCell ref="H381:J381"/>
    <mergeCell ref="C386:E386"/>
    <mergeCell ref="F386:G386"/>
    <mergeCell ref="H386:J386"/>
    <mergeCell ref="C418:E418"/>
    <mergeCell ref="F418:G418"/>
    <mergeCell ref="H418:J418"/>
    <mergeCell ref="C396:E396"/>
    <mergeCell ref="F396:G396"/>
    <mergeCell ref="H396:J396"/>
    <mergeCell ref="C402:E402"/>
    <mergeCell ref="F402:G402"/>
    <mergeCell ref="H402:J402"/>
    <mergeCell ref="F407:G407"/>
    <mergeCell ref="C376:E376"/>
    <mergeCell ref="F544:G544"/>
    <mergeCell ref="H544:J544"/>
    <mergeCell ref="F525:G525"/>
    <mergeCell ref="H525:J525"/>
    <mergeCell ref="C531:E531"/>
    <mergeCell ref="F531:G531"/>
    <mergeCell ref="H531:J531"/>
    <mergeCell ref="C536:E536"/>
    <mergeCell ref="F536:G536"/>
    <mergeCell ref="H536:J536"/>
    <mergeCell ref="C542:D542"/>
    <mergeCell ref="C544:E544"/>
    <mergeCell ref="B79:B81"/>
    <mergeCell ref="B161:B163"/>
    <mergeCell ref="F161:G161"/>
    <mergeCell ref="H161:J161"/>
    <mergeCell ref="C207:E207"/>
    <mergeCell ref="F207:G207"/>
    <mergeCell ref="H207:J207"/>
    <mergeCell ref="C182:E182"/>
    <mergeCell ref="F182:G182"/>
    <mergeCell ref="H182:J182"/>
    <mergeCell ref="C112:J112"/>
    <mergeCell ref="C97:E97"/>
    <mergeCell ref="C102:E102"/>
    <mergeCell ref="C106:E106"/>
    <mergeCell ref="C145:E145"/>
    <mergeCell ref="F145:G145"/>
    <mergeCell ref="H145:J145"/>
    <mergeCell ref="C308:E308"/>
    <mergeCell ref="F57:G57"/>
    <mergeCell ref="H57:J57"/>
    <mergeCell ref="H114:J114"/>
    <mergeCell ref="H79:J79"/>
    <mergeCell ref="C241:E241"/>
    <mergeCell ref="F241:G241"/>
    <mergeCell ref="H241:J241"/>
    <mergeCell ref="H226:J226"/>
    <mergeCell ref="C226:E226"/>
    <mergeCell ref="F226:G226"/>
    <mergeCell ref="H97:J97"/>
    <mergeCell ref="F102:G102"/>
    <mergeCell ref="H102:J102"/>
    <mergeCell ref="F106:G106"/>
    <mergeCell ref="H106:J106"/>
    <mergeCell ref="F131:G131"/>
    <mergeCell ref="H131:J131"/>
    <mergeCell ref="C57:E57"/>
    <mergeCell ref="C248:E248"/>
    <mergeCell ref="F248:G248"/>
    <mergeCell ref="H248:J248"/>
    <mergeCell ref="C303:E303"/>
    <mergeCell ref="F308:G308"/>
    <mergeCell ref="H32:J32"/>
    <mergeCell ref="F303:G303"/>
    <mergeCell ref="H303:J303"/>
    <mergeCell ref="C131:E131"/>
    <mergeCell ref="F79:G79"/>
    <mergeCell ref="H92:J92"/>
    <mergeCell ref="F97:G97"/>
    <mergeCell ref="F434:G434"/>
    <mergeCell ref="H434:J434"/>
    <mergeCell ref="C263:E263"/>
    <mergeCell ref="F263:G263"/>
    <mergeCell ref="H263:J263"/>
    <mergeCell ref="H318:J318"/>
    <mergeCell ref="C337:J337"/>
    <mergeCell ref="C339:E339"/>
    <mergeCell ref="F339:G339"/>
    <mergeCell ref="H339:J339"/>
    <mergeCell ref="C344:E344"/>
    <mergeCell ref="H308:J308"/>
    <mergeCell ref="C313:E313"/>
    <mergeCell ref="F313:G313"/>
    <mergeCell ref="H313:J313"/>
    <mergeCell ref="C318:E318"/>
    <mergeCell ref="F318:G318"/>
    <mergeCell ref="C354:E354"/>
    <mergeCell ref="F354:G354"/>
    <mergeCell ref="H354:J354"/>
    <mergeCell ref="B19:D19"/>
    <mergeCell ref="B116:B136"/>
    <mergeCell ref="B184:B197"/>
    <mergeCell ref="B209:B222"/>
    <mergeCell ref="C161:E161"/>
    <mergeCell ref="C79:E79"/>
    <mergeCell ref="B147:B152"/>
    <mergeCell ref="C32:E32"/>
    <mergeCell ref="C50:E50"/>
    <mergeCell ref="B32:B36"/>
    <mergeCell ref="B41:B46"/>
    <mergeCell ref="B50:B53"/>
    <mergeCell ref="C114:E114"/>
    <mergeCell ref="C41:E41"/>
    <mergeCell ref="B59:B74"/>
    <mergeCell ref="C30:J30"/>
    <mergeCell ref="F32:G32"/>
    <mergeCell ref="F50:G50"/>
    <mergeCell ref="F114:G114"/>
    <mergeCell ref="F41:G41"/>
    <mergeCell ref="H328:J328"/>
    <mergeCell ref="C359:E359"/>
    <mergeCell ref="F359:G359"/>
    <mergeCell ref="H359:J359"/>
    <mergeCell ref="H41:J41"/>
    <mergeCell ref="H50:J50"/>
    <mergeCell ref="F344:G344"/>
    <mergeCell ref="H344:J344"/>
    <mergeCell ref="C349:E349"/>
    <mergeCell ref="F349:G349"/>
    <mergeCell ref="H349:J349"/>
    <mergeCell ref="C85:J85"/>
    <mergeCell ref="C87:E87"/>
    <mergeCell ref="F87:G87"/>
    <mergeCell ref="H87:J87"/>
    <mergeCell ref="C92:E92"/>
    <mergeCell ref="F92:G92"/>
    <mergeCell ref="C295:J295"/>
    <mergeCell ref="C297:E297"/>
    <mergeCell ref="F297:G297"/>
    <mergeCell ref="H297:J297"/>
    <mergeCell ref="F323:G323"/>
    <mergeCell ref="H323:J323"/>
    <mergeCell ref="C328:E328"/>
    <mergeCell ref="F328:G328"/>
    <mergeCell ref="B14:D14"/>
    <mergeCell ref="C439:E439"/>
    <mergeCell ref="F439:G439"/>
    <mergeCell ref="H439:J439"/>
    <mergeCell ref="B85:B108"/>
    <mergeCell ref="H407:J407"/>
    <mergeCell ref="C449:E449"/>
    <mergeCell ref="F449:G449"/>
    <mergeCell ref="H449:J449"/>
    <mergeCell ref="C425:E425"/>
    <mergeCell ref="F425:G425"/>
    <mergeCell ref="H425:J425"/>
    <mergeCell ref="C444:E444"/>
    <mergeCell ref="F444:G444"/>
    <mergeCell ref="H444:J444"/>
    <mergeCell ref="C412:E412"/>
    <mergeCell ref="F412:G412"/>
    <mergeCell ref="H412:J412"/>
    <mergeCell ref="C432:J432"/>
    <mergeCell ref="C391:E391"/>
    <mergeCell ref="F391:G391"/>
    <mergeCell ref="H391:J391"/>
    <mergeCell ref="C381:E381"/>
    <mergeCell ref="C323:E323"/>
    <mergeCell ref="F376:G376"/>
    <mergeCell ref="E566:G566"/>
    <mergeCell ref="C575:E575"/>
    <mergeCell ref="F575:G575"/>
    <mergeCell ref="H575:J575"/>
    <mergeCell ref="C568:E568"/>
    <mergeCell ref="F568:G568"/>
    <mergeCell ref="H568:J568"/>
    <mergeCell ref="E554:G554"/>
    <mergeCell ref="C555:E555"/>
    <mergeCell ref="F555:G555"/>
    <mergeCell ref="H555:J555"/>
    <mergeCell ref="C562:E562"/>
    <mergeCell ref="F562:G562"/>
    <mergeCell ref="H562:J562"/>
    <mergeCell ref="C456:E456"/>
    <mergeCell ref="F456:G456"/>
    <mergeCell ref="H456:J456"/>
    <mergeCell ref="C461:E461"/>
    <mergeCell ref="F461:G461"/>
    <mergeCell ref="H461:J461"/>
    <mergeCell ref="C466:E466"/>
    <mergeCell ref="F466:G466"/>
    <mergeCell ref="H466:J466"/>
    <mergeCell ref="C584:E584"/>
    <mergeCell ref="F584:G584"/>
    <mergeCell ref="H584:J584"/>
    <mergeCell ref="C591:E591"/>
    <mergeCell ref="F591:G591"/>
    <mergeCell ref="H591:J591"/>
    <mergeCell ref="C597:E597"/>
    <mergeCell ref="F597:G597"/>
    <mergeCell ref="H597:J597"/>
    <mergeCell ref="C501:E501"/>
    <mergeCell ref="F501:G501"/>
    <mergeCell ref="H501:J501"/>
    <mergeCell ref="C489:E489"/>
    <mergeCell ref="F489:G489"/>
    <mergeCell ref="H489:J489"/>
    <mergeCell ref="C495:E495"/>
    <mergeCell ref="F495:G495"/>
    <mergeCell ref="H495:J495"/>
    <mergeCell ref="G507:H507"/>
    <mergeCell ref="C507:E507"/>
    <mergeCell ref="C510:E510"/>
    <mergeCell ref="F510:G510"/>
    <mergeCell ref="H510:J510"/>
    <mergeCell ref="C518:E518"/>
    <mergeCell ref="F518:G518"/>
    <mergeCell ref="H518:J518"/>
    <mergeCell ref="C525:E525"/>
  </mergeCells>
  <phoneticPr fontId="14" type="noConversion"/>
  <conditionalFormatting sqref="F116:F1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39 F127:F1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39" r:id="rId1" display="https://www.engadget.com/2020/01/07/velodyne-velabit-ces-2020/?guccounter=1&amp;guce_referrer=aHR0cHM6Ly93d3cuZ29vZ2xlLmNvbS91cmw_c2E9dCZyY3Q9aiZxPSZlc3JjPXMmc291cmNlPXdlYiZjZD0xJnZlZD0yYWhVS0V3aUs1Tkt0OGRYbkFoVklkY0FLSGZUUkEzd1FGakFBZWdRSUJSQUImdXJsPWh0dHBzJTNBJTJGJTJGd3d3LmVuZ2FkZ2V0LmNvbSUyRjIwMjAlMkYwMSUyRjA3JTJGdmVsb2R5bmUtdmVsYWJpdC1jZXMtMjAyMCUyRiZ1c2c9QU92VmF3MzAzUWJuSzZaMFFmS19MZGpIc3RIWg&amp;guce_referrer_sig=AQAAAIM4_Ud8C7B1r-pjNC-2jLQeNwhkgim0hsmlfbqwLiweD0iVplAdTFCZtQ4pNZEVyfNgqs7HA9ehRBGOliZAMgP3r1ZgAIB9xPV1vZaOg1UDSlD9X1mNMhEQvfQ6tu75F9_db3bAnxo66xaEebiVcBJqrQTjn30861R7NQ7ynEIe" xr:uid="{32B6A7BC-1A22-47BA-ADDC-29A85B815BCE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838-D54A-4D11-8E29-F961521747E0}">
  <dimension ref="C4:L14"/>
  <sheetViews>
    <sheetView workbookViewId="0">
      <selection activeCell="J14" sqref="J14"/>
    </sheetView>
  </sheetViews>
  <sheetFormatPr baseColWidth="10" defaultRowHeight="14.5" x14ac:dyDescent="0.35"/>
  <cols>
    <col min="6" max="6" width="12.6328125" customWidth="1"/>
    <col min="11" max="11" width="11.08984375" bestFit="1" customWidth="1"/>
  </cols>
  <sheetData>
    <row r="4" spans="3:12" x14ac:dyDescent="0.35">
      <c r="C4" s="117" t="s">
        <v>227</v>
      </c>
      <c r="D4" s="117"/>
      <c r="E4" s="117"/>
    </row>
    <row r="6" spans="3:12" x14ac:dyDescent="0.35">
      <c r="C6" t="s">
        <v>224</v>
      </c>
      <c r="D6">
        <v>205</v>
      </c>
      <c r="E6" s="118" t="s">
        <v>233</v>
      </c>
    </row>
    <row r="7" spans="3:12" x14ac:dyDescent="0.35">
      <c r="C7" t="s">
        <v>225</v>
      </c>
      <c r="D7">
        <v>55</v>
      </c>
      <c r="E7" s="118" t="s">
        <v>234</v>
      </c>
    </row>
    <row r="8" spans="3:12" x14ac:dyDescent="0.35">
      <c r="C8" t="s">
        <v>226</v>
      </c>
      <c r="D8">
        <v>16</v>
      </c>
      <c r="E8" s="118" t="s">
        <v>235</v>
      </c>
    </row>
    <row r="10" spans="3:12" x14ac:dyDescent="0.35">
      <c r="F10" t="s">
        <v>231</v>
      </c>
      <c r="G10" t="s">
        <v>236</v>
      </c>
      <c r="H10" s="119" t="s">
        <v>237</v>
      </c>
      <c r="I10" t="s">
        <v>239</v>
      </c>
      <c r="J10" t="s">
        <v>240</v>
      </c>
      <c r="K10" t="s">
        <v>238</v>
      </c>
      <c r="L10" t="s">
        <v>241</v>
      </c>
    </row>
    <row r="11" spans="3:12" x14ac:dyDescent="0.35">
      <c r="C11" t="s">
        <v>228</v>
      </c>
      <c r="F11" t="s">
        <v>232</v>
      </c>
      <c r="G11" s="119">
        <f>0.55281/2</f>
        <v>0.27640500000000001</v>
      </c>
      <c r="H11" s="119">
        <f>-0.9364/2</f>
        <v>-0.46820000000000001</v>
      </c>
      <c r="I11">
        <f>((D6*D7*0.01)*2+D8*25.4)*0.001</f>
        <v>0.63190000000000002</v>
      </c>
      <c r="J11">
        <f>D6</f>
        <v>205</v>
      </c>
      <c r="K11" s="120">
        <f>I11*J11*G11+H11</f>
        <v>35.337165497500003</v>
      </c>
      <c r="L11" t="s">
        <v>242</v>
      </c>
    </row>
    <row r="13" spans="3:12" x14ac:dyDescent="0.35">
      <c r="G13" t="s">
        <v>229</v>
      </c>
      <c r="H13" s="121">
        <v>0.42799999999999999</v>
      </c>
      <c r="I13" t="s">
        <v>230</v>
      </c>
      <c r="J13" s="121">
        <v>0.57199999999999995</v>
      </c>
    </row>
    <row r="14" spans="3:12" x14ac:dyDescent="0.35">
      <c r="H14">
        <f>K11*H13</f>
        <v>15.124306832930001</v>
      </c>
      <c r="J14">
        <f>K11*J13</f>
        <v>20.21285866457</v>
      </c>
      <c r="L14" t="s">
        <v>242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B6A4-0BE0-4647-85CC-8194D7934315}">
  <dimension ref="A8:Y113"/>
  <sheetViews>
    <sheetView zoomScale="70" zoomScaleNormal="70" workbookViewId="0">
      <selection activeCell="H12" sqref="H12"/>
    </sheetView>
  </sheetViews>
  <sheetFormatPr baseColWidth="10" defaultColWidth="10.6328125" defaultRowHeight="14.5" x14ac:dyDescent="0.35"/>
  <cols>
    <col min="1" max="1" width="10.6328125" style="38"/>
    <col min="2" max="2" width="4.54296875" style="38" customWidth="1"/>
    <col min="3" max="3" width="16.54296875" style="38" customWidth="1"/>
    <col min="4" max="4" width="13.54296875" style="38" bestFit="1" customWidth="1"/>
    <col min="5" max="5" width="13.1796875" style="38" bestFit="1" customWidth="1"/>
    <col min="6" max="6" width="10.6328125" style="38"/>
    <col min="7" max="7" width="11.81640625" style="38" customWidth="1"/>
    <col min="8" max="10" width="10.6328125" style="38"/>
    <col min="11" max="11" width="14.1796875" style="38" customWidth="1"/>
    <col min="12" max="12" width="5.90625" style="38" customWidth="1"/>
    <col min="13" max="13" width="17.81640625" style="38" customWidth="1"/>
    <col min="14" max="14" width="12.453125" style="38" customWidth="1"/>
    <col min="15" max="16" width="10.6328125" style="38"/>
    <col min="17" max="17" width="16.36328125" style="38" customWidth="1"/>
    <col min="18" max="16384" width="10.6328125" style="38"/>
  </cols>
  <sheetData>
    <row r="8" spans="3:18" ht="26" x14ac:dyDescent="0.35">
      <c r="C8" s="55" t="s">
        <v>98</v>
      </c>
      <c r="F8" s="312" t="s">
        <v>255</v>
      </c>
      <c r="G8" s="312"/>
      <c r="H8" s="38">
        <v>122</v>
      </c>
    </row>
    <row r="9" spans="3:18" x14ac:dyDescent="0.35">
      <c r="M9" s="56" t="s">
        <v>129</v>
      </c>
    </row>
    <row r="10" spans="3:18" x14ac:dyDescent="0.35">
      <c r="C10" s="56" t="s">
        <v>128</v>
      </c>
    </row>
    <row r="12" spans="3:18" x14ac:dyDescent="0.35">
      <c r="C12" s="310" t="s">
        <v>102</v>
      </c>
      <c r="D12" s="310"/>
      <c r="F12" s="309" t="s">
        <v>99</v>
      </c>
      <c r="G12" s="309"/>
      <c r="H12" s="38">
        <f>SUM(G15:G23)</f>
        <v>0.91353699999999993</v>
      </c>
      <c r="I12" s="38" t="s">
        <v>101</v>
      </c>
    </row>
    <row r="13" spans="3:18" x14ac:dyDescent="0.35">
      <c r="H13" s="36"/>
      <c r="I13" s="36"/>
      <c r="J13" s="36"/>
    </row>
    <row r="14" spans="3:18" x14ac:dyDescent="0.35">
      <c r="C14" s="57" t="s">
        <v>97</v>
      </c>
      <c r="D14" s="309" t="s">
        <v>99</v>
      </c>
      <c r="E14" s="309"/>
      <c r="F14" s="57" t="s">
        <v>100</v>
      </c>
      <c r="H14" s="58" t="s">
        <v>115</v>
      </c>
      <c r="I14" s="36"/>
      <c r="J14" s="36"/>
      <c r="M14" s="57" t="s">
        <v>130</v>
      </c>
      <c r="N14" s="309" t="s">
        <v>99</v>
      </c>
      <c r="O14" s="309"/>
      <c r="P14" s="57" t="s">
        <v>100</v>
      </c>
      <c r="R14" s="58" t="s">
        <v>115</v>
      </c>
    </row>
    <row r="15" spans="3:18" x14ac:dyDescent="0.35">
      <c r="C15" s="35" t="s">
        <v>95</v>
      </c>
      <c r="D15" s="35">
        <v>0.94499999999999995</v>
      </c>
      <c r="E15" s="36" t="s">
        <v>101</v>
      </c>
      <c r="F15" s="37">
        <v>9.2999999999999999E-2</v>
      </c>
      <c r="G15" s="38">
        <f>D15*F15</f>
        <v>8.7884999999999991E-2</v>
      </c>
      <c r="H15" s="43" t="s">
        <v>80</v>
      </c>
      <c r="I15" s="36"/>
      <c r="J15" s="36"/>
      <c r="M15" s="38" t="s">
        <v>131</v>
      </c>
      <c r="N15" s="38">
        <v>3.5</v>
      </c>
      <c r="O15" s="38" t="s">
        <v>101</v>
      </c>
      <c r="R15" s="59" t="s">
        <v>125</v>
      </c>
    </row>
    <row r="16" spans="3:18" x14ac:dyDescent="0.35">
      <c r="C16" s="35" t="s">
        <v>96</v>
      </c>
      <c r="D16" s="35">
        <v>1.075</v>
      </c>
      <c r="E16" s="36" t="s">
        <v>101</v>
      </c>
      <c r="F16" s="37">
        <v>0.1</v>
      </c>
      <c r="G16" s="130">
        <f t="shared" ref="G16:G23" si="0">D16*F16</f>
        <v>0.1075</v>
      </c>
      <c r="H16" s="43" t="s">
        <v>81</v>
      </c>
      <c r="I16" s="36"/>
      <c r="J16" s="36"/>
    </row>
    <row r="17" spans="3:19" x14ac:dyDescent="0.35">
      <c r="C17" s="35" t="s">
        <v>88</v>
      </c>
      <c r="D17" s="35">
        <v>0.93</v>
      </c>
      <c r="E17" s="36" t="s">
        <v>101</v>
      </c>
      <c r="F17" s="37">
        <v>0.11799999999999999</v>
      </c>
      <c r="G17" s="130">
        <f t="shared" si="0"/>
        <v>0.10974</v>
      </c>
      <c r="H17" s="43" t="s">
        <v>81</v>
      </c>
      <c r="I17" s="36"/>
      <c r="J17" s="36"/>
    </row>
    <row r="18" spans="3:19" x14ac:dyDescent="0.35">
      <c r="C18" s="35" t="s">
        <v>89</v>
      </c>
      <c r="D18" s="35">
        <v>0.97</v>
      </c>
      <c r="E18" s="36" t="s">
        <v>101</v>
      </c>
      <c r="F18" s="37">
        <v>9.5000000000000001E-2</v>
      </c>
      <c r="G18" s="130">
        <f t="shared" si="0"/>
        <v>9.2149999999999996E-2</v>
      </c>
      <c r="H18" s="43" t="s">
        <v>81</v>
      </c>
      <c r="I18" s="36"/>
      <c r="J18" s="36"/>
      <c r="L18" s="311" t="s">
        <v>123</v>
      </c>
      <c r="M18" s="310" t="s">
        <v>132</v>
      </c>
      <c r="N18" s="310"/>
      <c r="P18" s="309" t="s">
        <v>99</v>
      </c>
      <c r="Q18" s="309"/>
      <c r="R18" s="42">
        <v>1.39</v>
      </c>
      <c r="S18" s="43" t="s">
        <v>101</v>
      </c>
    </row>
    <row r="19" spans="3:19" x14ac:dyDescent="0.35">
      <c r="C19" s="35" t="s">
        <v>90</v>
      </c>
      <c r="D19" s="35">
        <v>0.93</v>
      </c>
      <c r="E19" s="36" t="s">
        <v>101</v>
      </c>
      <c r="F19" s="37">
        <v>0.11</v>
      </c>
      <c r="G19" s="130">
        <f t="shared" si="0"/>
        <v>0.1023</v>
      </c>
      <c r="H19" s="43" t="s">
        <v>81</v>
      </c>
      <c r="I19" s="36"/>
      <c r="J19" s="36"/>
      <c r="L19" s="311"/>
      <c r="R19" s="36"/>
      <c r="S19" s="36"/>
    </row>
    <row r="20" spans="3:19" x14ac:dyDescent="0.35">
      <c r="C20" s="35" t="s">
        <v>91</v>
      </c>
      <c r="D20" s="35">
        <v>0.82</v>
      </c>
      <c r="E20" s="36" t="s">
        <v>101</v>
      </c>
      <c r="F20" s="37">
        <v>0.32700000000000001</v>
      </c>
      <c r="G20" s="130">
        <f t="shared" si="0"/>
        <v>0.26813999999999999</v>
      </c>
      <c r="H20" s="43" t="s">
        <v>81</v>
      </c>
      <c r="I20" s="36"/>
      <c r="J20" s="36"/>
      <c r="L20" s="311"/>
      <c r="M20" s="57" t="s">
        <v>133</v>
      </c>
      <c r="N20" s="309" t="s">
        <v>122</v>
      </c>
      <c r="O20" s="309"/>
      <c r="P20" s="57" t="s">
        <v>100</v>
      </c>
      <c r="R20" s="58" t="s">
        <v>115</v>
      </c>
      <c r="S20" s="36"/>
    </row>
    <row r="21" spans="3:19" x14ac:dyDescent="0.35">
      <c r="C21" s="35" t="s">
        <v>92</v>
      </c>
      <c r="D21" s="35">
        <v>0.83199999999999996</v>
      </c>
      <c r="E21" s="36" t="s">
        <v>101</v>
      </c>
      <c r="F21" s="37">
        <v>2.5999999999999999E-2</v>
      </c>
      <c r="G21" s="130">
        <f t="shared" si="0"/>
        <v>2.1631999999999998E-2</v>
      </c>
      <c r="H21" s="43" t="s">
        <v>81</v>
      </c>
      <c r="I21" s="36"/>
      <c r="J21" s="36"/>
      <c r="L21" s="311"/>
      <c r="M21" s="43" t="s">
        <v>134</v>
      </c>
      <c r="N21" s="43">
        <f>D44*4.2</f>
        <v>5.8380000000000001</v>
      </c>
      <c r="O21" s="38" t="s">
        <v>101</v>
      </c>
      <c r="R21" s="43" t="s">
        <v>126</v>
      </c>
    </row>
    <row r="22" spans="3:19" x14ac:dyDescent="0.35">
      <c r="C22" s="35" t="s">
        <v>93</v>
      </c>
      <c r="D22" s="35">
        <v>0.93</v>
      </c>
      <c r="E22" s="36" t="s">
        <v>101</v>
      </c>
      <c r="F22" s="37">
        <v>1.2999999999999999E-2</v>
      </c>
      <c r="G22" s="130">
        <f t="shared" si="0"/>
        <v>1.209E-2</v>
      </c>
      <c r="H22" s="43" t="s">
        <v>80</v>
      </c>
      <c r="I22" s="36"/>
      <c r="J22" s="36"/>
      <c r="L22" s="311"/>
      <c r="M22" s="43"/>
      <c r="N22" s="43"/>
    </row>
    <row r="23" spans="3:19" x14ac:dyDescent="0.35">
      <c r="C23" s="38" t="s">
        <v>94</v>
      </c>
      <c r="D23" s="38">
        <v>0.95</v>
      </c>
      <c r="E23" s="36" t="s">
        <v>101</v>
      </c>
      <c r="F23" s="37">
        <v>0.11799999999999999</v>
      </c>
      <c r="G23" s="130">
        <f t="shared" si="0"/>
        <v>0.11209999999999999</v>
      </c>
      <c r="H23" s="43" t="s">
        <v>81</v>
      </c>
      <c r="I23" s="36"/>
      <c r="L23" s="311"/>
      <c r="M23" s="43"/>
      <c r="N23" s="43"/>
    </row>
    <row r="24" spans="3:19" x14ac:dyDescent="0.35">
      <c r="F24" s="60"/>
      <c r="H24" s="61"/>
      <c r="L24" s="311"/>
      <c r="M24" s="43"/>
      <c r="N24" s="43"/>
    </row>
    <row r="25" spans="3:19" x14ac:dyDescent="0.35">
      <c r="L25" s="311"/>
      <c r="M25" s="43"/>
      <c r="N25" s="43"/>
    </row>
    <row r="26" spans="3:19" x14ac:dyDescent="0.35">
      <c r="L26" s="311"/>
      <c r="M26" s="43"/>
      <c r="N26" s="43"/>
    </row>
    <row r="27" spans="3:19" x14ac:dyDescent="0.35">
      <c r="C27" s="310" t="s">
        <v>110</v>
      </c>
      <c r="D27" s="310"/>
      <c r="F27" s="309" t="s">
        <v>99</v>
      </c>
      <c r="G27" s="309"/>
      <c r="H27" s="38">
        <f>SUM(G30:G38)</f>
        <v>0.85283799999999998</v>
      </c>
      <c r="I27" s="38" t="s">
        <v>101</v>
      </c>
      <c r="L27" s="311"/>
      <c r="M27" s="310" t="s">
        <v>132</v>
      </c>
      <c r="N27" s="310"/>
      <c r="P27" s="309" t="s">
        <v>99</v>
      </c>
      <c r="Q27" s="309"/>
      <c r="R27" s="42">
        <v>1.39</v>
      </c>
      <c r="S27" s="43" t="s">
        <v>101</v>
      </c>
    </row>
    <row r="28" spans="3:19" x14ac:dyDescent="0.35">
      <c r="H28" s="36"/>
      <c r="I28" s="36"/>
      <c r="L28" s="311"/>
      <c r="R28" s="36"/>
    </row>
    <row r="29" spans="3:19" x14ac:dyDescent="0.35">
      <c r="C29" s="57" t="s">
        <v>97</v>
      </c>
      <c r="D29" s="309" t="s">
        <v>99</v>
      </c>
      <c r="E29" s="309"/>
      <c r="F29" s="57" t="s">
        <v>100</v>
      </c>
      <c r="H29" s="58" t="s">
        <v>115</v>
      </c>
      <c r="I29" s="36"/>
      <c r="L29" s="311"/>
      <c r="M29" s="57" t="s">
        <v>133</v>
      </c>
      <c r="N29" s="309" t="s">
        <v>122</v>
      </c>
      <c r="O29" s="309"/>
      <c r="P29" s="57" t="s">
        <v>100</v>
      </c>
      <c r="R29" s="58" t="s">
        <v>115</v>
      </c>
    </row>
    <row r="30" spans="3:19" x14ac:dyDescent="0.35">
      <c r="C30" s="43" t="s">
        <v>106</v>
      </c>
      <c r="D30" s="42">
        <v>0.86</v>
      </c>
      <c r="E30" s="43" t="s">
        <v>101</v>
      </c>
      <c r="F30" s="37">
        <v>9.2999999999999999E-2</v>
      </c>
      <c r="G30" s="38">
        <f>D30*F30</f>
        <v>7.9979999999999996E-2</v>
      </c>
      <c r="H30" s="43" t="s">
        <v>81</v>
      </c>
      <c r="L30" s="311"/>
      <c r="M30" s="43" t="s">
        <v>135</v>
      </c>
      <c r="N30" s="43">
        <f>D44*4.2</f>
        <v>5.8380000000000001</v>
      </c>
      <c r="O30" s="38" t="s">
        <v>101</v>
      </c>
      <c r="R30" s="62" t="s">
        <v>126</v>
      </c>
    </row>
    <row r="31" spans="3:19" x14ac:dyDescent="0.35">
      <c r="C31" s="43" t="s">
        <v>105</v>
      </c>
      <c r="D31" s="42">
        <v>0.83599999999999997</v>
      </c>
      <c r="E31" s="43" t="s">
        <v>101</v>
      </c>
      <c r="F31" s="37">
        <v>0.218</v>
      </c>
      <c r="G31" s="38">
        <f t="shared" ref="G31:G36" si="1">D31*F31</f>
        <v>0.18224799999999999</v>
      </c>
      <c r="H31" s="43" t="s">
        <v>82</v>
      </c>
      <c r="L31" s="311"/>
      <c r="M31" s="43"/>
      <c r="N31" s="43"/>
    </row>
    <row r="32" spans="3:19" x14ac:dyDescent="0.35">
      <c r="C32" s="43" t="s">
        <v>104</v>
      </c>
      <c r="D32" s="42">
        <v>0.81</v>
      </c>
      <c r="E32" s="43" t="s">
        <v>101</v>
      </c>
      <c r="F32" s="37">
        <v>0.11799999999999999</v>
      </c>
      <c r="G32" s="38">
        <f t="shared" si="1"/>
        <v>9.5579999999999998E-2</v>
      </c>
      <c r="H32" s="43" t="s">
        <v>81</v>
      </c>
      <c r="L32" s="311"/>
      <c r="M32" s="43"/>
      <c r="N32" s="43"/>
    </row>
    <row r="33" spans="2:25" x14ac:dyDescent="0.35">
      <c r="C33" s="43" t="s">
        <v>103</v>
      </c>
      <c r="D33" s="42">
        <v>0.83</v>
      </c>
      <c r="E33" s="43" t="s">
        <v>101</v>
      </c>
      <c r="F33" s="37">
        <v>9.5000000000000001E-2</v>
      </c>
      <c r="G33" s="38">
        <f t="shared" si="1"/>
        <v>7.8850000000000003E-2</v>
      </c>
      <c r="H33" s="43" t="s">
        <v>81</v>
      </c>
      <c r="L33" s="311"/>
      <c r="M33" s="310" t="s">
        <v>136</v>
      </c>
      <c r="N33" s="310"/>
      <c r="P33" s="309" t="s">
        <v>99</v>
      </c>
      <c r="Q33" s="309"/>
    </row>
    <row r="34" spans="2:25" x14ac:dyDescent="0.35">
      <c r="C34" s="43" t="s">
        <v>109</v>
      </c>
      <c r="D34" s="42">
        <v>0.86499999999999999</v>
      </c>
      <c r="E34" s="43" t="s">
        <v>101</v>
      </c>
      <c r="F34" s="37">
        <v>0.11</v>
      </c>
      <c r="G34" s="38">
        <f t="shared" si="1"/>
        <v>9.5149999999999998E-2</v>
      </c>
      <c r="H34" s="43" t="s">
        <v>81</v>
      </c>
      <c r="L34" s="311"/>
    </row>
    <row r="35" spans="2:25" x14ac:dyDescent="0.35">
      <c r="C35" s="43" t="s">
        <v>108</v>
      </c>
      <c r="D35" s="42">
        <v>0.875</v>
      </c>
      <c r="E35" s="43" t="s">
        <v>101</v>
      </c>
      <c r="F35" s="37">
        <v>0.32700000000000001</v>
      </c>
      <c r="G35" s="38">
        <f t="shared" si="1"/>
        <v>0.28612500000000002</v>
      </c>
      <c r="H35" s="43" t="s">
        <v>81</v>
      </c>
      <c r="L35" s="311"/>
      <c r="M35" s="57" t="s">
        <v>133</v>
      </c>
      <c r="N35" s="309" t="s">
        <v>122</v>
      </c>
      <c r="O35" s="309"/>
      <c r="P35" s="57" t="s">
        <v>100</v>
      </c>
      <c r="R35" s="58" t="s">
        <v>115</v>
      </c>
    </row>
    <row r="36" spans="2:25" x14ac:dyDescent="0.35">
      <c r="C36" s="43" t="s">
        <v>107</v>
      </c>
      <c r="D36" s="42">
        <v>0.89500000000000002</v>
      </c>
      <c r="E36" s="43" t="s">
        <v>101</v>
      </c>
      <c r="F36" s="37">
        <v>3.9E-2</v>
      </c>
      <c r="G36" s="38">
        <f t="shared" si="1"/>
        <v>3.4904999999999999E-2</v>
      </c>
      <c r="H36" s="43" t="s">
        <v>81</v>
      </c>
      <c r="L36" s="311"/>
      <c r="M36" s="43" t="s">
        <v>131</v>
      </c>
      <c r="N36" s="43">
        <f>N30*3</f>
        <v>17.513999999999999</v>
      </c>
      <c r="O36" s="38" t="s">
        <v>101</v>
      </c>
      <c r="P36" s="43"/>
      <c r="Q36" s="43"/>
      <c r="R36" s="62" t="s">
        <v>127</v>
      </c>
      <c r="S36" s="43"/>
      <c r="T36" s="43"/>
      <c r="U36" s="43"/>
      <c r="V36" s="43"/>
      <c r="W36" s="43"/>
      <c r="X36" s="43"/>
      <c r="Y36" s="43"/>
    </row>
    <row r="37" spans="2:25" x14ac:dyDescent="0.35">
      <c r="F37" s="37"/>
      <c r="H37" s="61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 spans="2:25" x14ac:dyDescent="0.35">
      <c r="F38" s="37"/>
      <c r="H38" s="61"/>
      <c r="M38" s="43"/>
      <c r="N38" s="63"/>
      <c r="O38" s="63"/>
      <c r="P38" s="43"/>
      <c r="Q38" s="42"/>
      <c r="R38" s="64"/>
      <c r="S38" s="43"/>
      <c r="T38" s="43"/>
      <c r="U38" s="62"/>
      <c r="V38" s="43"/>
      <c r="W38" s="43"/>
      <c r="X38" s="43"/>
      <c r="Y38" s="43"/>
    </row>
    <row r="39" spans="2:25" x14ac:dyDescent="0.35">
      <c r="M39" s="43"/>
      <c r="N39" s="43"/>
      <c r="O39" s="43"/>
      <c r="P39" s="43"/>
      <c r="Q39" s="43"/>
      <c r="R39" s="65"/>
      <c r="S39" s="43"/>
      <c r="T39" s="43"/>
      <c r="U39" s="62"/>
      <c r="V39" s="43"/>
      <c r="W39" s="43"/>
      <c r="X39" s="43"/>
      <c r="Y39" s="43"/>
    </row>
    <row r="40" spans="2:25" x14ac:dyDescent="0.35">
      <c r="M40" s="43"/>
      <c r="N40" s="43"/>
      <c r="O40" s="43"/>
      <c r="P40" s="43"/>
      <c r="Q40" s="43"/>
      <c r="R40" s="65"/>
      <c r="S40" s="43"/>
      <c r="T40" s="43"/>
      <c r="U40" s="62"/>
      <c r="V40" s="43"/>
      <c r="W40" s="43"/>
      <c r="X40" s="43"/>
      <c r="Y40" s="43"/>
    </row>
    <row r="41" spans="2:25" x14ac:dyDescent="0.35">
      <c r="C41" s="310" t="s">
        <v>111</v>
      </c>
      <c r="D41" s="310"/>
      <c r="F41" s="302"/>
      <c r="G41" s="302"/>
      <c r="H41" s="42"/>
      <c r="I41" s="43"/>
      <c r="M41" s="43"/>
      <c r="N41" s="43"/>
      <c r="O41" s="43"/>
      <c r="P41" s="43"/>
      <c r="Q41" s="43"/>
      <c r="R41" s="65"/>
      <c r="S41" s="43"/>
      <c r="T41" s="43"/>
      <c r="U41" s="62"/>
      <c r="V41" s="43"/>
      <c r="W41" s="43"/>
      <c r="X41" s="43"/>
      <c r="Y41" s="43"/>
    </row>
    <row r="42" spans="2:25" x14ac:dyDescent="0.35">
      <c r="M42" s="56" t="s">
        <v>154</v>
      </c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</row>
    <row r="43" spans="2:25" x14ac:dyDescent="0.35">
      <c r="C43" s="57" t="s">
        <v>97</v>
      </c>
      <c r="D43" s="309" t="s">
        <v>122</v>
      </c>
      <c r="E43" s="309"/>
      <c r="F43" s="57" t="s">
        <v>100</v>
      </c>
      <c r="H43" s="58" t="s">
        <v>115</v>
      </c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 spans="2:25" x14ac:dyDescent="0.35">
      <c r="C44" s="38" t="s">
        <v>112</v>
      </c>
      <c r="D44" s="42">
        <v>1.39</v>
      </c>
      <c r="E44" s="43" t="s">
        <v>101</v>
      </c>
      <c r="F44" s="43"/>
      <c r="H44" s="43" t="s">
        <v>81</v>
      </c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spans="2:25" x14ac:dyDescent="0.35">
      <c r="M45" s="302"/>
      <c r="N45" s="302"/>
      <c r="O45" s="43"/>
      <c r="P45" s="309" t="s">
        <v>158</v>
      </c>
      <c r="Q45" s="309"/>
      <c r="R45" s="42">
        <v>1.67</v>
      </c>
      <c r="S45" s="43" t="s">
        <v>101</v>
      </c>
      <c r="T45" s="43"/>
      <c r="U45" s="43"/>
      <c r="V45" s="43"/>
      <c r="W45" s="43"/>
      <c r="X45" s="43"/>
      <c r="Y45" s="43"/>
    </row>
    <row r="46" spans="2:25" x14ac:dyDescent="0.35">
      <c r="R46" s="36"/>
      <c r="S46" s="36"/>
      <c r="U46" s="43"/>
      <c r="V46" s="43"/>
      <c r="W46" s="43"/>
      <c r="X46" s="43"/>
      <c r="Y46" s="43"/>
    </row>
    <row r="47" spans="2:25" x14ac:dyDescent="0.35">
      <c r="B47" s="311" t="s">
        <v>123</v>
      </c>
      <c r="C47" s="310" t="s">
        <v>113</v>
      </c>
      <c r="D47" s="310"/>
      <c r="F47" s="309" t="s">
        <v>99</v>
      </c>
      <c r="G47" s="309"/>
      <c r="H47" s="42">
        <v>1.39</v>
      </c>
      <c r="I47" s="38" t="s">
        <v>101</v>
      </c>
      <c r="L47" s="313" t="s">
        <v>123</v>
      </c>
      <c r="M47" s="57" t="s">
        <v>155</v>
      </c>
      <c r="N47" s="309" t="s">
        <v>122</v>
      </c>
      <c r="O47" s="309"/>
      <c r="P47" s="309" t="s">
        <v>99</v>
      </c>
      <c r="Q47" s="309"/>
      <c r="S47" s="36"/>
      <c r="T47" s="58" t="s">
        <v>115</v>
      </c>
    </row>
    <row r="48" spans="2:25" x14ac:dyDescent="0.35">
      <c r="B48" s="311"/>
      <c r="L48" s="313"/>
      <c r="M48" s="43" t="s">
        <v>143</v>
      </c>
      <c r="N48" s="66">
        <v>4.166517777777778</v>
      </c>
      <c r="O48" s="38" t="s">
        <v>157</v>
      </c>
      <c r="P48" s="38">
        <v>2.5</v>
      </c>
      <c r="Q48" s="38" t="s">
        <v>157</v>
      </c>
      <c r="R48" s="43"/>
      <c r="T48" s="38" t="s">
        <v>156</v>
      </c>
    </row>
    <row r="49" spans="1:20" x14ac:dyDescent="0.35">
      <c r="B49" s="311"/>
      <c r="C49" s="57" t="s">
        <v>97</v>
      </c>
      <c r="D49" s="309" t="s">
        <v>122</v>
      </c>
      <c r="E49" s="309"/>
      <c r="F49" s="57" t="s">
        <v>100</v>
      </c>
      <c r="H49" s="58" t="s">
        <v>115</v>
      </c>
      <c r="L49" s="313"/>
      <c r="M49" s="43" t="s">
        <v>144</v>
      </c>
      <c r="N49" s="66">
        <v>3.5665177777777775</v>
      </c>
      <c r="O49" s="38" t="s">
        <v>157</v>
      </c>
      <c r="P49" s="38">
        <v>1.9</v>
      </c>
      <c r="Q49" s="38" t="s">
        <v>157</v>
      </c>
      <c r="T49" s="38" t="s">
        <v>156</v>
      </c>
    </row>
    <row r="50" spans="1:20" x14ac:dyDescent="0.35">
      <c r="B50" s="311"/>
      <c r="C50" s="38" t="s">
        <v>114</v>
      </c>
      <c r="D50" s="42">
        <f>D44*2.15</f>
        <v>2.9884999999999997</v>
      </c>
      <c r="E50" s="38" t="s">
        <v>101</v>
      </c>
      <c r="H50" s="43" t="s">
        <v>83</v>
      </c>
      <c r="L50" s="313"/>
      <c r="M50" s="43" t="s">
        <v>145</v>
      </c>
      <c r="N50" s="64">
        <v>5.666517777777778</v>
      </c>
      <c r="O50" s="38" t="s">
        <v>157</v>
      </c>
      <c r="P50" s="43">
        <v>4</v>
      </c>
      <c r="Q50" s="38" t="s">
        <v>157</v>
      </c>
      <c r="T50" s="38" t="s">
        <v>156</v>
      </c>
    </row>
    <row r="51" spans="1:20" x14ac:dyDescent="0.35">
      <c r="B51" s="311"/>
      <c r="L51" s="313"/>
      <c r="M51" s="43" t="s">
        <v>146</v>
      </c>
      <c r="N51" s="64">
        <v>3.666517777777778</v>
      </c>
      <c r="O51" s="38" t="s">
        <v>157</v>
      </c>
      <c r="P51" s="43">
        <v>2</v>
      </c>
      <c r="Q51" s="38" t="s">
        <v>157</v>
      </c>
      <c r="T51" s="38" t="s">
        <v>156</v>
      </c>
    </row>
    <row r="52" spans="1:20" x14ac:dyDescent="0.35">
      <c r="A52" s="43"/>
      <c r="B52" s="311"/>
      <c r="C52" s="43"/>
      <c r="D52" s="43"/>
      <c r="E52" s="43"/>
      <c r="F52" s="43"/>
      <c r="G52" s="42"/>
      <c r="H52" s="64"/>
      <c r="I52" s="43"/>
      <c r="J52" s="43"/>
      <c r="K52" s="43"/>
      <c r="L52" s="313"/>
      <c r="M52" s="43" t="s">
        <v>147</v>
      </c>
      <c r="N52" s="64">
        <v>4.416517777777778</v>
      </c>
      <c r="O52" s="38" t="s">
        <v>157</v>
      </c>
      <c r="P52" s="43">
        <v>2.75</v>
      </c>
      <c r="Q52" s="38" t="s">
        <v>157</v>
      </c>
      <c r="T52" s="38" t="s">
        <v>156</v>
      </c>
    </row>
    <row r="53" spans="1:20" x14ac:dyDescent="0.35">
      <c r="A53" s="43"/>
      <c r="B53" s="311"/>
      <c r="C53" s="43"/>
      <c r="D53" s="43"/>
      <c r="E53" s="43"/>
      <c r="F53" s="43"/>
      <c r="G53" s="42"/>
      <c r="H53" s="64"/>
      <c r="I53" s="43"/>
      <c r="J53" s="43"/>
      <c r="K53" s="43"/>
      <c r="L53" s="313"/>
      <c r="M53" s="43" t="s">
        <v>148</v>
      </c>
      <c r="N53" s="64">
        <v>3.416517777777778</v>
      </c>
      <c r="O53" s="38" t="s">
        <v>157</v>
      </c>
      <c r="P53" s="43">
        <v>1.75</v>
      </c>
      <c r="Q53" s="38" t="s">
        <v>157</v>
      </c>
      <c r="T53" s="38" t="s">
        <v>156</v>
      </c>
    </row>
    <row r="54" spans="1:20" x14ac:dyDescent="0.35">
      <c r="A54" s="43"/>
      <c r="B54" s="311"/>
      <c r="C54" s="308" t="s">
        <v>116</v>
      </c>
      <c r="D54" s="308"/>
      <c r="F54" s="309" t="s">
        <v>99</v>
      </c>
      <c r="G54" s="309"/>
      <c r="H54" s="42">
        <v>1.39</v>
      </c>
      <c r="I54" s="38" t="s">
        <v>101</v>
      </c>
      <c r="J54" s="43"/>
      <c r="K54" s="43"/>
      <c r="L54" s="313"/>
      <c r="M54" s="43" t="s">
        <v>149</v>
      </c>
      <c r="N54" s="64">
        <v>5.666517777777778</v>
      </c>
      <c r="O54" s="38" t="s">
        <v>157</v>
      </c>
      <c r="P54" s="43">
        <v>4</v>
      </c>
      <c r="Q54" s="38" t="s">
        <v>157</v>
      </c>
      <c r="T54" s="38" t="s">
        <v>156</v>
      </c>
    </row>
    <row r="55" spans="1:20" x14ac:dyDescent="0.35">
      <c r="A55" s="43"/>
      <c r="B55" s="311"/>
      <c r="C55" s="308"/>
      <c r="D55" s="308"/>
      <c r="H55" s="64"/>
      <c r="I55" s="43"/>
      <c r="J55" s="43"/>
      <c r="K55" s="43"/>
      <c r="L55" s="313"/>
      <c r="M55" s="43" t="s">
        <v>150</v>
      </c>
      <c r="N55" s="64">
        <v>5.3165177777777775</v>
      </c>
      <c r="O55" s="38" t="s">
        <v>157</v>
      </c>
      <c r="P55" s="43">
        <v>3.65</v>
      </c>
      <c r="Q55" s="38" t="s">
        <v>157</v>
      </c>
      <c r="T55" s="38" t="s">
        <v>156</v>
      </c>
    </row>
    <row r="56" spans="1:20" x14ac:dyDescent="0.35">
      <c r="A56" s="43"/>
      <c r="B56" s="311"/>
      <c r="C56" s="57" t="s">
        <v>97</v>
      </c>
      <c r="D56" s="309" t="s">
        <v>122</v>
      </c>
      <c r="E56" s="309"/>
      <c r="F56" s="57" t="s">
        <v>100</v>
      </c>
      <c r="H56" s="58" t="s">
        <v>115</v>
      </c>
      <c r="I56" s="43"/>
      <c r="J56" s="43"/>
      <c r="K56" s="43"/>
      <c r="L56" s="313"/>
      <c r="M56" s="43" t="s">
        <v>151</v>
      </c>
      <c r="N56" s="66">
        <v>5.2565177777777778</v>
      </c>
      <c r="O56" s="38" t="s">
        <v>157</v>
      </c>
      <c r="P56" s="38">
        <v>3.59</v>
      </c>
      <c r="Q56" s="38" t="s">
        <v>157</v>
      </c>
      <c r="T56" s="38" t="s">
        <v>156</v>
      </c>
    </row>
    <row r="57" spans="1:20" x14ac:dyDescent="0.35">
      <c r="A57" s="43"/>
      <c r="B57" s="311"/>
      <c r="C57" s="43" t="s">
        <v>117</v>
      </c>
      <c r="D57" s="43">
        <f>D50*3</f>
        <v>8.9654999999999987</v>
      </c>
      <c r="E57" s="38" t="s">
        <v>101</v>
      </c>
      <c r="F57" s="43"/>
      <c r="G57" s="42"/>
      <c r="H57" s="62" t="s">
        <v>84</v>
      </c>
      <c r="I57" s="43"/>
      <c r="J57" s="43"/>
      <c r="K57" s="43"/>
      <c r="L57" s="313"/>
      <c r="M57" s="43" t="s">
        <v>152</v>
      </c>
      <c r="N57" s="66">
        <v>3.666517777777778</v>
      </c>
      <c r="O57" s="38" t="s">
        <v>157</v>
      </c>
      <c r="P57" s="38">
        <v>2</v>
      </c>
      <c r="Q57" s="38" t="s">
        <v>157</v>
      </c>
      <c r="T57" s="38" t="s">
        <v>156</v>
      </c>
    </row>
    <row r="58" spans="1:20" x14ac:dyDescent="0.35">
      <c r="A58" s="43"/>
      <c r="B58" s="311"/>
      <c r="C58" s="43"/>
      <c r="D58" s="43"/>
      <c r="E58" s="43"/>
      <c r="F58" s="43"/>
      <c r="G58" s="42"/>
      <c r="H58" s="64"/>
      <c r="I58" s="43"/>
      <c r="J58" s="43"/>
      <c r="K58" s="43"/>
      <c r="L58" s="313"/>
      <c r="M58" s="43" t="s">
        <v>153</v>
      </c>
      <c r="N58" s="66">
        <v>6.2365177777777783</v>
      </c>
      <c r="O58" s="38" t="s">
        <v>157</v>
      </c>
      <c r="P58" s="38">
        <v>4.57</v>
      </c>
      <c r="Q58" s="38" t="s">
        <v>157</v>
      </c>
      <c r="T58" s="38" t="s">
        <v>156</v>
      </c>
    </row>
    <row r="59" spans="1:20" x14ac:dyDescent="0.35">
      <c r="A59" s="43"/>
      <c r="B59" s="311"/>
      <c r="C59" s="43"/>
      <c r="D59" s="43"/>
      <c r="E59" s="43"/>
      <c r="F59" s="43"/>
      <c r="G59" s="42"/>
      <c r="H59" s="64"/>
      <c r="I59" s="43"/>
      <c r="J59" s="43"/>
      <c r="K59" s="43"/>
      <c r="L59" s="43"/>
      <c r="M59" s="43"/>
    </row>
    <row r="60" spans="1:20" x14ac:dyDescent="0.35">
      <c r="A60" s="43"/>
      <c r="B60" s="311"/>
      <c r="C60" s="310" t="s">
        <v>118</v>
      </c>
      <c r="D60" s="310"/>
      <c r="F60" s="309" t="s">
        <v>99</v>
      </c>
      <c r="G60" s="309"/>
      <c r="H60" s="42">
        <v>1.39</v>
      </c>
      <c r="I60" s="38" t="s">
        <v>101</v>
      </c>
      <c r="J60" s="43"/>
      <c r="K60" s="43"/>
    </row>
    <row r="61" spans="1:20" x14ac:dyDescent="0.35">
      <c r="A61" s="43"/>
      <c r="B61" s="311"/>
      <c r="H61" s="64"/>
      <c r="I61" s="43"/>
      <c r="J61" s="43"/>
      <c r="K61" s="43"/>
    </row>
    <row r="62" spans="1:20" x14ac:dyDescent="0.35">
      <c r="A62" s="43"/>
      <c r="B62" s="311"/>
      <c r="C62" s="57" t="s">
        <v>97</v>
      </c>
      <c r="D62" s="309" t="s">
        <v>122</v>
      </c>
      <c r="E62" s="309"/>
      <c r="F62" s="57" t="s">
        <v>100</v>
      </c>
      <c r="H62" s="67" t="s">
        <v>115</v>
      </c>
      <c r="I62" s="43"/>
      <c r="J62" s="43"/>
      <c r="K62" s="43"/>
    </row>
    <row r="63" spans="1:20" x14ac:dyDescent="0.35">
      <c r="A63" s="43"/>
      <c r="B63" s="311"/>
      <c r="C63" s="43" t="s">
        <v>117</v>
      </c>
      <c r="D63" s="43">
        <f>D50*5</f>
        <v>14.942499999999999</v>
      </c>
      <c r="E63" s="38" t="s">
        <v>101</v>
      </c>
      <c r="F63" s="43"/>
      <c r="G63" s="42"/>
      <c r="H63" s="62" t="s">
        <v>85</v>
      </c>
      <c r="I63" s="43"/>
      <c r="J63" s="43"/>
      <c r="K63" s="43"/>
    </row>
    <row r="64" spans="1:20" x14ac:dyDescent="0.35">
      <c r="A64" s="43"/>
      <c r="B64" s="311"/>
      <c r="C64" s="43"/>
      <c r="D64" s="43"/>
      <c r="E64" s="43"/>
      <c r="F64" s="43"/>
      <c r="G64" s="42"/>
      <c r="H64" s="64"/>
      <c r="I64" s="43"/>
      <c r="J64" s="43"/>
      <c r="K64" s="43"/>
    </row>
    <row r="65" spans="1:22" x14ac:dyDescent="0.35">
      <c r="A65" s="43"/>
      <c r="B65" s="311"/>
      <c r="C65" s="43"/>
      <c r="D65" s="43"/>
      <c r="E65" s="43"/>
      <c r="F65" s="43"/>
      <c r="G65" s="42"/>
      <c r="H65" s="64"/>
      <c r="I65" s="43"/>
      <c r="J65" s="43"/>
      <c r="K65" s="43"/>
    </row>
    <row r="66" spans="1:22" x14ac:dyDescent="0.35">
      <c r="A66" s="43"/>
      <c r="B66" s="311"/>
      <c r="C66" s="310" t="s">
        <v>119</v>
      </c>
      <c r="D66" s="310"/>
      <c r="F66" s="309" t="s">
        <v>99</v>
      </c>
      <c r="G66" s="309"/>
      <c r="H66" s="42">
        <v>1.39</v>
      </c>
      <c r="I66" s="43"/>
      <c r="J66" s="43"/>
      <c r="K66" s="43"/>
    </row>
    <row r="67" spans="1:22" x14ac:dyDescent="0.35">
      <c r="A67" s="43"/>
      <c r="B67" s="311"/>
      <c r="H67" s="64"/>
      <c r="I67" s="43"/>
      <c r="J67" s="43"/>
      <c r="K67" s="43"/>
    </row>
    <row r="68" spans="1:22" x14ac:dyDescent="0.35">
      <c r="B68" s="311"/>
      <c r="C68" s="57" t="s">
        <v>97</v>
      </c>
      <c r="D68" s="309" t="s">
        <v>122</v>
      </c>
      <c r="E68" s="309"/>
      <c r="F68" s="57" t="s">
        <v>100</v>
      </c>
      <c r="H68" s="58" t="s">
        <v>115</v>
      </c>
      <c r="I68" s="43"/>
      <c r="J68" s="43"/>
      <c r="K68" s="43"/>
      <c r="L68" s="43"/>
      <c r="M68" s="43"/>
      <c r="N68" s="43"/>
      <c r="V68" s="43"/>
    </row>
    <row r="69" spans="1:22" x14ac:dyDescent="0.35">
      <c r="B69" s="311"/>
      <c r="C69" s="38" t="s">
        <v>112</v>
      </c>
      <c r="D69" s="43">
        <f>D44*2.4</f>
        <v>3.3359999999999999</v>
      </c>
      <c r="E69" s="38" t="s">
        <v>101</v>
      </c>
      <c r="F69" s="43"/>
      <c r="G69" s="42"/>
      <c r="H69" s="59" t="s">
        <v>86</v>
      </c>
      <c r="I69" s="43"/>
      <c r="J69" s="43"/>
      <c r="K69" s="62"/>
      <c r="L69" s="43"/>
      <c r="M69" s="43"/>
      <c r="N69" s="43"/>
      <c r="V69" s="43"/>
    </row>
    <row r="70" spans="1:22" x14ac:dyDescent="0.35">
      <c r="B70" s="311"/>
      <c r="C70" s="43"/>
      <c r="D70" s="43"/>
      <c r="E70" s="43"/>
      <c r="F70" s="43"/>
      <c r="G70" s="42"/>
      <c r="H70" s="65"/>
      <c r="I70" s="43"/>
      <c r="J70" s="43"/>
      <c r="K70" s="62"/>
      <c r="L70" s="43"/>
      <c r="M70" s="43"/>
      <c r="N70" s="43"/>
      <c r="V70" s="43"/>
    </row>
    <row r="71" spans="1:22" x14ac:dyDescent="0.35">
      <c r="B71" s="311"/>
      <c r="K71" s="62"/>
      <c r="L71" s="43"/>
      <c r="M71" s="43"/>
      <c r="N71" s="43"/>
      <c r="O71" s="43"/>
      <c r="V71" s="43"/>
    </row>
    <row r="72" spans="1:22" x14ac:dyDescent="0.35">
      <c r="B72" s="311"/>
      <c r="C72" s="308" t="s">
        <v>120</v>
      </c>
      <c r="D72" s="308"/>
      <c r="F72" s="309" t="s">
        <v>99</v>
      </c>
      <c r="G72" s="309"/>
      <c r="H72" s="64"/>
      <c r="K72" s="62"/>
      <c r="L72" s="43"/>
      <c r="M72" s="43"/>
      <c r="N72" s="43"/>
      <c r="O72" s="43"/>
      <c r="V72" s="43"/>
    </row>
    <row r="73" spans="1:22" x14ac:dyDescent="0.35">
      <c r="B73" s="311"/>
      <c r="C73" s="308"/>
      <c r="D73" s="308"/>
      <c r="H73" s="64"/>
      <c r="I73" s="43"/>
      <c r="J73" s="43"/>
      <c r="K73" s="62"/>
      <c r="L73" s="43"/>
      <c r="M73" s="62"/>
      <c r="N73" s="43"/>
      <c r="O73" s="43"/>
      <c r="V73" s="43"/>
    </row>
    <row r="74" spans="1:22" x14ac:dyDescent="0.35">
      <c r="B74" s="311"/>
      <c r="C74" s="57" t="s">
        <v>97</v>
      </c>
      <c r="D74" s="309" t="s">
        <v>122</v>
      </c>
      <c r="E74" s="309"/>
      <c r="F74" s="57" t="s">
        <v>100</v>
      </c>
      <c r="H74" s="58" t="s">
        <v>115</v>
      </c>
      <c r="I74" s="43"/>
      <c r="J74" s="43"/>
      <c r="K74" s="43"/>
      <c r="L74" s="43"/>
      <c r="M74" s="62"/>
      <c r="N74" s="43"/>
      <c r="O74" s="43"/>
      <c r="V74" s="43"/>
    </row>
    <row r="75" spans="1:22" x14ac:dyDescent="0.35">
      <c r="B75" s="311"/>
      <c r="C75" s="38" t="s">
        <v>121</v>
      </c>
      <c r="D75" s="38">
        <f>D69*2</f>
        <v>6.6719999999999997</v>
      </c>
      <c r="E75" s="38" t="s">
        <v>101</v>
      </c>
      <c r="H75" s="59" t="s">
        <v>87</v>
      </c>
      <c r="M75" s="62"/>
      <c r="N75" s="43"/>
      <c r="O75" s="43"/>
      <c r="V75" s="43"/>
    </row>
    <row r="76" spans="1:22" x14ac:dyDescent="0.35">
      <c r="V76" s="43"/>
    </row>
    <row r="77" spans="1:22" x14ac:dyDescent="0.35">
      <c r="V77" s="43"/>
    </row>
    <row r="79" spans="1:22" x14ac:dyDescent="0.35">
      <c r="C79" s="302"/>
      <c r="D79" s="302"/>
      <c r="E79" s="43"/>
      <c r="F79" s="302"/>
      <c r="G79" s="302"/>
      <c r="H79" s="64"/>
    </row>
    <row r="80" spans="1:22" x14ac:dyDescent="0.35">
      <c r="C80" s="43"/>
      <c r="D80" s="43"/>
      <c r="E80" s="43"/>
      <c r="F80" s="43"/>
      <c r="G80" s="43"/>
      <c r="H80" s="64"/>
    </row>
    <row r="81" spans="3:15" x14ac:dyDescent="0.35">
      <c r="C81" s="58"/>
      <c r="D81" s="302"/>
      <c r="E81" s="302"/>
      <c r="F81" s="58"/>
      <c r="G81" s="43"/>
      <c r="H81" s="58"/>
    </row>
    <row r="82" spans="3:15" x14ac:dyDescent="0.35"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</row>
    <row r="83" spans="3:15" x14ac:dyDescent="0.35"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</row>
    <row r="84" spans="3:15" x14ac:dyDescent="0.35"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</row>
    <row r="85" spans="3:15" x14ac:dyDescent="0.35">
      <c r="C85" s="43"/>
      <c r="D85" s="43"/>
      <c r="E85" s="31"/>
      <c r="F85" s="31"/>
      <c r="G85" s="33"/>
      <c r="H85" s="31"/>
      <c r="I85" s="31"/>
      <c r="J85" s="31"/>
      <c r="K85" s="31"/>
      <c r="L85" s="31"/>
      <c r="M85" s="31"/>
      <c r="N85" s="31"/>
      <c r="O85" s="31"/>
    </row>
    <row r="86" spans="3:15" x14ac:dyDescent="0.35">
      <c r="C86" s="43"/>
      <c r="D86" s="43"/>
      <c r="E86" s="300"/>
      <c r="F86" s="300"/>
      <c r="G86" s="300"/>
      <c r="H86" s="300"/>
      <c r="I86" s="300"/>
      <c r="J86" s="300"/>
      <c r="K86" s="300"/>
      <c r="L86" s="300"/>
      <c r="M86" s="31"/>
      <c r="N86" s="31"/>
      <c r="O86" s="31"/>
    </row>
    <row r="87" spans="3:15" x14ac:dyDescent="0.35">
      <c r="C87" s="43"/>
      <c r="D87" s="43"/>
      <c r="E87" s="31"/>
      <c r="F87" s="31"/>
      <c r="G87" s="33"/>
      <c r="H87" s="31"/>
      <c r="I87" s="31"/>
      <c r="J87" s="31"/>
      <c r="K87" s="31"/>
      <c r="L87" s="31"/>
      <c r="M87" s="31"/>
      <c r="N87" s="31"/>
      <c r="O87" s="31"/>
    </row>
    <row r="88" spans="3:15" x14ac:dyDescent="0.35">
      <c r="C88" s="43"/>
      <c r="D88" s="43"/>
      <c r="E88" s="303"/>
      <c r="F88" s="304"/>
      <c r="G88" s="304"/>
      <c r="H88" s="305"/>
      <c r="I88" s="305"/>
      <c r="J88" s="306"/>
      <c r="K88" s="306"/>
      <c r="L88" s="306"/>
      <c r="M88" s="31"/>
      <c r="N88" s="31"/>
      <c r="O88" s="31"/>
    </row>
    <row r="89" spans="3:15" x14ac:dyDescent="0.35">
      <c r="E89" s="47"/>
      <c r="F89" s="47"/>
      <c r="G89" s="48"/>
      <c r="H89" s="47"/>
      <c r="I89" s="47"/>
      <c r="J89" s="49"/>
      <c r="K89" s="49"/>
      <c r="L89" s="49"/>
      <c r="M89" s="31"/>
      <c r="N89" s="49"/>
      <c r="O89" s="31"/>
    </row>
    <row r="90" spans="3:15" x14ac:dyDescent="0.35">
      <c r="E90" s="100"/>
      <c r="F90" s="100"/>
      <c r="G90" s="126"/>
      <c r="H90" s="101"/>
      <c r="I90" s="127"/>
      <c r="J90" s="128"/>
      <c r="K90" s="129"/>
      <c r="L90" s="49"/>
      <c r="M90" s="49"/>
      <c r="N90" s="31"/>
      <c r="O90" s="31"/>
    </row>
    <row r="91" spans="3:15" x14ac:dyDescent="0.35">
      <c r="E91" s="44"/>
      <c r="F91" s="47"/>
      <c r="G91" s="47"/>
      <c r="H91" s="48"/>
      <c r="I91" s="47"/>
      <c r="J91" s="47"/>
      <c r="K91" s="49"/>
      <c r="L91" s="49"/>
      <c r="M91" s="49"/>
      <c r="N91" s="31"/>
      <c r="O91" s="31"/>
    </row>
    <row r="92" spans="3:15" x14ac:dyDescent="0.35">
      <c r="E92" s="31"/>
      <c r="F92" s="31"/>
      <c r="G92" s="33"/>
      <c r="H92" s="31"/>
      <c r="I92" s="34"/>
      <c r="J92" s="31"/>
      <c r="K92" s="31"/>
      <c r="L92" s="31"/>
      <c r="M92" s="31"/>
      <c r="N92" s="31"/>
      <c r="O92" s="31"/>
    </row>
    <row r="93" spans="3:15" x14ac:dyDescent="0.35">
      <c r="E93" s="303"/>
      <c r="F93" s="304"/>
      <c r="G93" s="304"/>
      <c r="H93" s="305"/>
      <c r="I93" s="305"/>
      <c r="J93" s="306"/>
      <c r="K93" s="306"/>
      <c r="L93" s="306"/>
      <c r="M93" s="31"/>
      <c r="N93" s="31"/>
      <c r="O93" s="31"/>
    </row>
    <row r="94" spans="3:15" x14ac:dyDescent="0.35">
      <c r="E94" s="47"/>
      <c r="F94" s="47"/>
      <c r="G94" s="48"/>
      <c r="H94" s="47"/>
      <c r="I94" s="47"/>
      <c r="J94" s="49"/>
      <c r="K94" s="49"/>
      <c r="L94" s="49"/>
      <c r="M94" s="31"/>
      <c r="N94" s="49"/>
      <c r="O94" s="31"/>
    </row>
    <row r="95" spans="3:15" x14ac:dyDescent="0.35">
      <c r="E95" s="31"/>
      <c r="F95" s="100"/>
      <c r="G95" s="126"/>
      <c r="H95" s="101"/>
      <c r="I95" s="34"/>
      <c r="J95" s="101"/>
      <c r="K95" s="31"/>
      <c r="L95" s="31"/>
      <c r="M95" s="31"/>
      <c r="N95" s="31"/>
      <c r="O95" s="31"/>
    </row>
    <row r="96" spans="3:15" x14ac:dyDescent="0.35">
      <c r="E96" s="31"/>
      <c r="F96" s="31"/>
      <c r="G96" s="33"/>
      <c r="H96" s="31"/>
      <c r="I96" s="34"/>
      <c r="J96" s="31"/>
      <c r="K96" s="31"/>
      <c r="L96" s="31"/>
      <c r="M96" s="31"/>
      <c r="N96" s="31"/>
      <c r="O96" s="31"/>
    </row>
    <row r="97" spans="5:15" x14ac:dyDescent="0.35">
      <c r="E97" s="31"/>
      <c r="F97" s="31"/>
      <c r="G97" s="33"/>
      <c r="H97" s="31"/>
      <c r="I97" s="34"/>
      <c r="J97" s="31"/>
      <c r="K97" s="31"/>
      <c r="L97" s="31"/>
      <c r="M97" s="31"/>
      <c r="N97" s="31"/>
      <c r="O97" s="31"/>
    </row>
    <row r="98" spans="5:15" x14ac:dyDescent="0.35">
      <c r="E98" s="303"/>
      <c r="F98" s="304"/>
      <c r="G98" s="304"/>
      <c r="H98" s="305"/>
      <c r="I98" s="305"/>
      <c r="J98" s="306"/>
      <c r="K98" s="306"/>
      <c r="L98" s="306"/>
      <c r="M98" s="31"/>
      <c r="N98" s="31"/>
      <c r="O98" s="31"/>
    </row>
    <row r="99" spans="5:15" x14ac:dyDescent="0.35">
      <c r="E99" s="47"/>
      <c r="F99" s="47"/>
      <c r="G99" s="48"/>
      <c r="H99" s="47"/>
      <c r="I99" s="47"/>
      <c r="J99" s="49"/>
      <c r="K99" s="49"/>
      <c r="L99" s="49"/>
      <c r="M99" s="31"/>
      <c r="N99" s="49"/>
      <c r="O99" s="31"/>
    </row>
    <row r="100" spans="5:15" x14ac:dyDescent="0.35">
      <c r="E100" s="307"/>
      <c r="F100" s="100"/>
      <c r="G100" s="33"/>
      <c r="H100" s="31"/>
      <c r="I100" s="34"/>
      <c r="J100" s="101"/>
      <c r="K100" s="31"/>
      <c r="L100" s="31"/>
      <c r="M100" s="31"/>
      <c r="N100" s="31"/>
      <c r="O100" s="31"/>
    </row>
    <row r="101" spans="5:15" x14ac:dyDescent="0.35">
      <c r="E101" s="307"/>
      <c r="F101" s="31"/>
      <c r="G101" s="33"/>
      <c r="H101" s="31"/>
      <c r="I101" s="34"/>
      <c r="J101" s="31"/>
      <c r="K101" s="31"/>
      <c r="L101" s="31"/>
      <c r="M101" s="31"/>
      <c r="N101" s="31"/>
      <c r="O101" s="31"/>
    </row>
    <row r="102" spans="5:15" x14ac:dyDescent="0.35">
      <c r="E102" s="31"/>
      <c r="F102" s="31"/>
      <c r="G102" s="33"/>
      <c r="H102" s="31"/>
      <c r="I102" s="34"/>
      <c r="J102" s="31"/>
      <c r="K102" s="31"/>
      <c r="L102" s="31"/>
      <c r="M102" s="31"/>
      <c r="N102" s="31"/>
      <c r="O102" s="31"/>
    </row>
    <row r="103" spans="5:15" x14ac:dyDescent="0.35">
      <c r="E103" s="31"/>
      <c r="F103" s="31"/>
      <c r="G103" s="33"/>
      <c r="H103" s="31"/>
      <c r="I103" s="34"/>
      <c r="J103" s="31"/>
      <c r="K103" s="31"/>
      <c r="L103" s="31"/>
      <c r="M103" s="31"/>
      <c r="N103" s="31"/>
      <c r="O103" s="31"/>
    </row>
    <row r="104" spans="5:15" x14ac:dyDescent="0.35">
      <c r="E104" s="303"/>
      <c r="F104" s="304"/>
      <c r="G104" s="304"/>
      <c r="H104" s="305"/>
      <c r="I104" s="305"/>
      <c r="J104" s="306"/>
      <c r="K104" s="306"/>
      <c r="L104" s="306"/>
      <c r="M104" s="31"/>
      <c r="N104" s="31"/>
      <c r="O104" s="31"/>
    </row>
    <row r="105" spans="5:15" x14ac:dyDescent="0.35">
      <c r="E105" s="47"/>
      <c r="F105" s="47"/>
      <c r="G105" s="48"/>
      <c r="H105" s="47"/>
      <c r="I105" s="47"/>
      <c r="J105" s="49"/>
      <c r="K105" s="49"/>
      <c r="L105" s="49"/>
      <c r="M105" s="31"/>
      <c r="N105" s="49"/>
      <c r="O105" s="31"/>
    </row>
    <row r="106" spans="5:15" x14ac:dyDescent="0.35">
      <c r="E106" s="31"/>
      <c r="F106" s="100"/>
      <c r="G106" s="33"/>
      <c r="H106" s="31"/>
      <c r="I106" s="34"/>
      <c r="J106" s="101"/>
      <c r="K106" s="31"/>
      <c r="L106" s="31"/>
      <c r="M106" s="31"/>
      <c r="N106" s="31"/>
      <c r="O106" s="31"/>
    </row>
    <row r="107" spans="5:15" x14ac:dyDescent="0.35">
      <c r="E107" s="31"/>
      <c r="F107" s="31"/>
      <c r="G107" s="33"/>
      <c r="H107" s="31"/>
      <c r="I107" s="34"/>
      <c r="J107" s="31"/>
      <c r="K107" s="31"/>
      <c r="L107" s="31"/>
      <c r="M107" s="31"/>
      <c r="N107" s="31"/>
      <c r="O107" s="31"/>
    </row>
    <row r="108" spans="5:15" x14ac:dyDescent="0.35">
      <c r="E108" s="31"/>
      <c r="F108" s="31"/>
      <c r="G108" s="33"/>
      <c r="H108" s="31"/>
      <c r="I108" s="34"/>
      <c r="J108" s="31"/>
      <c r="K108" s="31"/>
      <c r="L108" s="31"/>
      <c r="M108" s="31"/>
      <c r="N108" s="31"/>
      <c r="O108" s="31"/>
    </row>
    <row r="109" spans="5:15" x14ac:dyDescent="0.35">
      <c r="E109" s="303"/>
      <c r="F109" s="304"/>
      <c r="G109" s="304"/>
      <c r="H109" s="305"/>
      <c r="I109" s="305"/>
      <c r="J109" s="306"/>
      <c r="K109" s="306"/>
      <c r="L109" s="306"/>
      <c r="M109" s="31"/>
      <c r="N109" s="31"/>
      <c r="O109" s="31"/>
    </row>
    <row r="110" spans="5:15" x14ac:dyDescent="0.35">
      <c r="E110" s="47"/>
      <c r="F110" s="47"/>
      <c r="G110" s="48"/>
      <c r="H110" s="47"/>
      <c r="I110" s="47"/>
      <c r="J110" s="49"/>
      <c r="K110" s="49"/>
      <c r="L110" s="49"/>
      <c r="M110" s="31"/>
      <c r="N110" s="49"/>
      <c r="O110" s="31"/>
    </row>
    <row r="111" spans="5:15" x14ac:dyDescent="0.35">
      <c r="E111" s="31"/>
      <c r="F111" s="100"/>
      <c r="G111" s="33"/>
      <c r="H111" s="31"/>
      <c r="I111" s="31"/>
      <c r="J111" s="101"/>
      <c r="K111" s="31"/>
      <c r="L111" s="31"/>
      <c r="M111" s="31"/>
      <c r="N111" s="31"/>
      <c r="O111" s="31"/>
    </row>
    <row r="112" spans="5:15" x14ac:dyDescent="0.35">
      <c r="E112" s="31"/>
      <c r="F112" s="31"/>
      <c r="G112" s="33"/>
      <c r="H112" s="31"/>
      <c r="I112" s="31"/>
      <c r="J112" s="31"/>
      <c r="K112" s="31"/>
      <c r="L112" s="31"/>
      <c r="M112" s="31"/>
      <c r="N112" s="31"/>
      <c r="O112" s="31"/>
    </row>
    <row r="113" spans="5:15" x14ac:dyDescent="0.35">
      <c r="E113" s="31"/>
      <c r="F113" s="31"/>
      <c r="G113" s="33"/>
      <c r="H113" s="31"/>
      <c r="I113" s="31"/>
      <c r="J113" s="31"/>
      <c r="K113" s="31"/>
      <c r="L113" s="31"/>
      <c r="M113" s="31"/>
      <c r="N113" s="31"/>
      <c r="O113" s="31"/>
    </row>
  </sheetData>
  <mergeCells count="62">
    <mergeCell ref="F8:G8"/>
    <mergeCell ref="P45:Q45"/>
    <mergeCell ref="N47:O47"/>
    <mergeCell ref="P47:Q47"/>
    <mergeCell ref="L47:L58"/>
    <mergeCell ref="P33:Q33"/>
    <mergeCell ref="N14:O14"/>
    <mergeCell ref="P18:Q18"/>
    <mergeCell ref="P27:Q27"/>
    <mergeCell ref="L18:L36"/>
    <mergeCell ref="N29:O29"/>
    <mergeCell ref="M33:N33"/>
    <mergeCell ref="C12:D12"/>
    <mergeCell ref="D14:E14"/>
    <mergeCell ref="F12:G12"/>
    <mergeCell ref="C27:D27"/>
    <mergeCell ref="F27:G27"/>
    <mergeCell ref="B47:B75"/>
    <mergeCell ref="D62:E62"/>
    <mergeCell ref="C66:D66"/>
    <mergeCell ref="F66:G66"/>
    <mergeCell ref="D68:E68"/>
    <mergeCell ref="F72:G72"/>
    <mergeCell ref="D49:E49"/>
    <mergeCell ref="F54:G54"/>
    <mergeCell ref="D56:E56"/>
    <mergeCell ref="C54:D55"/>
    <mergeCell ref="C60:D60"/>
    <mergeCell ref="F60:G60"/>
    <mergeCell ref="D74:E74"/>
    <mergeCell ref="C47:D47"/>
    <mergeCell ref="F47:G47"/>
    <mergeCell ref="D29:E29"/>
    <mergeCell ref="M45:N45"/>
    <mergeCell ref="M18:N18"/>
    <mergeCell ref="N20:O20"/>
    <mergeCell ref="M27:N27"/>
    <mergeCell ref="N35:O35"/>
    <mergeCell ref="C41:D41"/>
    <mergeCell ref="F41:G41"/>
    <mergeCell ref="D43:E43"/>
    <mergeCell ref="J88:L88"/>
    <mergeCell ref="C79:D79"/>
    <mergeCell ref="F79:G79"/>
    <mergeCell ref="D81:E81"/>
    <mergeCell ref="C72:D73"/>
    <mergeCell ref="E93:G93"/>
    <mergeCell ref="E86:L86"/>
    <mergeCell ref="H93:I93"/>
    <mergeCell ref="J93:L93"/>
    <mergeCell ref="E109:G109"/>
    <mergeCell ref="H109:I109"/>
    <mergeCell ref="J109:L109"/>
    <mergeCell ref="E98:G98"/>
    <mergeCell ref="H98:I98"/>
    <mergeCell ref="J98:L98"/>
    <mergeCell ref="E100:E101"/>
    <mergeCell ref="E104:G104"/>
    <mergeCell ref="H104:I104"/>
    <mergeCell ref="J104:L104"/>
    <mergeCell ref="E88:G88"/>
    <mergeCell ref="H88:I88"/>
  </mergeCells>
  <pageMargins left="0.7" right="0.7" top="0.78740157499999996" bottom="0.78740157499999996" header="0.3" footer="0.3"/>
  <pageSetup paperSize="9" orientation="portrait" horizontalDpi="1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DC25-914F-4923-B66A-19CE2EDD8621}">
  <dimension ref="D5:F10"/>
  <sheetViews>
    <sheetView workbookViewId="0">
      <selection activeCell="G27" sqref="G27"/>
    </sheetView>
  </sheetViews>
  <sheetFormatPr baseColWidth="10" defaultRowHeight="14.5" x14ac:dyDescent="0.35"/>
  <sheetData>
    <row r="5" spans="4:6" x14ac:dyDescent="0.35">
      <c r="D5" s="285" t="s">
        <v>278</v>
      </c>
      <c r="E5" s="285"/>
      <c r="F5">
        <v>300</v>
      </c>
    </row>
    <row r="7" spans="4:6" x14ac:dyDescent="0.35">
      <c r="E7" t="s">
        <v>277</v>
      </c>
      <c r="F7" t="s">
        <v>238</v>
      </c>
    </row>
    <row r="8" spans="4:6" x14ac:dyDescent="0.35">
      <c r="D8" s="1" t="s">
        <v>274</v>
      </c>
      <c r="E8" s="139">
        <v>0.3</v>
      </c>
      <c r="F8">
        <f>$F5*E8</f>
        <v>90</v>
      </c>
    </row>
    <row r="9" spans="4:6" x14ac:dyDescent="0.35">
      <c r="D9" s="1" t="s">
        <v>275</v>
      </c>
      <c r="E9" s="139">
        <v>0.3</v>
      </c>
      <c r="F9">
        <f>$F5*E9</f>
        <v>90</v>
      </c>
    </row>
    <row r="10" spans="4:6" x14ac:dyDescent="0.35">
      <c r="D10" s="1" t="s">
        <v>276</v>
      </c>
      <c r="E10" s="139">
        <v>0.4</v>
      </c>
      <c r="F10">
        <f>$F5*E10</f>
        <v>120</v>
      </c>
    </row>
  </sheetData>
  <mergeCells count="1">
    <mergeCell ref="D5:E5"/>
  </mergeCells>
  <pageMargins left="0.7" right="0.7" top="0.78740157499999996" bottom="0.78740157499999996" header="0.3" footer="0.3"/>
  <pageSetup paperSize="9" orientation="portrait" horizontalDpi="1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C709-0142-4427-A314-60AB86A3C8A1}">
  <dimension ref="M8:N21"/>
  <sheetViews>
    <sheetView workbookViewId="0">
      <selection activeCell="P22" sqref="P22"/>
    </sheetView>
  </sheetViews>
  <sheetFormatPr baseColWidth="10" defaultRowHeight="14.5" x14ac:dyDescent="0.35"/>
  <sheetData>
    <row r="8" spans="13:14" x14ac:dyDescent="0.35">
      <c r="M8" t="s">
        <v>397</v>
      </c>
      <c r="N8" t="s">
        <v>396</v>
      </c>
    </row>
    <row r="10" spans="13:14" x14ac:dyDescent="0.35">
      <c r="M10">
        <v>2020</v>
      </c>
      <c r="N10" s="215">
        <f t="shared" ref="N10:N20" si="0">-3.3924*M11 + 7026.7</f>
        <v>170.65959999999995</v>
      </c>
    </row>
    <row r="11" spans="13:14" x14ac:dyDescent="0.35">
      <c r="M11">
        <v>2021</v>
      </c>
      <c r="N11" s="215">
        <f t="shared" si="0"/>
        <v>167.26720000000023</v>
      </c>
    </row>
    <row r="12" spans="13:14" x14ac:dyDescent="0.35">
      <c r="M12">
        <v>2022</v>
      </c>
      <c r="N12" s="215">
        <f t="shared" si="0"/>
        <v>163.8748000000005</v>
      </c>
    </row>
    <row r="13" spans="13:14" x14ac:dyDescent="0.35">
      <c r="M13">
        <v>2023</v>
      </c>
      <c r="N13" s="215">
        <f t="shared" si="0"/>
        <v>160.48239999999987</v>
      </c>
    </row>
    <row r="14" spans="13:14" x14ac:dyDescent="0.35">
      <c r="M14">
        <v>2024</v>
      </c>
      <c r="N14" s="215">
        <f t="shared" si="0"/>
        <v>157.09000000000015</v>
      </c>
    </row>
    <row r="15" spans="13:14" x14ac:dyDescent="0.35">
      <c r="M15">
        <v>2025</v>
      </c>
      <c r="N15" s="215">
        <f t="shared" si="0"/>
        <v>153.69760000000042</v>
      </c>
    </row>
    <row r="16" spans="13:14" x14ac:dyDescent="0.35">
      <c r="M16">
        <v>2026</v>
      </c>
      <c r="N16" s="215">
        <f t="shared" si="0"/>
        <v>150.30519999999979</v>
      </c>
    </row>
    <row r="17" spans="13:14" x14ac:dyDescent="0.35">
      <c r="M17">
        <v>2027</v>
      </c>
      <c r="N17" s="215">
        <f t="shared" si="0"/>
        <v>146.91280000000006</v>
      </c>
    </row>
    <row r="18" spans="13:14" x14ac:dyDescent="0.35">
      <c r="M18">
        <v>2028</v>
      </c>
      <c r="N18" s="215">
        <f t="shared" si="0"/>
        <v>143.52040000000034</v>
      </c>
    </row>
    <row r="19" spans="13:14" x14ac:dyDescent="0.35">
      <c r="M19">
        <v>2029</v>
      </c>
      <c r="N19" s="215">
        <f t="shared" si="0"/>
        <v>140.1279999999997</v>
      </c>
    </row>
    <row r="20" spans="13:14" x14ac:dyDescent="0.35">
      <c r="M20">
        <v>2030</v>
      </c>
      <c r="N20" s="215">
        <f t="shared" si="0"/>
        <v>136.73559999999998</v>
      </c>
    </row>
    <row r="21" spans="13:14" x14ac:dyDescent="0.35">
      <c r="M21">
        <v>2031</v>
      </c>
      <c r="N21" s="215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FD1F-9334-4A4B-ABC3-EC4A51F5E2B5}">
  <dimension ref="A14:N163"/>
  <sheetViews>
    <sheetView topLeftCell="A61" workbookViewId="0">
      <selection activeCell="C63" sqref="C63"/>
    </sheetView>
  </sheetViews>
  <sheetFormatPr baseColWidth="10" defaultColWidth="10.6328125" defaultRowHeight="14.5" x14ac:dyDescent="0.35"/>
  <cols>
    <col min="1" max="1" width="12.6328125" style="117" customWidth="1"/>
    <col min="2" max="2" width="29.54296875" style="117" customWidth="1"/>
    <col min="3" max="3" width="25.54296875" style="117" customWidth="1"/>
    <col min="4" max="7" width="10.6328125" style="117"/>
    <col min="8" max="8" width="11.1796875" style="117" bestFit="1" customWidth="1"/>
    <col min="9" max="10" width="10.6328125" style="117"/>
    <col min="11" max="11" width="14.1796875" style="117" bestFit="1" customWidth="1"/>
    <col min="12" max="12" width="10.6328125" style="117" customWidth="1"/>
    <col min="13" max="16384" width="10.6328125" style="117"/>
  </cols>
  <sheetData>
    <row r="14" spans="2:9" x14ac:dyDescent="0.35">
      <c r="B14" s="346" t="s">
        <v>221</v>
      </c>
      <c r="C14" s="346"/>
      <c r="D14" s="346"/>
    </row>
    <row r="15" spans="2:9" x14ac:dyDescent="0.35">
      <c r="B15" s="144">
        <v>2013</v>
      </c>
      <c r="C15" s="144">
        <v>2014</v>
      </c>
      <c r="D15" s="144">
        <v>2015</v>
      </c>
      <c r="E15" s="144">
        <v>2016</v>
      </c>
      <c r="F15" s="144">
        <v>2017</v>
      </c>
      <c r="G15" s="144">
        <v>2018</v>
      </c>
      <c r="H15" s="144">
        <v>2019</v>
      </c>
      <c r="I15" s="144">
        <v>2020</v>
      </c>
    </row>
    <row r="16" spans="2:9" x14ac:dyDescent="0.35">
      <c r="B16" s="145">
        <f>PRODUCT(B23:H23)</f>
        <v>1.0628266375198947</v>
      </c>
      <c r="C16" s="145">
        <f>PRODUCT(C23:H23)</f>
        <v>1.0538687531183883</v>
      </c>
      <c r="D16" s="145">
        <f>PRODUCT(D23:H23)</f>
        <v>1.0634397105130056</v>
      </c>
      <c r="E16" s="145">
        <f>PRODUCT(E23:H23)</f>
        <v>1.0539541234023839</v>
      </c>
      <c r="F16" s="145">
        <f>PRODUCT(F23:H23)</f>
        <v>1.0424867689440003</v>
      </c>
      <c r="G16" s="145">
        <f>PRODUCT(G23:H23)</f>
        <v>1.0287021600000001</v>
      </c>
      <c r="H16" s="145">
        <f>PRODUCT(H23:H23)</f>
        <v>1.0133000000000001</v>
      </c>
      <c r="I16" s="145"/>
    </row>
    <row r="19" spans="1:12" x14ac:dyDescent="0.35">
      <c r="B19" s="346" t="s">
        <v>3</v>
      </c>
      <c r="C19" s="346"/>
      <c r="D19" s="346"/>
    </row>
    <row r="21" spans="1:12" x14ac:dyDescent="0.35">
      <c r="B21" s="144">
        <v>2013</v>
      </c>
      <c r="C21" s="144">
        <v>2014</v>
      </c>
      <c r="D21" s="144">
        <v>2015</v>
      </c>
      <c r="E21" s="144">
        <v>2016</v>
      </c>
      <c r="F21" s="144">
        <v>2017</v>
      </c>
      <c r="G21" s="144">
        <v>2018</v>
      </c>
      <c r="H21" s="144">
        <v>2019</v>
      </c>
      <c r="I21" s="144">
        <v>2020</v>
      </c>
    </row>
    <row r="22" spans="1:12" x14ac:dyDescent="0.35">
      <c r="A22" s="117" t="s">
        <v>4</v>
      </c>
      <c r="B22" s="146">
        <v>1.33</v>
      </c>
      <c r="C22" s="146">
        <v>1.33</v>
      </c>
      <c r="D22" s="146">
        <v>1.1100000000000001</v>
      </c>
      <c r="E22" s="146">
        <v>1.1100000000000001</v>
      </c>
      <c r="F22" s="147">
        <v>1.1299999999999999</v>
      </c>
      <c r="G22" s="146">
        <v>1.18</v>
      </c>
      <c r="H22" s="146">
        <v>1.1200000000000001</v>
      </c>
      <c r="I22" s="146">
        <v>1.1100000000000001</v>
      </c>
    </row>
    <row r="23" spans="1:12" x14ac:dyDescent="0.35">
      <c r="A23" s="117" t="s">
        <v>5</v>
      </c>
      <c r="B23" s="148">
        <v>1.0085</v>
      </c>
      <c r="C23" s="148">
        <v>0.99099999999999999</v>
      </c>
      <c r="D23" s="148">
        <v>1.0089999999999999</v>
      </c>
      <c r="E23" s="148">
        <v>1.0109999999999999</v>
      </c>
      <c r="F23" s="148">
        <v>1.0134000000000001</v>
      </c>
      <c r="G23" s="148">
        <v>1.0152000000000001</v>
      </c>
      <c r="H23" s="148">
        <v>1.0133000000000001</v>
      </c>
      <c r="I23" s="148"/>
    </row>
    <row r="28" spans="1:12" x14ac:dyDescent="0.35">
      <c r="F28" s="335" t="s">
        <v>6</v>
      </c>
      <c r="G28" s="335"/>
      <c r="H28" s="336" t="s">
        <v>343</v>
      </c>
      <c r="I28" s="336"/>
      <c r="J28" s="336"/>
    </row>
    <row r="29" spans="1:12" x14ac:dyDescent="0.35">
      <c r="C29" s="149" t="s">
        <v>7</v>
      </c>
      <c r="D29" s="149" t="s">
        <v>16</v>
      </c>
      <c r="E29" s="149" t="s">
        <v>8</v>
      </c>
      <c r="F29" s="150" t="s">
        <v>10</v>
      </c>
      <c r="G29" s="150" t="s">
        <v>9</v>
      </c>
      <c r="H29" s="151" t="s">
        <v>10</v>
      </c>
      <c r="I29" s="151" t="s">
        <v>9</v>
      </c>
      <c r="J29" s="151" t="s">
        <v>20</v>
      </c>
    </row>
    <row r="30" spans="1:12" ht="14.25" customHeight="1" x14ac:dyDescent="0.35">
      <c r="A30" s="338" t="s">
        <v>310</v>
      </c>
      <c r="B30" s="329" t="s">
        <v>11</v>
      </c>
      <c r="C30" s="164" t="s">
        <v>14</v>
      </c>
      <c r="D30" s="164" t="s">
        <v>18</v>
      </c>
      <c r="E30" s="165">
        <v>2013</v>
      </c>
      <c r="F30" s="164">
        <v>200</v>
      </c>
      <c r="G30" s="164">
        <v>200</v>
      </c>
      <c r="H30" s="164">
        <f>F30*B22*B16/50</f>
        <v>5.6542377116058402</v>
      </c>
      <c r="I30" s="164"/>
      <c r="J30" s="164">
        <f>282.711885580292/50</f>
        <v>5.6542377116058402</v>
      </c>
      <c r="K30" s="330">
        <f>AVERAGE(J30:J32)</f>
        <v>6.1503151815236947</v>
      </c>
      <c r="L30" s="329" t="s">
        <v>17</v>
      </c>
    </row>
    <row r="31" spans="1:12" x14ac:dyDescent="0.35">
      <c r="A31" s="338"/>
      <c r="B31" s="329"/>
      <c r="C31" s="164" t="s">
        <v>12</v>
      </c>
      <c r="D31" s="164" t="s">
        <v>19</v>
      </c>
      <c r="E31" s="165">
        <v>2015</v>
      </c>
      <c r="F31" s="164">
        <v>2.76</v>
      </c>
      <c r="G31" s="164">
        <v>2.76</v>
      </c>
      <c r="H31" s="164">
        <f>F31*D22*D16</f>
        <v>3.2579538971276438</v>
      </c>
      <c r="I31" s="164"/>
      <c r="J31" s="164">
        <v>3.2579538971276438</v>
      </c>
      <c r="K31" s="330"/>
      <c r="L31" s="329"/>
    </row>
    <row r="32" spans="1:12" x14ac:dyDescent="0.35">
      <c r="A32" s="338"/>
      <c r="B32" s="329"/>
      <c r="C32" s="164" t="s">
        <v>13</v>
      </c>
      <c r="D32" s="164" t="s">
        <v>17</v>
      </c>
      <c r="E32" s="165">
        <v>2017</v>
      </c>
      <c r="F32" s="164">
        <v>8</v>
      </c>
      <c r="G32" s="164">
        <v>10.3</v>
      </c>
      <c r="H32" s="164">
        <f>F32*F16</f>
        <v>8.3398941515520022</v>
      </c>
      <c r="I32" s="164">
        <f>G32*F16</f>
        <v>10.737613720123203</v>
      </c>
      <c r="J32" s="164">
        <f>(H32+I32)/2</f>
        <v>9.5387539358376028</v>
      </c>
      <c r="K32" s="330"/>
      <c r="L32" s="329"/>
    </row>
    <row r="33" spans="1:14" x14ac:dyDescent="0.35">
      <c r="A33" s="338"/>
      <c r="B33" s="166" t="s">
        <v>280</v>
      </c>
      <c r="C33" s="167" t="s">
        <v>26</v>
      </c>
      <c r="D33" s="168" t="s">
        <v>18</v>
      </c>
      <c r="E33" s="166">
        <v>2013</v>
      </c>
      <c r="F33" s="169">
        <v>260</v>
      </c>
      <c r="G33" s="169">
        <v>590</v>
      </c>
      <c r="H33" s="169">
        <f>F33*B22*B16/50</f>
        <v>7.3505090250875922</v>
      </c>
      <c r="I33" s="169">
        <f>G33*B22*B16/50</f>
        <v>16.680001249237229</v>
      </c>
      <c r="J33" s="168">
        <f>(H33+I33)/2</f>
        <v>12.015255137162411</v>
      </c>
      <c r="K33" s="331">
        <f>AVERAGE(J33:J36)</f>
        <v>8.0128315372024659</v>
      </c>
      <c r="L33" s="334" t="s">
        <v>17</v>
      </c>
    </row>
    <row r="34" spans="1:14" x14ac:dyDescent="0.35">
      <c r="A34" s="338"/>
      <c r="B34" s="166" t="s">
        <v>280</v>
      </c>
      <c r="C34" s="170" t="s">
        <v>27</v>
      </c>
      <c r="D34" s="168" t="s">
        <v>19</v>
      </c>
      <c r="E34" s="166">
        <v>2015</v>
      </c>
      <c r="F34" s="169">
        <v>1.85</v>
      </c>
      <c r="G34" s="169">
        <v>2.76</v>
      </c>
      <c r="H34" s="169">
        <f>F34*D22*D16</f>
        <v>2.1837734455384572</v>
      </c>
      <c r="I34" s="169">
        <f>G34*D22*D16</f>
        <v>3.2579538971276438</v>
      </c>
      <c r="J34" s="168">
        <f>(H34+I34)/2</f>
        <v>2.7208636713330505</v>
      </c>
      <c r="K34" s="331"/>
      <c r="L34" s="334"/>
    </row>
    <row r="35" spans="1:14" x14ac:dyDescent="0.35">
      <c r="A35" s="338"/>
      <c r="B35" s="166" t="s">
        <v>280</v>
      </c>
      <c r="C35" s="170" t="s">
        <v>28</v>
      </c>
      <c r="D35" s="168" t="s">
        <v>17</v>
      </c>
      <c r="E35" s="166">
        <v>2017</v>
      </c>
      <c r="F35" s="169">
        <v>10</v>
      </c>
      <c r="G35" s="169">
        <v>12.7</v>
      </c>
      <c r="H35" s="169">
        <f>F35*F16</f>
        <v>10.424867689440003</v>
      </c>
      <c r="I35" s="169">
        <f>G35*F16</f>
        <v>13.239581965588803</v>
      </c>
      <c r="J35" s="168">
        <f>(H35+I35)/2</f>
        <v>11.832224827514402</v>
      </c>
      <c r="K35" s="331"/>
      <c r="L35" s="334"/>
    </row>
    <row r="36" spans="1:14" x14ac:dyDescent="0.35">
      <c r="A36" s="338"/>
      <c r="B36" s="166" t="s">
        <v>280</v>
      </c>
      <c r="C36" s="170" t="s">
        <v>29</v>
      </c>
      <c r="D36" s="168" t="s">
        <v>17</v>
      </c>
      <c r="E36" s="166">
        <v>2018</v>
      </c>
      <c r="F36" s="169">
        <v>5.33</v>
      </c>
      <c r="G36" s="169">
        <v>5.33</v>
      </c>
      <c r="H36" s="169">
        <f>F36*G16</f>
        <v>5.4829825128000005</v>
      </c>
      <c r="I36" s="169"/>
      <c r="J36" s="169">
        <v>5.4829825128000005</v>
      </c>
      <c r="K36" s="331"/>
      <c r="L36" s="334"/>
    </row>
    <row r="37" spans="1:14" x14ac:dyDescent="0.35">
      <c r="A37" s="338"/>
      <c r="B37" s="163" t="s">
        <v>281</v>
      </c>
      <c r="C37" s="171" t="s">
        <v>28</v>
      </c>
      <c r="D37" s="163" t="s">
        <v>17</v>
      </c>
      <c r="E37" s="163">
        <v>2017</v>
      </c>
      <c r="F37" s="163">
        <v>3</v>
      </c>
      <c r="G37" s="163">
        <v>4</v>
      </c>
      <c r="H37" s="172">
        <f>F37*F16</f>
        <v>3.1274603068320008</v>
      </c>
      <c r="I37" s="172">
        <f>G37*F16</f>
        <v>4.1699470757760011</v>
      </c>
      <c r="J37" s="172">
        <f>(H37+I37)/2</f>
        <v>3.648703691304001</v>
      </c>
      <c r="K37" s="328">
        <f>AVERAGE(J37:J38)</f>
        <v>8.3398941515520022</v>
      </c>
      <c r="L37" s="329" t="s">
        <v>17</v>
      </c>
    </row>
    <row r="38" spans="1:14" x14ac:dyDescent="0.35">
      <c r="A38" s="338"/>
      <c r="B38" s="163" t="s">
        <v>281</v>
      </c>
      <c r="C38" s="171" t="s">
        <v>31</v>
      </c>
      <c r="D38" s="163" t="s">
        <v>17</v>
      </c>
      <c r="E38" s="163">
        <v>2017</v>
      </c>
      <c r="F38" s="163">
        <v>10</v>
      </c>
      <c r="G38" s="163">
        <v>15</v>
      </c>
      <c r="H38" s="172">
        <f>F38*F16</f>
        <v>10.424867689440003</v>
      </c>
      <c r="I38" s="172">
        <f>G38*F16</f>
        <v>15.637301534160004</v>
      </c>
      <c r="J38" s="172">
        <f t="shared" ref="J38:J54" si="0">(H38+I38)/2</f>
        <v>13.031084611800004</v>
      </c>
      <c r="K38" s="328"/>
      <c r="L38" s="329"/>
    </row>
    <row r="39" spans="1:14" x14ac:dyDescent="0.35">
      <c r="A39" s="338"/>
      <c r="B39" s="166" t="s">
        <v>282</v>
      </c>
      <c r="C39" s="174" t="s">
        <v>35</v>
      </c>
      <c r="D39" s="166" t="s">
        <v>41</v>
      </c>
      <c r="E39" s="166">
        <v>2017</v>
      </c>
      <c r="F39" s="166">
        <v>250</v>
      </c>
      <c r="G39" s="166">
        <v>250</v>
      </c>
      <c r="H39" s="169">
        <f>F39*F16</f>
        <v>260.62169223600006</v>
      </c>
      <c r="I39" s="169"/>
      <c r="J39" s="169">
        <f>H39</f>
        <v>260.62169223600006</v>
      </c>
      <c r="K39" s="331">
        <f>AVERAGE(J39:J44)</f>
        <v>205.54175386368004</v>
      </c>
      <c r="L39" s="334" t="s">
        <v>41</v>
      </c>
      <c r="M39" s="333" t="s">
        <v>383</v>
      </c>
      <c r="N39" s="215"/>
    </row>
    <row r="40" spans="1:14" x14ac:dyDescent="0.35">
      <c r="A40" s="338"/>
      <c r="B40" s="166" t="s">
        <v>282</v>
      </c>
      <c r="C40" s="174" t="s">
        <v>36</v>
      </c>
      <c r="D40" s="166" t="s">
        <v>41</v>
      </c>
      <c r="E40" s="166">
        <v>2018</v>
      </c>
      <c r="F40" s="166">
        <v>147</v>
      </c>
      <c r="G40" s="166">
        <v>210</v>
      </c>
      <c r="H40" s="169">
        <f>F40*G16</f>
        <v>151.21921752000003</v>
      </c>
      <c r="I40" s="169">
        <f>G40*G16</f>
        <v>216.02745360000003</v>
      </c>
      <c r="J40" s="169">
        <f t="shared" si="0"/>
        <v>183.62333556000004</v>
      </c>
      <c r="K40" s="331"/>
      <c r="L40" s="334"/>
      <c r="M40" s="333"/>
    </row>
    <row r="41" spans="1:14" x14ac:dyDescent="0.35">
      <c r="A41" s="338"/>
      <c r="B41" s="166" t="s">
        <v>282</v>
      </c>
      <c r="C41" s="174" t="s">
        <v>37</v>
      </c>
      <c r="D41" s="166" t="s">
        <v>41</v>
      </c>
      <c r="E41" s="166">
        <v>2018</v>
      </c>
      <c r="F41" s="166">
        <v>220</v>
      </c>
      <c r="G41" s="166">
        <v>250</v>
      </c>
      <c r="H41" s="169">
        <f>F41*G16</f>
        <v>226.31447520000003</v>
      </c>
      <c r="I41" s="169">
        <f>G41*G16</f>
        <v>257.17554000000001</v>
      </c>
      <c r="J41" s="169">
        <f t="shared" si="0"/>
        <v>241.74500760000001</v>
      </c>
      <c r="K41" s="331"/>
      <c r="L41" s="334"/>
      <c r="M41" s="333"/>
    </row>
    <row r="42" spans="1:14" x14ac:dyDescent="0.35">
      <c r="A42" s="338"/>
      <c r="B42" s="166" t="s">
        <v>282</v>
      </c>
      <c r="C42" s="174" t="s">
        <v>38</v>
      </c>
      <c r="D42" s="166" t="s">
        <v>41</v>
      </c>
      <c r="E42" s="166">
        <v>2018</v>
      </c>
      <c r="F42" s="166">
        <v>130</v>
      </c>
      <c r="G42" s="166">
        <v>170</v>
      </c>
      <c r="H42" s="169">
        <f>F42*G16</f>
        <v>133.73128080000001</v>
      </c>
      <c r="I42" s="169">
        <f>G42*H16</f>
        <v>172.26100000000002</v>
      </c>
      <c r="J42" s="169">
        <f t="shared" si="0"/>
        <v>152.9961404</v>
      </c>
      <c r="K42" s="331"/>
      <c r="L42" s="334"/>
      <c r="M42" s="333"/>
    </row>
    <row r="43" spans="1:14" x14ac:dyDescent="0.35">
      <c r="A43" s="338"/>
      <c r="B43" s="166" t="s">
        <v>282</v>
      </c>
      <c r="C43" s="174" t="s">
        <v>39</v>
      </c>
      <c r="D43" s="166" t="s">
        <v>41</v>
      </c>
      <c r="E43" s="166">
        <v>2019</v>
      </c>
      <c r="F43" s="166">
        <v>171</v>
      </c>
      <c r="G43" s="166">
        <v>253</v>
      </c>
      <c r="H43" s="169">
        <f>F43*H16</f>
        <v>173.27430000000001</v>
      </c>
      <c r="I43" s="169">
        <f>G43*H16</f>
        <v>256.36490000000003</v>
      </c>
      <c r="J43" s="169">
        <f t="shared" si="0"/>
        <v>214.81960000000004</v>
      </c>
      <c r="K43" s="331"/>
      <c r="L43" s="334"/>
      <c r="M43" s="333"/>
    </row>
    <row r="44" spans="1:14" x14ac:dyDescent="0.35">
      <c r="A44" s="338"/>
      <c r="B44" s="166" t="s">
        <v>282</v>
      </c>
      <c r="C44" s="174" t="s">
        <v>28</v>
      </c>
      <c r="D44" s="166" t="s">
        <v>44</v>
      </c>
      <c r="E44" s="166">
        <v>2019</v>
      </c>
      <c r="F44" s="166">
        <v>140</v>
      </c>
      <c r="G44" s="166">
        <v>207</v>
      </c>
      <c r="H44" s="169">
        <f>F44*F16</f>
        <v>145.94814765216003</v>
      </c>
      <c r="I44" s="169">
        <f>G44*G16</f>
        <v>212.94134712000002</v>
      </c>
      <c r="J44" s="169">
        <f t="shared" si="0"/>
        <v>179.44474738608002</v>
      </c>
      <c r="K44" s="331"/>
      <c r="L44" s="334"/>
      <c r="M44" s="333"/>
    </row>
    <row r="45" spans="1:14" x14ac:dyDescent="0.35">
      <c r="A45" s="338"/>
      <c r="B45" s="166" t="s">
        <v>282</v>
      </c>
      <c r="C45" s="174" t="s">
        <v>40</v>
      </c>
      <c r="D45" s="166" t="s">
        <v>41</v>
      </c>
      <c r="E45" s="166">
        <v>2020</v>
      </c>
      <c r="F45" s="166">
        <v>149.1</v>
      </c>
      <c r="G45" s="166">
        <v>203.8</v>
      </c>
      <c r="H45" s="166">
        <v>149.1</v>
      </c>
      <c r="I45" s="166">
        <v>203.8</v>
      </c>
      <c r="J45" s="169">
        <f t="shared" si="0"/>
        <v>176.45</v>
      </c>
      <c r="K45" s="331">
        <f>AVERAGE(J45:J50)</f>
        <v>117.84868017711865</v>
      </c>
      <c r="L45" s="334"/>
      <c r="M45" s="333" t="s">
        <v>384</v>
      </c>
    </row>
    <row r="46" spans="1:14" x14ac:dyDescent="0.35">
      <c r="A46" s="338"/>
      <c r="B46" s="166" t="s">
        <v>282</v>
      </c>
      <c r="C46" s="174" t="s">
        <v>35</v>
      </c>
      <c r="D46" s="166" t="s">
        <v>45</v>
      </c>
      <c r="E46" s="166">
        <v>2020</v>
      </c>
      <c r="F46" s="166">
        <v>70</v>
      </c>
      <c r="G46" s="166">
        <v>70</v>
      </c>
      <c r="H46" s="169">
        <f>F46*G16</f>
        <v>72.009151200000005</v>
      </c>
      <c r="I46" s="169">
        <f>G46*G16</f>
        <v>72.009151200000005</v>
      </c>
      <c r="J46" s="169">
        <f t="shared" si="0"/>
        <v>72.009151200000005</v>
      </c>
      <c r="K46" s="331"/>
      <c r="L46" s="334"/>
      <c r="M46" s="333"/>
      <c r="N46" s="215"/>
    </row>
    <row r="47" spans="1:14" x14ac:dyDescent="0.35">
      <c r="A47" s="338"/>
      <c r="B47" s="166" t="s">
        <v>282</v>
      </c>
      <c r="C47" s="174" t="s">
        <v>36</v>
      </c>
      <c r="D47" s="166" t="s">
        <v>44</v>
      </c>
      <c r="E47" s="166">
        <v>2025</v>
      </c>
      <c r="F47" s="166">
        <v>110</v>
      </c>
      <c r="G47" s="166">
        <v>126</v>
      </c>
      <c r="H47" s="169">
        <f>F47*F16</f>
        <v>114.67354458384003</v>
      </c>
      <c r="I47" s="169">
        <f>G47*F16</f>
        <v>131.35333288694403</v>
      </c>
      <c r="J47" s="169">
        <f t="shared" si="0"/>
        <v>123.01343873539203</v>
      </c>
      <c r="K47" s="331"/>
      <c r="L47" s="334"/>
      <c r="M47" s="333"/>
    </row>
    <row r="48" spans="1:14" x14ac:dyDescent="0.35">
      <c r="A48" s="338"/>
      <c r="B48" s="166" t="s">
        <v>282</v>
      </c>
      <c r="C48" s="174" t="s">
        <v>36</v>
      </c>
      <c r="D48" s="166" t="s">
        <v>44</v>
      </c>
      <c r="E48" s="166">
        <v>2025</v>
      </c>
      <c r="F48" s="166">
        <v>85</v>
      </c>
      <c r="G48" s="166">
        <v>100</v>
      </c>
      <c r="H48" s="169">
        <f>F48*F16</f>
        <v>88.611375360240018</v>
      </c>
      <c r="I48" s="169">
        <f>G48*F16</f>
        <v>104.24867689440003</v>
      </c>
      <c r="J48" s="169">
        <f t="shared" si="0"/>
        <v>96.430026127320019</v>
      </c>
      <c r="K48" s="331"/>
      <c r="L48" s="334"/>
      <c r="M48" s="333"/>
    </row>
    <row r="49" spans="1:13" x14ac:dyDescent="0.35">
      <c r="A49" s="338"/>
      <c r="B49" s="166" t="s">
        <v>282</v>
      </c>
      <c r="C49" s="174" t="s">
        <v>37</v>
      </c>
      <c r="D49" s="166" t="s">
        <v>45</v>
      </c>
      <c r="E49" s="166">
        <v>2025</v>
      </c>
      <c r="F49" s="166">
        <v>125</v>
      </c>
      <c r="G49" s="166">
        <v>125</v>
      </c>
      <c r="H49" s="169">
        <f>F49*G16</f>
        <v>128.58777000000001</v>
      </c>
      <c r="I49" s="169">
        <f>G49*G16</f>
        <v>128.58777000000001</v>
      </c>
      <c r="J49" s="169">
        <f t="shared" si="0"/>
        <v>128.58777000000001</v>
      </c>
      <c r="K49" s="331"/>
      <c r="L49" s="334"/>
      <c r="M49" s="333"/>
    </row>
    <row r="50" spans="1:13" x14ac:dyDescent="0.35">
      <c r="A50" s="338"/>
      <c r="B50" s="166" t="s">
        <v>282</v>
      </c>
      <c r="C50" s="174" t="s">
        <v>40</v>
      </c>
      <c r="D50" s="166" t="s">
        <v>46</v>
      </c>
      <c r="E50" s="166">
        <v>2025</v>
      </c>
      <c r="F50" s="166">
        <v>92.2</v>
      </c>
      <c r="G50" s="166">
        <v>126.1</v>
      </c>
      <c r="H50" s="169">
        <f>F50*H16</f>
        <v>93.426260000000013</v>
      </c>
      <c r="I50" s="169">
        <f>G50*H16</f>
        <v>127.77713</v>
      </c>
      <c r="J50" s="169">
        <f t="shared" si="0"/>
        <v>110.60169500000001</v>
      </c>
      <c r="K50" s="331"/>
      <c r="L50" s="334"/>
      <c r="M50" s="333"/>
    </row>
    <row r="51" spans="1:13" x14ac:dyDescent="0.35">
      <c r="A51" s="338"/>
      <c r="B51" s="166" t="s">
        <v>282</v>
      </c>
      <c r="C51" s="174" t="s">
        <v>38</v>
      </c>
      <c r="D51" s="166" t="s">
        <v>46</v>
      </c>
      <c r="E51" s="166">
        <v>2030</v>
      </c>
      <c r="F51" s="166">
        <v>100</v>
      </c>
      <c r="G51" s="166">
        <v>150</v>
      </c>
      <c r="H51" s="169">
        <f>F51*H16</f>
        <v>101.33000000000001</v>
      </c>
      <c r="I51" s="169">
        <f>G51*H16</f>
        <v>151.995</v>
      </c>
      <c r="J51" s="169">
        <f t="shared" si="0"/>
        <v>126.66250000000001</v>
      </c>
      <c r="K51" s="331">
        <f>AVERAGE(J51:J54)</f>
        <v>169.97671353387403</v>
      </c>
      <c r="L51" s="334"/>
      <c r="M51" s="333"/>
    </row>
    <row r="52" spans="1:13" x14ac:dyDescent="0.35">
      <c r="A52" s="338"/>
      <c r="B52" s="166" t="s">
        <v>282</v>
      </c>
      <c r="C52" s="174" t="s">
        <v>39</v>
      </c>
      <c r="D52" s="166" t="s">
        <v>45</v>
      </c>
      <c r="E52" s="166">
        <v>2030</v>
      </c>
      <c r="F52" s="166">
        <v>171</v>
      </c>
      <c r="G52" s="166">
        <v>253</v>
      </c>
      <c r="H52" s="169">
        <f>F52*G16</f>
        <v>175.90806936000001</v>
      </c>
      <c r="I52" s="169">
        <f>G52*G16</f>
        <v>260.26164648000002</v>
      </c>
      <c r="J52" s="169">
        <f t="shared" si="0"/>
        <v>218.08485792000002</v>
      </c>
      <c r="K52" s="331"/>
      <c r="L52" s="334"/>
      <c r="M52" s="333"/>
    </row>
    <row r="53" spans="1:13" x14ac:dyDescent="0.35">
      <c r="A53" s="338"/>
      <c r="B53" s="166" t="s">
        <v>282</v>
      </c>
      <c r="C53" s="174" t="s">
        <v>28</v>
      </c>
      <c r="D53" s="166" t="s">
        <v>44</v>
      </c>
      <c r="E53" s="166">
        <v>2030</v>
      </c>
      <c r="F53" s="166">
        <v>122</v>
      </c>
      <c r="G53" s="166">
        <v>204</v>
      </c>
      <c r="H53" s="175">
        <f>F53*F16</f>
        <v>127.18338581116804</v>
      </c>
      <c r="I53" s="175">
        <f>G53*F16</f>
        <v>212.66730086457605</v>
      </c>
      <c r="J53" s="169">
        <f t="shared" si="0"/>
        <v>169.92534333787205</v>
      </c>
      <c r="K53" s="331"/>
      <c r="L53" s="334"/>
      <c r="M53" s="333"/>
    </row>
    <row r="54" spans="1:13" x14ac:dyDescent="0.35">
      <c r="A54" s="338"/>
      <c r="B54" s="166" t="s">
        <v>282</v>
      </c>
      <c r="C54" s="174" t="s">
        <v>28</v>
      </c>
      <c r="D54" s="166" t="s">
        <v>44</v>
      </c>
      <c r="E54" s="166">
        <v>2030</v>
      </c>
      <c r="F54" s="166">
        <v>117</v>
      </c>
      <c r="G54" s="166">
        <v>200</v>
      </c>
      <c r="H54" s="175">
        <f>F54*F16</f>
        <v>121.97095196644803</v>
      </c>
      <c r="I54" s="175">
        <f>G54*F16</f>
        <v>208.49735378880007</v>
      </c>
      <c r="J54" s="169">
        <f t="shared" si="0"/>
        <v>165.23415287762404</v>
      </c>
      <c r="K54" s="331"/>
      <c r="L54" s="334"/>
      <c r="M54" s="333"/>
    </row>
    <row r="55" spans="1:13" x14ac:dyDescent="0.35">
      <c r="A55" s="338"/>
      <c r="B55" s="163" t="s">
        <v>283</v>
      </c>
      <c r="C55" s="173" t="s">
        <v>12</v>
      </c>
      <c r="D55" s="173" t="s">
        <v>165</v>
      </c>
      <c r="E55" s="173">
        <v>2015</v>
      </c>
      <c r="F55" s="172">
        <v>1.5</v>
      </c>
      <c r="G55" s="173"/>
      <c r="H55" s="172">
        <f>F55*D16</f>
        <v>1.5951595657695083</v>
      </c>
      <c r="I55" s="173"/>
      <c r="J55" s="171">
        <f>H55</f>
        <v>1.5951595657695083</v>
      </c>
      <c r="K55" s="197">
        <f t="shared" ref="K55:K61" si="1">J55</f>
        <v>1.5951595657695083</v>
      </c>
      <c r="L55" s="208" t="str">
        <f>VLOOKUP(B55,B55:K152,3,FALSE)</f>
        <v>€/ kW</v>
      </c>
    </row>
    <row r="56" spans="1:13" x14ac:dyDescent="0.35">
      <c r="A56" s="338"/>
      <c r="B56" s="166" t="s">
        <v>292</v>
      </c>
      <c r="C56" s="174" t="s">
        <v>182</v>
      </c>
      <c r="D56" s="174" t="s">
        <v>183</v>
      </c>
      <c r="E56" s="174">
        <v>2014</v>
      </c>
      <c r="F56" s="169">
        <v>1.39</v>
      </c>
      <c r="G56" s="174"/>
      <c r="H56" s="169">
        <f>F56*C16</f>
        <v>1.4648775668345597</v>
      </c>
      <c r="I56" s="174"/>
      <c r="J56" s="170">
        <f t="shared" ref="J56:J108" si="2">H56</f>
        <v>1.4648775668345597</v>
      </c>
      <c r="K56" s="199">
        <f t="shared" si="1"/>
        <v>1.4648775668345597</v>
      </c>
      <c r="L56" s="198" t="str">
        <f>VLOOKUP(B56,B56:K155,3,FALSE)</f>
        <v xml:space="preserve">€/kg </v>
      </c>
    </row>
    <row r="57" spans="1:13" x14ac:dyDescent="0.35">
      <c r="A57" s="338"/>
      <c r="B57" s="163" t="s">
        <v>291</v>
      </c>
      <c r="C57" s="173" t="s">
        <v>182</v>
      </c>
      <c r="D57" s="173" t="s">
        <v>183</v>
      </c>
      <c r="E57" s="173">
        <v>2014</v>
      </c>
      <c r="F57" s="172">
        <v>2.9889999999999999</v>
      </c>
      <c r="G57" s="173"/>
      <c r="H57" s="176">
        <f>F57*C16</f>
        <v>3.1500137030708628</v>
      </c>
      <c r="I57" s="173"/>
      <c r="J57" s="171">
        <f t="shared" si="2"/>
        <v>3.1500137030708628</v>
      </c>
      <c r="K57" s="197">
        <f t="shared" si="1"/>
        <v>3.1500137030708628</v>
      </c>
      <c r="L57" s="208" t="str">
        <f>VLOOKUP(B57,B57:K158,3,FALSE)</f>
        <v xml:space="preserve">€/kg </v>
      </c>
    </row>
    <row r="58" spans="1:13" x14ac:dyDescent="0.35">
      <c r="A58" s="338"/>
      <c r="B58" s="166" t="s">
        <v>293</v>
      </c>
      <c r="C58" s="174" t="s">
        <v>182</v>
      </c>
      <c r="D58" s="174" t="s">
        <v>183</v>
      </c>
      <c r="E58" s="174">
        <v>2014</v>
      </c>
      <c r="F58" s="169">
        <v>5.84</v>
      </c>
      <c r="G58" s="174"/>
      <c r="H58" s="169">
        <f>F58*C16</f>
        <v>6.1545935182113878</v>
      </c>
      <c r="I58" s="174"/>
      <c r="J58" s="170">
        <f t="shared" si="2"/>
        <v>6.1545935182113878</v>
      </c>
      <c r="K58" s="199">
        <f t="shared" si="1"/>
        <v>6.1545935182113878</v>
      </c>
      <c r="L58" s="198" t="str">
        <f>VLOOKUP(B58,B58:K159,3,FALSE)</f>
        <v xml:space="preserve">€/kg </v>
      </c>
    </row>
    <row r="59" spans="1:13" x14ac:dyDescent="0.35">
      <c r="A59" s="338"/>
      <c r="B59" s="163" t="s">
        <v>294</v>
      </c>
      <c r="C59" s="173" t="s">
        <v>182</v>
      </c>
      <c r="D59" s="173" t="s">
        <v>183</v>
      </c>
      <c r="E59" s="173">
        <v>2014</v>
      </c>
      <c r="F59" s="172">
        <v>2.99</v>
      </c>
      <c r="G59" s="173"/>
      <c r="H59" s="172">
        <f>F59*C16</f>
        <v>3.1510675718239813</v>
      </c>
      <c r="I59" s="173"/>
      <c r="J59" s="171">
        <f t="shared" si="2"/>
        <v>3.1510675718239813</v>
      </c>
      <c r="K59" s="197">
        <f t="shared" si="1"/>
        <v>3.1510675718239813</v>
      </c>
      <c r="L59" s="208" t="str">
        <f>VLOOKUP(B59,B59:K160,3,FALSE)</f>
        <v xml:space="preserve">€/kg </v>
      </c>
    </row>
    <row r="60" spans="1:13" x14ac:dyDescent="0.35">
      <c r="A60" s="338"/>
      <c r="B60" s="166" t="s">
        <v>295</v>
      </c>
      <c r="C60" s="174" t="s">
        <v>182</v>
      </c>
      <c r="D60" s="174" t="s">
        <v>183</v>
      </c>
      <c r="E60" s="174">
        <v>2014</v>
      </c>
      <c r="F60" s="174">
        <v>3.5</v>
      </c>
      <c r="G60" s="174"/>
      <c r="H60" s="174">
        <f>F60*C16</f>
        <v>3.6885406359143591</v>
      </c>
      <c r="I60" s="174"/>
      <c r="J60" s="170">
        <f t="shared" si="2"/>
        <v>3.6885406359143591</v>
      </c>
      <c r="K60" s="199">
        <f t="shared" si="1"/>
        <v>3.6885406359143591</v>
      </c>
      <c r="L60" s="198" t="str">
        <f>VLOOKUP(B60,B60:K161,3,FALSE)</f>
        <v xml:space="preserve">€/kg </v>
      </c>
    </row>
    <row r="61" spans="1:13" s="234" customFormat="1" x14ac:dyDescent="0.35">
      <c r="A61" s="235"/>
      <c r="B61" s="166" t="s">
        <v>395</v>
      </c>
      <c r="C61" s="174" t="s">
        <v>243</v>
      </c>
      <c r="D61" s="174" t="s">
        <v>138</v>
      </c>
      <c r="E61" s="174">
        <v>2013</v>
      </c>
      <c r="F61" s="174">
        <v>500</v>
      </c>
      <c r="G61" s="174"/>
      <c r="H61" s="174">
        <f>F61*B16</f>
        <v>531.4133187599474</v>
      </c>
      <c r="I61" s="174"/>
      <c r="J61" s="170">
        <f>H61</f>
        <v>531.4133187599474</v>
      </c>
      <c r="K61" s="231">
        <f t="shared" si="1"/>
        <v>531.4133187599474</v>
      </c>
      <c r="L61" s="233" t="s">
        <v>138</v>
      </c>
    </row>
    <row r="62" spans="1:13" x14ac:dyDescent="0.35">
      <c r="A62" s="337" t="s">
        <v>309</v>
      </c>
      <c r="B62" s="163" t="s">
        <v>284</v>
      </c>
      <c r="C62" s="177" t="s">
        <v>171</v>
      </c>
      <c r="D62" s="178" t="s">
        <v>101</v>
      </c>
      <c r="E62" s="163">
        <v>2015</v>
      </c>
      <c r="F62" s="179">
        <v>6.67</v>
      </c>
      <c r="G62" s="163"/>
      <c r="H62" s="179">
        <f>F62*D16</f>
        <v>7.0931428691217473</v>
      </c>
      <c r="I62" s="163"/>
      <c r="J62" s="171">
        <f t="shared" si="2"/>
        <v>7.0931428691217473</v>
      </c>
      <c r="K62" s="197">
        <f>J62</f>
        <v>7.0931428691217473</v>
      </c>
      <c r="L62" s="208" t="str">
        <f>VLOOKUP(B62,B62:K162,3,FALSE)</f>
        <v>€/kg</v>
      </c>
    </row>
    <row r="63" spans="1:13" x14ac:dyDescent="0.35">
      <c r="A63" s="337"/>
      <c r="B63" s="166" t="s">
        <v>285</v>
      </c>
      <c r="C63" s="180" t="s">
        <v>174</v>
      </c>
      <c r="D63" s="181" t="s">
        <v>138</v>
      </c>
      <c r="E63" s="166">
        <v>2014</v>
      </c>
      <c r="F63" s="182">
        <v>200</v>
      </c>
      <c r="G63" s="166"/>
      <c r="H63" s="182">
        <f>F63*C16</f>
        <v>210.77375062367767</v>
      </c>
      <c r="I63" s="166"/>
      <c r="J63" s="170">
        <f t="shared" si="2"/>
        <v>210.77375062367767</v>
      </c>
      <c r="K63" s="332">
        <f>AVERAGE(J63:J64)</f>
        <v>211.66953906382832</v>
      </c>
      <c r="L63" s="334" t="s">
        <v>138</v>
      </c>
    </row>
    <row r="64" spans="1:13" x14ac:dyDescent="0.35">
      <c r="A64" s="337"/>
      <c r="B64" s="166" t="s">
        <v>285</v>
      </c>
      <c r="C64" s="166" t="s">
        <v>243</v>
      </c>
      <c r="D64" s="166" t="s">
        <v>138</v>
      </c>
      <c r="E64" s="166">
        <v>2012</v>
      </c>
      <c r="F64" s="166">
        <v>200</v>
      </c>
      <c r="G64" s="166"/>
      <c r="H64" s="166">
        <f>F64*B16</f>
        <v>212.56532750397895</v>
      </c>
      <c r="I64" s="166"/>
      <c r="J64" s="170">
        <f t="shared" si="2"/>
        <v>212.56532750397895</v>
      </c>
      <c r="K64" s="332"/>
      <c r="L64" s="334"/>
    </row>
    <row r="65" spans="1:12" s="143" customFormat="1" x14ac:dyDescent="0.35">
      <c r="A65" s="337"/>
      <c r="B65" s="163" t="s">
        <v>339</v>
      </c>
      <c r="C65" s="163" t="s">
        <v>340</v>
      </c>
      <c r="D65" s="163" t="s">
        <v>138</v>
      </c>
      <c r="E65" s="163">
        <v>2020</v>
      </c>
      <c r="F65" s="163">
        <v>500</v>
      </c>
      <c r="G65" s="163"/>
      <c r="H65" s="163">
        <v>500</v>
      </c>
      <c r="I65" s="163"/>
      <c r="J65" s="171">
        <v>500</v>
      </c>
      <c r="K65" s="207">
        <f t="shared" ref="K65:K73" si="3">J65</f>
        <v>500</v>
      </c>
      <c r="L65" s="208" t="str">
        <f>VLOOKUP(B65,B65:K74,3,FALSE)</f>
        <v>€</v>
      </c>
    </row>
    <row r="66" spans="1:12" x14ac:dyDescent="0.35">
      <c r="A66" s="337"/>
      <c r="B66" s="166" t="s">
        <v>286</v>
      </c>
      <c r="C66" s="180" t="s">
        <v>178</v>
      </c>
      <c r="D66" s="181" t="s">
        <v>138</v>
      </c>
      <c r="E66" s="166">
        <v>2014</v>
      </c>
      <c r="F66" s="182">
        <v>250</v>
      </c>
      <c r="G66" s="166"/>
      <c r="H66" s="182">
        <f>F66*C16</f>
        <v>263.46718827959711</v>
      </c>
      <c r="I66" s="166"/>
      <c r="J66" s="170">
        <f t="shared" si="2"/>
        <v>263.46718827959711</v>
      </c>
      <c r="K66" s="200">
        <f t="shared" si="3"/>
        <v>263.46718827959711</v>
      </c>
      <c r="L66" s="198" t="str">
        <f>VLOOKUP(B66,B66:K77,3,FALSE)</f>
        <v>€</v>
      </c>
    </row>
    <row r="67" spans="1:12" x14ac:dyDescent="0.35">
      <c r="A67" s="337"/>
      <c r="B67" s="163" t="s">
        <v>287</v>
      </c>
      <c r="C67" s="177" t="s">
        <v>178</v>
      </c>
      <c r="D67" s="178" t="s">
        <v>138</v>
      </c>
      <c r="E67" s="163">
        <v>2014</v>
      </c>
      <c r="F67" s="179">
        <v>160</v>
      </c>
      <c r="G67" s="163"/>
      <c r="H67" s="179">
        <f>F67*C16</f>
        <v>168.61900049894214</v>
      </c>
      <c r="I67" s="163"/>
      <c r="J67" s="171">
        <f t="shared" si="2"/>
        <v>168.61900049894214</v>
      </c>
      <c r="K67" s="207">
        <f t="shared" si="3"/>
        <v>168.61900049894214</v>
      </c>
      <c r="L67" s="208" t="str">
        <f>VLOOKUP(B67,B67:K78,3,FALSE)</f>
        <v>€</v>
      </c>
    </row>
    <row r="68" spans="1:12" x14ac:dyDescent="0.35">
      <c r="A68" s="337"/>
      <c r="B68" s="152" t="s">
        <v>288</v>
      </c>
      <c r="C68" s="155" t="s">
        <v>222</v>
      </c>
      <c r="D68" s="156" t="s">
        <v>101</v>
      </c>
      <c r="E68" s="152">
        <v>2014</v>
      </c>
      <c r="F68" s="157">
        <v>5.84</v>
      </c>
      <c r="G68" s="152"/>
      <c r="H68" s="157">
        <f>F68*C16</f>
        <v>6.1545935182113878</v>
      </c>
      <c r="I68" s="152"/>
      <c r="J68" s="154">
        <f t="shared" si="2"/>
        <v>6.1545935182113878</v>
      </c>
      <c r="K68" s="200">
        <f t="shared" si="3"/>
        <v>6.1545935182113878</v>
      </c>
      <c r="L68" s="198" t="str">
        <f>VLOOKUP(B68,B68:K79,3,FALSE)</f>
        <v>€/kg</v>
      </c>
    </row>
    <row r="69" spans="1:12" x14ac:dyDescent="0.35">
      <c r="A69" s="337"/>
      <c r="B69" s="163" t="s">
        <v>289</v>
      </c>
      <c r="C69" s="177" t="s">
        <v>223</v>
      </c>
      <c r="D69" s="178" t="s">
        <v>101</v>
      </c>
      <c r="E69" s="163">
        <v>2014</v>
      </c>
      <c r="F69" s="179">
        <v>3.34</v>
      </c>
      <c r="G69" s="163"/>
      <c r="H69" s="179">
        <f>F69*C16</f>
        <v>3.5199216354154168</v>
      </c>
      <c r="I69" s="163"/>
      <c r="J69" s="171">
        <f t="shared" si="2"/>
        <v>3.5199216354154168</v>
      </c>
      <c r="K69" s="207">
        <f t="shared" si="3"/>
        <v>3.5199216354154168</v>
      </c>
      <c r="L69" s="208" t="str">
        <f>VLOOKUP(B69,B69:K81,3,FALSE)</f>
        <v>€/kg</v>
      </c>
    </row>
    <row r="70" spans="1:12" x14ac:dyDescent="0.35">
      <c r="A70" s="337"/>
      <c r="B70" s="152" t="s">
        <v>290</v>
      </c>
      <c r="C70" s="155" t="s">
        <v>156</v>
      </c>
      <c r="D70" s="156" t="s">
        <v>101</v>
      </c>
      <c r="E70" s="152">
        <v>2014</v>
      </c>
      <c r="F70" s="157">
        <v>3.33</v>
      </c>
      <c r="G70" s="152"/>
      <c r="H70" s="157">
        <f>F70*C16</f>
        <v>3.5093829478842333</v>
      </c>
      <c r="I70" s="152"/>
      <c r="J70" s="154">
        <f t="shared" si="2"/>
        <v>3.5093829478842333</v>
      </c>
      <c r="K70" s="200">
        <f t="shared" si="3"/>
        <v>3.5093829478842333</v>
      </c>
      <c r="L70" s="198" t="str">
        <f>VLOOKUP(B70,B70:K83,3,FALSE)</f>
        <v>€/kg</v>
      </c>
    </row>
    <row r="71" spans="1:12" ht="14.25" customHeight="1" x14ac:dyDescent="0.35">
      <c r="A71" s="343" t="s">
        <v>300</v>
      </c>
      <c r="B71" s="163" t="s">
        <v>296</v>
      </c>
      <c r="C71" s="163" t="s">
        <v>191</v>
      </c>
      <c r="D71" s="163" t="s">
        <v>138</v>
      </c>
      <c r="E71" s="163">
        <v>2014</v>
      </c>
      <c r="F71" s="163">
        <v>125</v>
      </c>
      <c r="G71" s="183"/>
      <c r="H71" s="172">
        <f>F71*C16</f>
        <v>131.73359413979856</v>
      </c>
      <c r="I71" s="163"/>
      <c r="J71" s="171">
        <f t="shared" si="2"/>
        <v>131.73359413979856</v>
      </c>
      <c r="K71" s="207">
        <f t="shared" si="3"/>
        <v>131.73359413979856</v>
      </c>
      <c r="L71" s="208" t="str">
        <f>VLOOKUP(B71,B71:K85,3,FALSE)</f>
        <v>€</v>
      </c>
    </row>
    <row r="72" spans="1:12" x14ac:dyDescent="0.35">
      <c r="A72" s="344"/>
      <c r="B72" s="152" t="s">
        <v>297</v>
      </c>
      <c r="C72" s="152" t="s">
        <v>191</v>
      </c>
      <c r="D72" s="152" t="s">
        <v>138</v>
      </c>
      <c r="E72" s="152">
        <v>2014</v>
      </c>
      <c r="F72" s="152">
        <v>75</v>
      </c>
      <c r="G72" s="158"/>
      <c r="H72" s="153">
        <f>F72*C16</f>
        <v>79.04015648387913</v>
      </c>
      <c r="I72" s="152"/>
      <c r="J72" s="154">
        <f t="shared" si="2"/>
        <v>79.04015648387913</v>
      </c>
      <c r="K72" s="200">
        <f t="shared" si="3"/>
        <v>79.04015648387913</v>
      </c>
      <c r="L72" s="198" t="str">
        <f>VLOOKUP(B72,B72:K86,3,FALSE)</f>
        <v>€</v>
      </c>
    </row>
    <row r="73" spans="1:12" x14ac:dyDescent="0.35">
      <c r="A73" s="344"/>
      <c r="B73" s="163" t="s">
        <v>298</v>
      </c>
      <c r="C73" s="163" t="s">
        <v>194</v>
      </c>
      <c r="D73" s="163" t="s">
        <v>138</v>
      </c>
      <c r="E73" s="163">
        <v>2014</v>
      </c>
      <c r="F73" s="163">
        <v>50</v>
      </c>
      <c r="G73" s="163"/>
      <c r="H73" s="163">
        <f>F73*C16</f>
        <v>52.693437655919418</v>
      </c>
      <c r="I73" s="163"/>
      <c r="J73" s="171">
        <f t="shared" si="2"/>
        <v>52.693437655919418</v>
      </c>
      <c r="K73" s="207">
        <f t="shared" si="3"/>
        <v>52.693437655919418</v>
      </c>
      <c r="L73" s="208" t="str">
        <f>VLOOKUP(B73,B73:K87,3,FALSE)</f>
        <v>€</v>
      </c>
    </row>
    <row r="74" spans="1:12" x14ac:dyDescent="0.35">
      <c r="A74" s="344"/>
      <c r="B74" s="152" t="s">
        <v>299</v>
      </c>
      <c r="C74" s="152" t="s">
        <v>194</v>
      </c>
      <c r="D74" s="152" t="s">
        <v>138</v>
      </c>
      <c r="E74" s="152">
        <v>2014</v>
      </c>
      <c r="F74" s="152">
        <v>200</v>
      </c>
      <c r="G74" s="152"/>
      <c r="H74" s="152">
        <f>F74*C16</f>
        <v>210.77375062367767</v>
      </c>
      <c r="I74" s="152"/>
      <c r="J74" s="154">
        <f t="shared" si="2"/>
        <v>210.77375062367767</v>
      </c>
      <c r="K74" s="200">
        <f>J74</f>
        <v>210.77375062367767</v>
      </c>
      <c r="L74" s="198" t="str">
        <f>VLOOKUP(B74,B74:K88,3,FALSE)</f>
        <v>€</v>
      </c>
    </row>
    <row r="75" spans="1:12" s="210" customFormat="1" x14ac:dyDescent="0.35">
      <c r="A75" s="344"/>
      <c r="B75" s="152" t="s">
        <v>385</v>
      </c>
      <c r="C75" s="152" t="s">
        <v>207</v>
      </c>
      <c r="D75" s="152" t="s">
        <v>101</v>
      </c>
      <c r="E75" s="152">
        <v>2014</v>
      </c>
      <c r="F75" s="152">
        <v>25</v>
      </c>
      <c r="G75" s="152"/>
      <c r="H75" s="152">
        <f>F75*C16</f>
        <v>26.346718827959709</v>
      </c>
      <c r="I75" s="152"/>
      <c r="J75" s="154">
        <f t="shared" si="2"/>
        <v>26.346718827959709</v>
      </c>
      <c r="K75" s="200">
        <f>J75</f>
        <v>26.346718827959709</v>
      </c>
      <c r="L75" s="209" t="str">
        <f>VLOOKUP(B75,B75:K89,3,FALSE)</f>
        <v>€/kg</v>
      </c>
    </row>
    <row r="76" spans="1:12" s="234" customFormat="1" x14ac:dyDescent="0.35">
      <c r="A76" s="345"/>
      <c r="B76" s="152" t="s">
        <v>391</v>
      </c>
      <c r="C76" s="152" t="s">
        <v>392</v>
      </c>
      <c r="D76" s="152" t="s">
        <v>138</v>
      </c>
      <c r="E76" s="152">
        <v>2017</v>
      </c>
      <c r="F76" s="152">
        <v>200</v>
      </c>
      <c r="G76" s="152"/>
      <c r="H76" s="152">
        <f>F76*F16</f>
        <v>208.49735378880007</v>
      </c>
      <c r="I76" s="152"/>
      <c r="J76" s="154">
        <f>H76</f>
        <v>208.49735378880007</v>
      </c>
      <c r="K76" s="200">
        <f>J76</f>
        <v>208.49735378880007</v>
      </c>
      <c r="L76" s="233" t="s">
        <v>138</v>
      </c>
    </row>
    <row r="77" spans="1:12" ht="14.25" customHeight="1" x14ac:dyDescent="0.35">
      <c r="A77" s="340" t="s">
        <v>308</v>
      </c>
      <c r="B77" s="163" t="s">
        <v>301</v>
      </c>
      <c r="C77" s="163" t="s">
        <v>207</v>
      </c>
      <c r="D77" s="163" t="s">
        <v>138</v>
      </c>
      <c r="E77" s="163">
        <v>2014</v>
      </c>
      <c r="F77" s="163">
        <v>120</v>
      </c>
      <c r="G77" s="163"/>
      <c r="H77" s="163">
        <f>F77*C16</f>
        <v>126.4642503742066</v>
      </c>
      <c r="I77" s="163"/>
      <c r="J77" s="171">
        <f t="shared" si="2"/>
        <v>126.4642503742066</v>
      </c>
      <c r="K77" s="328">
        <f>AVERAGE(J77:J78)</f>
        <v>89.802791125100669</v>
      </c>
      <c r="L77" s="347" t="s">
        <v>138</v>
      </c>
    </row>
    <row r="78" spans="1:12" x14ac:dyDescent="0.35">
      <c r="A78" s="341"/>
      <c r="B78" s="163" t="s">
        <v>301</v>
      </c>
      <c r="C78" s="163" t="s">
        <v>243</v>
      </c>
      <c r="D78" s="163" t="s">
        <v>138</v>
      </c>
      <c r="E78" s="163">
        <v>2012</v>
      </c>
      <c r="F78" s="163">
        <v>50</v>
      </c>
      <c r="G78" s="163"/>
      <c r="H78" s="163">
        <f>F78*B16</f>
        <v>53.141331875994737</v>
      </c>
      <c r="I78" s="163"/>
      <c r="J78" s="171">
        <f t="shared" si="2"/>
        <v>53.141331875994737</v>
      </c>
      <c r="K78" s="328"/>
      <c r="L78" s="347"/>
    </row>
    <row r="79" spans="1:12" x14ac:dyDescent="0.35">
      <c r="A79" s="341"/>
      <c r="B79" s="152" t="s">
        <v>302</v>
      </c>
      <c r="C79" s="152" t="s">
        <v>207</v>
      </c>
      <c r="D79" s="152" t="s">
        <v>138</v>
      </c>
      <c r="E79" s="152">
        <v>2014</v>
      </c>
      <c r="F79" s="152">
        <v>170</v>
      </c>
      <c r="G79" s="152"/>
      <c r="H79" s="152">
        <f>F79*C16</f>
        <v>179.15768803012602</v>
      </c>
      <c r="I79" s="152"/>
      <c r="J79" s="154">
        <f t="shared" si="2"/>
        <v>179.15768803012602</v>
      </c>
      <c r="K79" s="322">
        <f>AVERAGE(J79:J80)</f>
        <v>141.578844015063</v>
      </c>
      <c r="L79" s="324" t="str">
        <f>VLOOKUP(B79,B79:K83,3,FALSE)</f>
        <v>€</v>
      </c>
    </row>
    <row r="80" spans="1:12" s="220" customFormat="1" x14ac:dyDescent="0.35">
      <c r="A80" s="341"/>
      <c r="B80" s="152" t="s">
        <v>302</v>
      </c>
      <c r="C80" s="152" t="s">
        <v>387</v>
      </c>
      <c r="D80" s="152" t="s">
        <v>138</v>
      </c>
      <c r="E80" s="152">
        <v>2020</v>
      </c>
      <c r="F80" s="152">
        <v>104</v>
      </c>
      <c r="G80" s="152"/>
      <c r="H80" s="152">
        <v>104</v>
      </c>
      <c r="I80" s="152"/>
      <c r="J80" s="154">
        <v>104</v>
      </c>
      <c r="K80" s="323"/>
      <c r="L80" s="325"/>
    </row>
    <row r="81" spans="1:12" x14ac:dyDescent="0.35">
      <c r="A81" s="341"/>
      <c r="B81" s="163" t="s">
        <v>341</v>
      </c>
      <c r="C81" s="163" t="s">
        <v>207</v>
      </c>
      <c r="D81" s="163" t="s">
        <v>138</v>
      </c>
      <c r="E81" s="163">
        <v>2014</v>
      </c>
      <c r="F81" s="163">
        <v>90</v>
      </c>
      <c r="G81" s="163"/>
      <c r="H81" s="163">
        <f>F81*C16</f>
        <v>94.848187780654953</v>
      </c>
      <c r="I81" s="163"/>
      <c r="J81" s="171">
        <f t="shared" si="2"/>
        <v>94.848187780654953</v>
      </c>
      <c r="K81" s="318">
        <f>AVERAGE(J81:J82)</f>
        <v>113.22409389032748</v>
      </c>
      <c r="L81" s="314" t="str">
        <f>VLOOKUP(B81,B81:K85,3,FALSE)</f>
        <v>€</v>
      </c>
    </row>
    <row r="82" spans="1:12" s="220" customFormat="1" x14ac:dyDescent="0.35">
      <c r="A82" s="341"/>
      <c r="B82" s="163" t="s">
        <v>341</v>
      </c>
      <c r="C82" s="163" t="s">
        <v>387</v>
      </c>
      <c r="D82" s="163" t="s">
        <v>138</v>
      </c>
      <c r="E82" s="163">
        <v>2020</v>
      </c>
      <c r="F82" s="163">
        <v>131.6</v>
      </c>
      <c r="G82" s="163"/>
      <c r="H82" s="163">
        <v>131.6</v>
      </c>
      <c r="I82" s="163"/>
      <c r="J82" s="171">
        <v>131.6</v>
      </c>
      <c r="K82" s="319"/>
      <c r="L82" s="315"/>
    </row>
    <row r="83" spans="1:12" x14ac:dyDescent="0.35">
      <c r="A83" s="341"/>
      <c r="B83" s="152" t="s">
        <v>303</v>
      </c>
      <c r="C83" s="152" t="s">
        <v>207</v>
      </c>
      <c r="D83" s="152" t="s">
        <v>138</v>
      </c>
      <c r="E83" s="152">
        <v>2014</v>
      </c>
      <c r="F83" s="152">
        <v>9</v>
      </c>
      <c r="G83" s="152"/>
      <c r="H83" s="152">
        <f>F83*C16</f>
        <v>9.4848187780654953</v>
      </c>
      <c r="I83" s="152"/>
      <c r="J83" s="154">
        <f>H83</f>
        <v>9.4848187780654953</v>
      </c>
      <c r="K83" s="322">
        <f>AVERAGE(J83:J84)</f>
        <v>10.042409389032748</v>
      </c>
      <c r="L83" s="324" t="str">
        <f>VLOOKUP(B83,B83:K86,3,FALSE)</f>
        <v>€</v>
      </c>
    </row>
    <row r="84" spans="1:12" s="220" customFormat="1" x14ac:dyDescent="0.35">
      <c r="A84" s="341"/>
      <c r="B84" s="152" t="s">
        <v>303</v>
      </c>
      <c r="C84" s="152" t="s">
        <v>387</v>
      </c>
      <c r="D84" s="152" t="s">
        <v>138</v>
      </c>
      <c r="E84" s="152">
        <v>2020</v>
      </c>
      <c r="F84" s="152">
        <v>10.6</v>
      </c>
      <c r="G84" s="152"/>
      <c r="H84" s="152">
        <v>10.6</v>
      </c>
      <c r="I84" s="152"/>
      <c r="J84" s="154">
        <v>10.6</v>
      </c>
      <c r="K84" s="323"/>
      <c r="L84" s="325"/>
    </row>
    <row r="85" spans="1:12" x14ac:dyDescent="0.35">
      <c r="A85" s="341"/>
      <c r="B85" s="163" t="s">
        <v>331</v>
      </c>
      <c r="C85" s="163" t="s">
        <v>207</v>
      </c>
      <c r="D85" s="163" t="s">
        <v>138</v>
      </c>
      <c r="E85" s="163">
        <v>2014</v>
      </c>
      <c r="F85" s="163">
        <v>93</v>
      </c>
      <c r="G85" s="163"/>
      <c r="H85" s="163">
        <f>F85*C16</f>
        <v>98.009794040010121</v>
      </c>
      <c r="I85" s="163"/>
      <c r="J85" s="171">
        <f t="shared" si="2"/>
        <v>98.009794040010121</v>
      </c>
      <c r="K85" s="328">
        <f>AVERAGE(J85:J86)</f>
        <v>102.1462288959998</v>
      </c>
      <c r="L85" s="347" t="s">
        <v>138</v>
      </c>
    </row>
    <row r="86" spans="1:12" x14ac:dyDescent="0.35">
      <c r="A86" s="341"/>
      <c r="B86" s="163" t="s">
        <v>331</v>
      </c>
      <c r="C86" s="163" t="s">
        <v>243</v>
      </c>
      <c r="D86" s="163" t="s">
        <v>138</v>
      </c>
      <c r="E86" s="163">
        <v>2012</v>
      </c>
      <c r="F86" s="163">
        <v>100</v>
      </c>
      <c r="G86" s="163"/>
      <c r="H86" s="163">
        <f>F86*B16</f>
        <v>106.28266375198947</v>
      </c>
      <c r="I86" s="163"/>
      <c r="J86" s="171">
        <f t="shared" si="2"/>
        <v>106.28266375198947</v>
      </c>
      <c r="K86" s="328"/>
      <c r="L86" s="347"/>
    </row>
    <row r="87" spans="1:12" x14ac:dyDescent="0.35">
      <c r="A87" s="341"/>
      <c r="B87" s="152" t="s">
        <v>304</v>
      </c>
      <c r="C87" s="152" t="s">
        <v>207</v>
      </c>
      <c r="D87" s="152" t="s">
        <v>138</v>
      </c>
      <c r="E87" s="152">
        <v>2014</v>
      </c>
      <c r="F87" s="152">
        <v>45</v>
      </c>
      <c r="G87" s="152"/>
      <c r="H87" s="152">
        <f>F87*C16</f>
        <v>47.424093890327477</v>
      </c>
      <c r="I87" s="152"/>
      <c r="J87" s="154">
        <f t="shared" si="2"/>
        <v>47.424093890327477</v>
      </c>
      <c r="K87" s="200">
        <v>47.424093890327477</v>
      </c>
      <c r="L87" s="198" t="str">
        <f>VLOOKUP(B87,B87:K89,3,FALSE)</f>
        <v>€</v>
      </c>
    </row>
    <row r="88" spans="1:12" x14ac:dyDescent="0.35">
      <c r="A88" s="341"/>
      <c r="B88" s="163" t="s">
        <v>305</v>
      </c>
      <c r="C88" s="163" t="s">
        <v>207</v>
      </c>
      <c r="D88" s="163" t="s">
        <v>138</v>
      </c>
      <c r="E88" s="163">
        <v>2014</v>
      </c>
      <c r="F88" s="163">
        <v>25</v>
      </c>
      <c r="G88" s="163"/>
      <c r="H88" s="163">
        <f>F88*C16</f>
        <v>26.346718827959709</v>
      </c>
      <c r="I88" s="163"/>
      <c r="J88" s="171">
        <f t="shared" si="2"/>
        <v>26.346718827959709</v>
      </c>
      <c r="K88" s="197">
        <v>26.346718827959709</v>
      </c>
      <c r="L88" s="214" t="str">
        <f>VLOOKUP(B88,B88:K90,3,FALSE)</f>
        <v>€</v>
      </c>
    </row>
    <row r="89" spans="1:12" x14ac:dyDescent="0.35">
      <c r="A89" s="341"/>
      <c r="B89" s="152" t="s">
        <v>306</v>
      </c>
      <c r="C89" s="152" t="s">
        <v>207</v>
      </c>
      <c r="D89" s="152" t="s">
        <v>138</v>
      </c>
      <c r="E89" s="152">
        <v>2014</v>
      </c>
      <c r="F89" s="152">
        <v>18</v>
      </c>
      <c r="G89" s="152"/>
      <c r="H89" s="152">
        <f>F89*C16</f>
        <v>18.969637556130991</v>
      </c>
      <c r="I89" s="152"/>
      <c r="J89" s="154">
        <f t="shared" si="2"/>
        <v>18.969637556130991</v>
      </c>
      <c r="K89" s="200">
        <v>18.969637556130991</v>
      </c>
      <c r="L89" s="198" t="str">
        <f>VLOOKUP(B89,B89:K91,3,FALSE)</f>
        <v>€</v>
      </c>
    </row>
    <row r="90" spans="1:12" x14ac:dyDescent="0.35">
      <c r="A90" s="341"/>
      <c r="B90" s="163" t="s">
        <v>307</v>
      </c>
      <c r="C90" s="163" t="s">
        <v>77</v>
      </c>
      <c r="D90" s="163" t="s">
        <v>78</v>
      </c>
      <c r="E90" s="163">
        <v>2020</v>
      </c>
      <c r="F90" s="163">
        <v>171.47</v>
      </c>
      <c r="G90" s="163"/>
      <c r="H90" s="184">
        <f>I22*F90</f>
        <v>190.33170000000001</v>
      </c>
      <c r="I90" s="163"/>
      <c r="J90" s="171">
        <f t="shared" si="2"/>
        <v>190.33170000000001</v>
      </c>
      <c r="K90" s="330">
        <f>AVERAGE(J90:J91)</f>
        <v>174.20600648387915</v>
      </c>
      <c r="L90" s="347" t="s">
        <v>138</v>
      </c>
    </row>
    <row r="91" spans="1:12" x14ac:dyDescent="0.35">
      <c r="A91" s="341"/>
      <c r="B91" s="163" t="s">
        <v>307</v>
      </c>
      <c r="C91" s="163" t="s">
        <v>207</v>
      </c>
      <c r="D91" s="163" t="s">
        <v>138</v>
      </c>
      <c r="E91" s="163">
        <v>2014</v>
      </c>
      <c r="F91" s="163">
        <v>150</v>
      </c>
      <c r="G91" s="163"/>
      <c r="H91" s="163">
        <f>F91*C16</f>
        <v>158.08031296775826</v>
      </c>
      <c r="I91" s="163"/>
      <c r="J91" s="171">
        <f t="shared" si="2"/>
        <v>158.08031296775826</v>
      </c>
      <c r="K91" s="330"/>
      <c r="L91" s="347"/>
    </row>
    <row r="92" spans="1:12" x14ac:dyDescent="0.35">
      <c r="A92" s="341"/>
      <c r="B92" s="152" t="s">
        <v>386</v>
      </c>
      <c r="C92" s="152" t="s">
        <v>207</v>
      </c>
      <c r="D92" s="152" t="s">
        <v>138</v>
      </c>
      <c r="E92" s="152">
        <v>2014</v>
      </c>
      <c r="F92" s="152">
        <v>50</v>
      </c>
      <c r="G92" s="152"/>
      <c r="H92" s="152">
        <f>F92*C16</f>
        <v>52.693437655919418</v>
      </c>
      <c r="I92" s="152"/>
      <c r="J92" s="154">
        <f t="shared" si="2"/>
        <v>52.693437655919418</v>
      </c>
      <c r="K92" s="348">
        <f>AVERAGE(J92:J94)</f>
        <v>60.944923177304723</v>
      </c>
      <c r="L92" s="334" t="s">
        <v>138</v>
      </c>
    </row>
    <row r="93" spans="1:12" s="220" customFormat="1" x14ac:dyDescent="0.35">
      <c r="A93" s="341"/>
      <c r="B93" s="152" t="s">
        <v>386</v>
      </c>
      <c r="C93" s="152" t="s">
        <v>387</v>
      </c>
      <c r="D93" s="152" t="s">
        <v>138</v>
      </c>
      <c r="E93" s="152">
        <v>2020</v>
      </c>
      <c r="F93" s="152">
        <v>77</v>
      </c>
      <c r="G93" s="152"/>
      <c r="H93" s="152">
        <v>77</v>
      </c>
      <c r="I93" s="152"/>
      <c r="J93" s="154">
        <v>77</v>
      </c>
      <c r="K93" s="348"/>
      <c r="L93" s="334"/>
    </row>
    <row r="94" spans="1:12" x14ac:dyDescent="0.35">
      <c r="A94" s="341"/>
      <c r="B94" s="152" t="s">
        <v>386</v>
      </c>
      <c r="C94" s="152" t="s">
        <v>243</v>
      </c>
      <c r="D94" s="152" t="s">
        <v>138</v>
      </c>
      <c r="E94" s="152">
        <v>2012</v>
      </c>
      <c r="F94" s="152">
        <v>50</v>
      </c>
      <c r="G94" s="152"/>
      <c r="H94" s="152">
        <f>F94*B16</f>
        <v>53.141331875994737</v>
      </c>
      <c r="I94" s="152"/>
      <c r="J94" s="154">
        <f>H94</f>
        <v>53.141331875994737</v>
      </c>
      <c r="K94" s="348"/>
      <c r="L94" s="334"/>
    </row>
    <row r="95" spans="1:12" s="189" customFormat="1" x14ac:dyDescent="0.35">
      <c r="A95" s="342"/>
      <c r="B95" s="152" t="s">
        <v>379</v>
      </c>
      <c r="C95" s="152" t="s">
        <v>207</v>
      </c>
      <c r="D95" s="152" t="s">
        <v>101</v>
      </c>
      <c r="E95" s="152">
        <v>2014</v>
      </c>
      <c r="F95" s="152">
        <v>3.34</v>
      </c>
      <c r="G95" s="152"/>
      <c r="H95" s="211">
        <f>C16*F95</f>
        <v>3.5199216354154168</v>
      </c>
      <c r="I95" s="152"/>
      <c r="J95" s="154">
        <f>H95</f>
        <v>3.5199216354154168</v>
      </c>
      <c r="K95" s="201">
        <f>J95</f>
        <v>3.5199216354154168</v>
      </c>
      <c r="L95" s="198" t="str">
        <f>D95</f>
        <v>€/kg</v>
      </c>
    </row>
    <row r="96" spans="1:12" x14ac:dyDescent="0.35">
      <c r="A96" s="338" t="s">
        <v>313</v>
      </c>
      <c r="B96" s="163" t="s">
        <v>342</v>
      </c>
      <c r="C96" s="163" t="s">
        <v>77</v>
      </c>
      <c r="D96" s="178" t="s">
        <v>75</v>
      </c>
      <c r="E96" s="163">
        <v>2020</v>
      </c>
      <c r="F96" s="179">
        <v>980.56</v>
      </c>
      <c r="G96" s="163"/>
      <c r="H96" s="179">
        <v>980.56</v>
      </c>
      <c r="I96" s="163"/>
      <c r="J96" s="171">
        <f t="shared" si="2"/>
        <v>980.56</v>
      </c>
      <c r="K96" s="197">
        <f>J96</f>
        <v>980.56</v>
      </c>
      <c r="L96" s="208" t="str">
        <f>VLOOKUP(B96,B96:K152,3,FALSE)</f>
        <v>€/Piece</v>
      </c>
    </row>
    <row r="97" spans="1:12" x14ac:dyDescent="0.35">
      <c r="A97" s="338"/>
      <c r="B97" s="152" t="s">
        <v>377</v>
      </c>
      <c r="C97" s="152" t="s">
        <v>207</v>
      </c>
      <c r="D97" s="152" t="s">
        <v>101</v>
      </c>
      <c r="E97" s="152">
        <v>2014</v>
      </c>
      <c r="F97" s="152">
        <v>2.25</v>
      </c>
      <c r="G97" s="152"/>
      <c r="H97" s="152">
        <f>F97*B16</f>
        <v>2.3913599344197629</v>
      </c>
      <c r="I97" s="152"/>
      <c r="J97" s="154">
        <f t="shared" si="2"/>
        <v>2.3913599344197629</v>
      </c>
      <c r="K97" s="322">
        <f>AVERAGE(J97:J98)</f>
        <v>2.6956799672098812</v>
      </c>
      <c r="L97" s="324" t="str">
        <f>VLOOKUP(B97,B97:K155,3,FALSE)</f>
        <v>€/kg</v>
      </c>
    </row>
    <row r="98" spans="1:12" s="220" customFormat="1" x14ac:dyDescent="0.35">
      <c r="A98" s="338"/>
      <c r="B98" s="152" t="s">
        <v>377</v>
      </c>
      <c r="C98" s="152" t="s">
        <v>77</v>
      </c>
      <c r="D98" s="152" t="s">
        <v>101</v>
      </c>
      <c r="E98" s="152">
        <v>2020</v>
      </c>
      <c r="F98" s="152">
        <v>3</v>
      </c>
      <c r="G98" s="152"/>
      <c r="H98" s="152">
        <v>3</v>
      </c>
      <c r="I98" s="152"/>
      <c r="J98" s="154">
        <v>3</v>
      </c>
      <c r="K98" s="323"/>
      <c r="L98" s="325"/>
    </row>
    <row r="99" spans="1:12" x14ac:dyDescent="0.35">
      <c r="A99" s="338"/>
      <c r="B99" s="163" t="s">
        <v>311</v>
      </c>
      <c r="C99" s="163" t="s">
        <v>243</v>
      </c>
      <c r="D99" s="163" t="s">
        <v>138</v>
      </c>
      <c r="E99" s="163">
        <v>2012</v>
      </c>
      <c r="F99" s="163">
        <v>7</v>
      </c>
      <c r="G99" s="163"/>
      <c r="H99" s="163">
        <f>F99*B16</f>
        <v>7.4397864626392627</v>
      </c>
      <c r="I99" s="163"/>
      <c r="J99" s="171">
        <f t="shared" si="2"/>
        <v>7.4397864626392627</v>
      </c>
      <c r="K99" s="197">
        <f t="shared" ref="K99:K113" si="4">J99</f>
        <v>7.4397864626392627</v>
      </c>
      <c r="L99" s="208" t="str">
        <f>VLOOKUP(B99,B99:K158,3,FALSE)</f>
        <v>€</v>
      </c>
    </row>
    <row r="100" spans="1:12" x14ac:dyDescent="0.35">
      <c r="A100" s="338"/>
      <c r="B100" s="152" t="s">
        <v>312</v>
      </c>
      <c r="C100" s="152" t="s">
        <v>387</v>
      </c>
      <c r="D100" s="152" t="s">
        <v>138</v>
      </c>
      <c r="E100" s="152">
        <v>2020</v>
      </c>
      <c r="F100" s="152">
        <v>29.5</v>
      </c>
      <c r="G100" s="152"/>
      <c r="H100" s="152">
        <f>F100</f>
        <v>29.5</v>
      </c>
      <c r="I100" s="152"/>
      <c r="J100" s="154">
        <f t="shared" si="2"/>
        <v>29.5</v>
      </c>
      <c r="K100" s="199">
        <f t="shared" si="4"/>
        <v>29.5</v>
      </c>
      <c r="L100" s="198" t="str">
        <f>VLOOKUP(B100,B100:K159,3,FALSE)</f>
        <v>€</v>
      </c>
    </row>
    <row r="101" spans="1:12" s="189" customFormat="1" x14ac:dyDescent="0.35">
      <c r="A101" s="190"/>
      <c r="B101" s="212" t="s">
        <v>378</v>
      </c>
      <c r="C101" s="94" t="s">
        <v>207</v>
      </c>
      <c r="D101" s="94" t="s">
        <v>372</v>
      </c>
      <c r="E101" s="96">
        <v>2014</v>
      </c>
      <c r="F101" s="94">
        <v>48.16</v>
      </c>
      <c r="G101" s="94"/>
      <c r="H101" s="94">
        <f>F101*C16</f>
        <v>50.75431915018158</v>
      </c>
      <c r="I101" s="94"/>
      <c r="J101" s="94">
        <f>H101</f>
        <v>50.75431915018158</v>
      </c>
      <c r="K101" s="213">
        <f t="shared" si="4"/>
        <v>50.75431915018158</v>
      </c>
      <c r="L101" s="214" t="str">
        <f>D101</f>
        <v>€/veh</v>
      </c>
    </row>
    <row r="102" spans="1:12" s="189" customFormat="1" x14ac:dyDescent="0.35">
      <c r="A102" s="190"/>
      <c r="B102" s="152" t="s">
        <v>380</v>
      </c>
      <c r="C102" s="31" t="s">
        <v>207</v>
      </c>
      <c r="D102" s="31" t="s">
        <v>372</v>
      </c>
      <c r="E102" s="33">
        <v>2014</v>
      </c>
      <c r="F102" s="31">
        <v>34.93</v>
      </c>
      <c r="G102" s="31"/>
      <c r="H102" s="31">
        <f>F102*C16</f>
        <v>36.811635546425308</v>
      </c>
      <c r="I102" s="31"/>
      <c r="J102" s="31">
        <f>H102</f>
        <v>36.811635546425308</v>
      </c>
      <c r="K102" s="199">
        <f t="shared" si="4"/>
        <v>36.811635546425308</v>
      </c>
      <c r="L102" s="198" t="str">
        <f>D102</f>
        <v>€/veh</v>
      </c>
    </row>
    <row r="103" spans="1:12" x14ac:dyDescent="0.35">
      <c r="A103" s="339" t="s">
        <v>321</v>
      </c>
      <c r="B103" s="163" t="s">
        <v>131</v>
      </c>
      <c r="C103" s="140" t="s">
        <v>207</v>
      </c>
      <c r="D103" s="140" t="s">
        <v>101</v>
      </c>
      <c r="E103" s="141">
        <v>2014</v>
      </c>
      <c r="F103" s="140">
        <v>3.5</v>
      </c>
      <c r="G103" s="140"/>
      <c r="H103" s="140">
        <f>F103*C16</f>
        <v>3.6885406359143591</v>
      </c>
      <c r="I103" s="140"/>
      <c r="J103" s="140">
        <f>H103</f>
        <v>3.6885406359143591</v>
      </c>
      <c r="K103" s="207">
        <f>J103</f>
        <v>3.6885406359143591</v>
      </c>
      <c r="L103" s="208" t="str">
        <f t="shared" ref="L103:L114" si="5">VLOOKUP(B103,B103:K160,3,FALSE)</f>
        <v>€/kg</v>
      </c>
    </row>
    <row r="104" spans="1:12" x14ac:dyDescent="0.35">
      <c r="A104" s="339"/>
      <c r="B104" s="152" t="s">
        <v>314</v>
      </c>
      <c r="C104" s="218" t="s">
        <v>207</v>
      </c>
      <c r="D104" s="152" t="s">
        <v>101</v>
      </c>
      <c r="E104" s="152">
        <v>2014</v>
      </c>
      <c r="F104" s="152">
        <v>13.5</v>
      </c>
      <c r="G104" s="152"/>
      <c r="H104" s="152">
        <f>F104*C16</f>
        <v>14.227228167098243</v>
      </c>
      <c r="I104" s="152"/>
      <c r="J104" s="154">
        <f t="shared" si="2"/>
        <v>14.227228167098243</v>
      </c>
      <c r="K104" s="199">
        <f t="shared" si="4"/>
        <v>14.227228167098243</v>
      </c>
      <c r="L104" s="198" t="str">
        <f t="shared" si="5"/>
        <v>€/kg</v>
      </c>
    </row>
    <row r="105" spans="1:12" x14ac:dyDescent="0.35">
      <c r="A105" s="339"/>
      <c r="B105" s="163" t="s">
        <v>274</v>
      </c>
      <c r="C105" s="219" t="s">
        <v>382</v>
      </c>
      <c r="D105" s="26" t="s">
        <v>101</v>
      </c>
      <c r="E105" s="18">
        <v>2012</v>
      </c>
      <c r="F105" s="26">
        <v>2</v>
      </c>
      <c r="G105" s="26">
        <v>3</v>
      </c>
      <c r="H105" s="26">
        <f>F105*B16</f>
        <v>2.1256532750397894</v>
      </c>
      <c r="I105" s="26">
        <f>G105*B16</f>
        <v>3.1884799125596839</v>
      </c>
      <c r="J105" s="26">
        <f>AVERAGE(H105:I105)</f>
        <v>2.6570665937997369</v>
      </c>
      <c r="K105" s="207">
        <f t="shared" si="4"/>
        <v>2.6570665937997369</v>
      </c>
      <c r="L105" s="208" t="str">
        <f t="shared" si="5"/>
        <v>€/kg</v>
      </c>
    </row>
    <row r="106" spans="1:12" x14ac:dyDescent="0.35">
      <c r="A106" s="339"/>
      <c r="B106" s="152" t="s">
        <v>315</v>
      </c>
      <c r="C106" s="152" t="s">
        <v>207</v>
      </c>
      <c r="D106" s="152" t="s">
        <v>101</v>
      </c>
      <c r="E106" s="152">
        <v>2013</v>
      </c>
      <c r="F106" s="152">
        <v>0.22</v>
      </c>
      <c r="G106" s="152"/>
      <c r="H106" s="152">
        <f>F106*B16</f>
        <v>0.23382186025437685</v>
      </c>
      <c r="I106" s="152"/>
      <c r="J106" s="154">
        <f t="shared" si="2"/>
        <v>0.23382186025437685</v>
      </c>
      <c r="K106" s="199">
        <f t="shared" si="4"/>
        <v>0.23382186025437685</v>
      </c>
      <c r="L106" s="198" t="str">
        <f t="shared" si="5"/>
        <v>€/kg</v>
      </c>
    </row>
    <row r="107" spans="1:12" x14ac:dyDescent="0.35">
      <c r="A107" s="339"/>
      <c r="B107" s="163" t="s">
        <v>316</v>
      </c>
      <c r="C107" s="163" t="s">
        <v>207</v>
      </c>
      <c r="D107" s="163" t="s">
        <v>101</v>
      </c>
      <c r="E107" s="163">
        <v>2013</v>
      </c>
      <c r="F107" s="163">
        <v>0.7</v>
      </c>
      <c r="G107" s="163"/>
      <c r="H107" s="163">
        <f>F107*B16</f>
        <v>0.74397864626392629</v>
      </c>
      <c r="I107" s="163"/>
      <c r="J107" s="171">
        <f t="shared" si="2"/>
        <v>0.74397864626392629</v>
      </c>
      <c r="K107" s="197">
        <f t="shared" si="4"/>
        <v>0.74397864626392629</v>
      </c>
      <c r="L107" s="208" t="str">
        <f t="shared" si="5"/>
        <v>€/kg</v>
      </c>
    </row>
    <row r="108" spans="1:12" x14ac:dyDescent="0.35">
      <c r="A108" s="339"/>
      <c r="B108" s="152" t="s">
        <v>317</v>
      </c>
      <c r="C108" s="152" t="s">
        <v>207</v>
      </c>
      <c r="D108" s="152" t="s">
        <v>101</v>
      </c>
      <c r="E108" s="152">
        <v>2013</v>
      </c>
      <c r="F108" s="152">
        <v>0.11</v>
      </c>
      <c r="G108" s="152"/>
      <c r="H108" s="152">
        <f>F108*B16</f>
        <v>0.11691093012718842</v>
      </c>
      <c r="I108" s="152"/>
      <c r="J108" s="154">
        <f t="shared" si="2"/>
        <v>0.11691093012718842</v>
      </c>
      <c r="K108" s="199">
        <f t="shared" si="4"/>
        <v>0.11691093012718842</v>
      </c>
      <c r="L108" s="198" t="str">
        <f t="shared" si="5"/>
        <v>€/kg</v>
      </c>
    </row>
    <row r="109" spans="1:12" x14ac:dyDescent="0.35">
      <c r="A109" s="339"/>
      <c r="B109" s="163" t="s">
        <v>365</v>
      </c>
      <c r="C109" s="163" t="s">
        <v>207</v>
      </c>
      <c r="D109" s="163" t="s">
        <v>272</v>
      </c>
      <c r="E109" s="163">
        <v>2014</v>
      </c>
      <c r="F109" s="163">
        <v>120.22</v>
      </c>
      <c r="G109" s="163">
        <v>147.62</v>
      </c>
      <c r="H109" s="163">
        <f>F109*C16</f>
        <v>126.69610149989265</v>
      </c>
      <c r="I109" s="163">
        <f>G109*C16</f>
        <v>155.57210533533649</v>
      </c>
      <c r="J109" s="163">
        <f>(H109+I109)/2</f>
        <v>141.13410341761457</v>
      </c>
      <c r="K109" s="197">
        <f t="shared" si="4"/>
        <v>141.13410341761457</v>
      </c>
      <c r="L109" s="208" t="str">
        <f t="shared" si="5"/>
        <v>€/vehicle</v>
      </c>
    </row>
    <row r="110" spans="1:12" x14ac:dyDescent="0.35">
      <c r="A110" s="339"/>
      <c r="B110" s="152" t="s">
        <v>318</v>
      </c>
      <c r="C110" s="152" t="s">
        <v>207</v>
      </c>
      <c r="D110" s="152" t="s">
        <v>101</v>
      </c>
      <c r="E110" s="152">
        <v>2014</v>
      </c>
      <c r="F110" s="152">
        <v>0.41</v>
      </c>
      <c r="G110" s="152">
        <v>0.6</v>
      </c>
      <c r="H110" s="152">
        <f>F110*C16</f>
        <v>0.43208618877853922</v>
      </c>
      <c r="I110" s="152">
        <f>G110*C16</f>
        <v>0.63232125187103294</v>
      </c>
      <c r="J110" s="152">
        <f t="shared" ref="J110:J116" si="6">(H110+I110)/2</f>
        <v>0.53220372032478602</v>
      </c>
      <c r="K110" s="199">
        <f t="shared" si="4"/>
        <v>0.53220372032478602</v>
      </c>
      <c r="L110" s="198" t="str">
        <f t="shared" si="5"/>
        <v>€/kg</v>
      </c>
    </row>
    <row r="111" spans="1:12" x14ac:dyDescent="0.35">
      <c r="A111" s="339"/>
      <c r="B111" s="163" t="s">
        <v>319</v>
      </c>
      <c r="C111" s="163" t="s">
        <v>207</v>
      </c>
      <c r="D111" s="163" t="s">
        <v>138</v>
      </c>
      <c r="E111" s="163">
        <v>2014</v>
      </c>
      <c r="F111" s="163">
        <v>24.39</v>
      </c>
      <c r="G111" s="163">
        <v>25.27</v>
      </c>
      <c r="H111" s="163">
        <f>F111*C16</f>
        <v>25.703858888557491</v>
      </c>
      <c r="I111" s="163">
        <f>G111*C16</f>
        <v>26.631263391301673</v>
      </c>
      <c r="J111" s="163">
        <f t="shared" si="6"/>
        <v>26.167561139929582</v>
      </c>
      <c r="K111" s="197">
        <f t="shared" si="4"/>
        <v>26.167561139929582</v>
      </c>
      <c r="L111" s="208" t="str">
        <f t="shared" si="5"/>
        <v>€</v>
      </c>
    </row>
    <row r="112" spans="1:12" x14ac:dyDescent="0.35">
      <c r="A112" s="339"/>
      <c r="B112" s="152" t="s">
        <v>362</v>
      </c>
      <c r="C112" s="152" t="s">
        <v>207</v>
      </c>
      <c r="D112" s="152" t="s">
        <v>272</v>
      </c>
      <c r="E112" s="152">
        <v>2013</v>
      </c>
      <c r="F112" s="152">
        <v>96.26</v>
      </c>
      <c r="G112" s="152">
        <v>175.86</v>
      </c>
      <c r="H112" s="152">
        <f>F112*B16</f>
        <v>102.30769212766506</v>
      </c>
      <c r="I112" s="152">
        <f>G112*B16</f>
        <v>186.90869247424871</v>
      </c>
      <c r="J112" s="152">
        <f t="shared" si="6"/>
        <v>144.60819230095689</v>
      </c>
      <c r="K112" s="199">
        <f t="shared" si="4"/>
        <v>144.60819230095689</v>
      </c>
      <c r="L112" s="198" t="str">
        <f t="shared" si="5"/>
        <v>€/vehicle</v>
      </c>
    </row>
    <row r="113" spans="1:12" x14ac:dyDescent="0.35">
      <c r="A113" s="339"/>
      <c r="B113" s="163" t="s">
        <v>320</v>
      </c>
      <c r="C113" s="163" t="s">
        <v>207</v>
      </c>
      <c r="D113" s="163" t="s">
        <v>101</v>
      </c>
      <c r="E113" s="163">
        <v>2013</v>
      </c>
      <c r="F113" s="163">
        <v>0.48</v>
      </c>
      <c r="G113" s="163">
        <v>0.5</v>
      </c>
      <c r="H113" s="163">
        <f>F113*B16</f>
        <v>0.51015678600954939</v>
      </c>
      <c r="I113" s="163">
        <f>G113*B16</f>
        <v>0.53141331875994735</v>
      </c>
      <c r="J113" s="163">
        <f t="shared" si="6"/>
        <v>0.52078505238474837</v>
      </c>
      <c r="K113" s="197">
        <f t="shared" si="4"/>
        <v>0.52078505238474837</v>
      </c>
      <c r="L113" s="208" t="str">
        <f t="shared" si="5"/>
        <v>€/kg</v>
      </c>
    </row>
    <row r="114" spans="1:12" ht="14.25" customHeight="1" x14ac:dyDescent="0.35">
      <c r="A114" s="250" t="s">
        <v>322</v>
      </c>
      <c r="B114" s="152" t="s">
        <v>323</v>
      </c>
      <c r="C114" s="152" t="s">
        <v>338</v>
      </c>
      <c r="D114" s="152" t="s">
        <v>75</v>
      </c>
      <c r="E114" s="152">
        <v>2015</v>
      </c>
      <c r="F114" s="152">
        <v>50.46</v>
      </c>
      <c r="G114" s="152"/>
      <c r="H114" s="152"/>
      <c r="I114" s="152">
        <f>F114*D16</f>
        <v>53.66116779248626</v>
      </c>
      <c r="J114" s="152">
        <f>I114</f>
        <v>53.66116779248626</v>
      </c>
      <c r="K114" s="322">
        <f>AVERAGE(J114:J115)</f>
        <v>82.330583896243127</v>
      </c>
      <c r="L114" s="324" t="str">
        <f t="shared" si="5"/>
        <v>€/Piece</v>
      </c>
    </row>
    <row r="115" spans="1:12" s="220" customFormat="1" ht="14.25" customHeight="1" x14ac:dyDescent="0.35">
      <c r="A115" s="251"/>
      <c r="B115" s="152" t="s">
        <v>323</v>
      </c>
      <c r="C115" s="152" t="s">
        <v>387</v>
      </c>
      <c r="D115" s="152" t="s">
        <v>75</v>
      </c>
      <c r="E115" s="152">
        <v>2020</v>
      </c>
      <c r="F115" s="152">
        <f>100*I22</f>
        <v>111.00000000000001</v>
      </c>
      <c r="G115" s="152"/>
      <c r="H115" s="152">
        <v>111</v>
      </c>
      <c r="I115" s="152"/>
      <c r="J115" s="152">
        <v>111</v>
      </c>
      <c r="K115" s="323"/>
      <c r="L115" s="325"/>
    </row>
    <row r="116" spans="1:12" x14ac:dyDescent="0.35">
      <c r="A116" s="251"/>
      <c r="B116" s="163" t="s">
        <v>324</v>
      </c>
      <c r="C116" s="163" t="s">
        <v>330</v>
      </c>
      <c r="D116" s="163" t="s">
        <v>75</v>
      </c>
      <c r="E116" s="163">
        <v>2019</v>
      </c>
      <c r="F116" s="163">
        <v>2</v>
      </c>
      <c r="G116" s="163">
        <v>10</v>
      </c>
      <c r="H116" s="163">
        <f>F116*H16</f>
        <v>2.0266000000000002</v>
      </c>
      <c r="I116" s="163">
        <f>G116*H16</f>
        <v>10.133000000000001</v>
      </c>
      <c r="J116" s="163">
        <f t="shared" si="6"/>
        <v>6.0798000000000005</v>
      </c>
      <c r="K116" s="318">
        <f>AVERAGE(J116:J117)</f>
        <v>5.8148999999999997</v>
      </c>
      <c r="L116" s="320" t="str">
        <f>VLOOKUP(B116,B116:K172,3,FALSE)</f>
        <v>€/Piece</v>
      </c>
    </row>
    <row r="117" spans="1:12" s="220" customFormat="1" x14ac:dyDescent="0.35">
      <c r="A117" s="251"/>
      <c r="B117" s="163" t="s">
        <v>324</v>
      </c>
      <c r="C117" s="163" t="s">
        <v>387</v>
      </c>
      <c r="D117" s="163" t="s">
        <v>75</v>
      </c>
      <c r="E117" s="163">
        <v>2020</v>
      </c>
      <c r="F117" s="163">
        <f>5*I22</f>
        <v>5.5500000000000007</v>
      </c>
      <c r="G117" s="163"/>
      <c r="H117" s="163">
        <v>5.55</v>
      </c>
      <c r="I117" s="163"/>
      <c r="J117" s="163">
        <v>5.55</v>
      </c>
      <c r="K117" s="319"/>
      <c r="L117" s="321"/>
    </row>
    <row r="118" spans="1:12" s="162" customFormat="1" x14ac:dyDescent="0.35">
      <c r="A118" s="251"/>
      <c r="B118" s="195" t="s">
        <v>326</v>
      </c>
      <c r="C118" s="195" t="s">
        <v>353</v>
      </c>
      <c r="D118" s="195" t="s">
        <v>138</v>
      </c>
      <c r="E118" s="195">
        <v>2020</v>
      </c>
      <c r="F118" s="195">
        <v>6562</v>
      </c>
      <c r="G118" s="195"/>
      <c r="H118" s="195">
        <v>6562</v>
      </c>
      <c r="I118" s="195"/>
      <c r="J118" s="195">
        <v>6562</v>
      </c>
      <c r="K118" s="326">
        <f>AVERAGE(J118:J121)</f>
        <v>3055.1775000000002</v>
      </c>
      <c r="L118" s="327" t="s">
        <v>138</v>
      </c>
    </row>
    <row r="119" spans="1:12" s="162" customFormat="1" x14ac:dyDescent="0.35">
      <c r="A119" s="251"/>
      <c r="B119" s="195" t="s">
        <v>326</v>
      </c>
      <c r="C119" s="195" t="s">
        <v>357</v>
      </c>
      <c r="D119" s="195" t="s">
        <v>138</v>
      </c>
      <c r="E119" s="195">
        <v>2020</v>
      </c>
      <c r="F119" s="195">
        <v>3000</v>
      </c>
      <c r="G119" s="195"/>
      <c r="H119" s="195">
        <v>3000</v>
      </c>
      <c r="I119" s="195"/>
      <c r="J119" s="195">
        <v>3000</v>
      </c>
      <c r="K119" s="326"/>
      <c r="L119" s="327"/>
    </row>
    <row r="120" spans="1:12" s="162" customFormat="1" x14ac:dyDescent="0.35">
      <c r="A120" s="251"/>
      <c r="B120" s="195" t="s">
        <v>326</v>
      </c>
      <c r="C120" s="195" t="s">
        <v>358</v>
      </c>
      <c r="D120" s="195" t="s">
        <v>138</v>
      </c>
      <c r="E120" s="195">
        <v>2020</v>
      </c>
      <c r="F120" s="195">
        <v>1741.28</v>
      </c>
      <c r="G120" s="195"/>
      <c r="H120" s="195">
        <v>1741.28</v>
      </c>
      <c r="I120" s="195"/>
      <c r="J120" s="195">
        <v>1741.28</v>
      </c>
      <c r="K120" s="326"/>
      <c r="L120" s="327"/>
    </row>
    <row r="121" spans="1:12" s="162" customFormat="1" x14ac:dyDescent="0.35">
      <c r="A121" s="251"/>
      <c r="B121" s="195" t="s">
        <v>326</v>
      </c>
      <c r="C121" s="195" t="s">
        <v>359</v>
      </c>
      <c r="D121" s="195" t="s">
        <v>138</v>
      </c>
      <c r="E121" s="195">
        <v>2022</v>
      </c>
      <c r="F121" s="195">
        <v>917.43</v>
      </c>
      <c r="G121" s="195"/>
      <c r="H121" s="195">
        <v>917.43</v>
      </c>
      <c r="I121" s="195"/>
      <c r="J121" s="195">
        <v>917.43</v>
      </c>
      <c r="K121" s="326"/>
      <c r="L121" s="327"/>
    </row>
    <row r="122" spans="1:12" s="246" customFormat="1" x14ac:dyDescent="0.35">
      <c r="A122" s="251"/>
      <c r="B122" s="195" t="s">
        <v>326</v>
      </c>
      <c r="C122" s="195" t="s">
        <v>398</v>
      </c>
      <c r="D122" s="195" t="s">
        <v>138</v>
      </c>
      <c r="E122" s="195">
        <v>2025</v>
      </c>
      <c r="F122" s="195">
        <v>1299.3945000000001</v>
      </c>
      <c r="G122" s="195"/>
      <c r="H122" s="195">
        <v>1299.3945000000001</v>
      </c>
      <c r="I122" s="195"/>
      <c r="J122" s="195">
        <v>1299.3945000000001</v>
      </c>
      <c r="K122" s="247">
        <v>1299.3945000000001</v>
      </c>
      <c r="L122" s="248" t="s">
        <v>138</v>
      </c>
    </row>
    <row r="123" spans="1:12" s="246" customFormat="1" x14ac:dyDescent="0.35">
      <c r="A123" s="251"/>
      <c r="B123" s="195" t="s">
        <v>326</v>
      </c>
      <c r="C123" s="195" t="s">
        <v>398</v>
      </c>
      <c r="D123" s="195" t="s">
        <v>138</v>
      </c>
      <c r="E123" s="195">
        <v>2030</v>
      </c>
      <c r="F123" s="195">
        <v>456.86649999999997</v>
      </c>
      <c r="G123" s="195"/>
      <c r="H123" s="195">
        <v>456.86649999999997</v>
      </c>
      <c r="I123" s="195"/>
      <c r="J123" s="195">
        <v>456.86649999999997</v>
      </c>
      <c r="K123" s="247">
        <v>456.86649999999997</v>
      </c>
      <c r="L123" s="248" t="s">
        <v>138</v>
      </c>
    </row>
    <row r="124" spans="1:12" s="162" customFormat="1" x14ac:dyDescent="0.35">
      <c r="A124" s="251"/>
      <c r="B124" s="163" t="s">
        <v>325</v>
      </c>
      <c r="C124" s="163" t="s">
        <v>354</v>
      </c>
      <c r="D124" s="163" t="s">
        <v>138</v>
      </c>
      <c r="E124" s="163">
        <v>2015</v>
      </c>
      <c r="F124" s="163">
        <v>300</v>
      </c>
      <c r="G124" s="163"/>
      <c r="H124" s="163">
        <v>300</v>
      </c>
      <c r="I124" s="163"/>
      <c r="J124" s="163">
        <v>300</v>
      </c>
      <c r="K124" s="328">
        <f>AVERAGE(H124:H125)</f>
        <v>425.23</v>
      </c>
      <c r="L124" s="329" t="s">
        <v>138</v>
      </c>
    </row>
    <row r="125" spans="1:12" s="162" customFormat="1" x14ac:dyDescent="0.35">
      <c r="A125" s="251"/>
      <c r="B125" s="163" t="s">
        <v>325</v>
      </c>
      <c r="C125" s="163" t="s">
        <v>355</v>
      </c>
      <c r="D125" s="163" t="s">
        <v>138</v>
      </c>
      <c r="E125" s="163">
        <v>2017</v>
      </c>
      <c r="F125" s="163">
        <v>550.46</v>
      </c>
      <c r="G125" s="163"/>
      <c r="H125" s="163">
        <v>550.46</v>
      </c>
      <c r="I125" s="163"/>
      <c r="J125" s="163">
        <v>550.46</v>
      </c>
      <c r="K125" s="328"/>
      <c r="L125" s="329"/>
    </row>
    <row r="126" spans="1:12" s="162" customFormat="1" x14ac:dyDescent="0.35">
      <c r="A126" s="251"/>
      <c r="B126" s="163" t="s">
        <v>325</v>
      </c>
      <c r="C126" s="163" t="s">
        <v>356</v>
      </c>
      <c r="D126" s="163" t="s">
        <v>138</v>
      </c>
      <c r="E126" s="163">
        <v>2018</v>
      </c>
      <c r="F126" s="163">
        <v>100</v>
      </c>
      <c r="G126" s="163"/>
      <c r="H126" s="163">
        <v>102.87021600000001</v>
      </c>
      <c r="I126" s="163"/>
      <c r="J126" s="163">
        <v>102.87021600000001</v>
      </c>
      <c r="K126" s="328">
        <f>AVERAGE(J126:J127)</f>
        <v>304.760108</v>
      </c>
      <c r="L126" s="329" t="s">
        <v>138</v>
      </c>
    </row>
    <row r="127" spans="1:12" s="162" customFormat="1" x14ac:dyDescent="0.35">
      <c r="A127" s="251"/>
      <c r="B127" s="163" t="s">
        <v>325</v>
      </c>
      <c r="C127" s="163" t="s">
        <v>348</v>
      </c>
      <c r="D127" s="163" t="s">
        <v>345</v>
      </c>
      <c r="E127" s="163">
        <v>2019</v>
      </c>
      <c r="F127" s="163">
        <v>500</v>
      </c>
      <c r="G127" s="163"/>
      <c r="H127" s="163">
        <v>506.65000000000003</v>
      </c>
      <c r="I127" s="163"/>
      <c r="J127" s="163">
        <v>506.65000000000003</v>
      </c>
      <c r="K127" s="328"/>
      <c r="L127" s="329"/>
    </row>
    <row r="128" spans="1:12" s="162" customFormat="1" x14ac:dyDescent="0.35">
      <c r="A128" s="251"/>
      <c r="B128" s="163" t="s">
        <v>325</v>
      </c>
      <c r="C128" s="163" t="s">
        <v>349</v>
      </c>
      <c r="D128" s="163" t="s">
        <v>345</v>
      </c>
      <c r="E128" s="163">
        <v>2020</v>
      </c>
      <c r="F128" s="163">
        <v>100</v>
      </c>
      <c r="G128" s="163"/>
      <c r="H128" s="163">
        <v>111.00000000000001</v>
      </c>
      <c r="I128" s="163"/>
      <c r="J128" s="163">
        <v>111.00000000000001</v>
      </c>
      <c r="K128" s="328">
        <f>AVERAGE(J128:J129)</f>
        <v>105.5</v>
      </c>
      <c r="L128" s="329" t="s">
        <v>138</v>
      </c>
    </row>
    <row r="129" spans="1:12" s="162" customFormat="1" x14ac:dyDescent="0.35">
      <c r="A129" s="251"/>
      <c r="B129" s="163" t="s">
        <v>325</v>
      </c>
      <c r="C129" s="163" t="s">
        <v>350</v>
      </c>
      <c r="D129" s="163" t="s">
        <v>138</v>
      </c>
      <c r="E129" s="163">
        <v>2020</v>
      </c>
      <c r="F129" s="163">
        <v>100</v>
      </c>
      <c r="G129" s="163"/>
      <c r="H129" s="163">
        <v>100</v>
      </c>
      <c r="I129" s="163"/>
      <c r="J129" s="163">
        <v>100</v>
      </c>
      <c r="K129" s="328"/>
      <c r="L129" s="329"/>
    </row>
    <row r="130" spans="1:12" s="246" customFormat="1" ht="15.5" x14ac:dyDescent="0.35">
      <c r="A130" s="251"/>
      <c r="B130" s="152" t="s">
        <v>327</v>
      </c>
      <c r="C130" s="202" t="s">
        <v>398</v>
      </c>
      <c r="D130" s="202" t="s">
        <v>138</v>
      </c>
      <c r="E130" s="203">
        <v>2020</v>
      </c>
      <c r="F130" s="203">
        <v>30.2286</v>
      </c>
      <c r="G130" s="202"/>
      <c r="H130" s="204">
        <v>30.2286</v>
      </c>
      <c r="I130" s="202"/>
      <c r="J130" s="204">
        <v>30.2286</v>
      </c>
      <c r="K130" s="252">
        <v>30.23</v>
      </c>
      <c r="L130" s="244"/>
    </row>
    <row r="131" spans="1:12" s="246" customFormat="1" ht="15.5" x14ac:dyDescent="0.35">
      <c r="A131" s="251"/>
      <c r="B131" s="152" t="s">
        <v>327</v>
      </c>
      <c r="C131" s="202" t="s">
        <v>398</v>
      </c>
      <c r="D131" s="202" t="s">
        <v>138</v>
      </c>
      <c r="E131" s="203">
        <v>2025</v>
      </c>
      <c r="F131" s="203">
        <v>28.316099999999999</v>
      </c>
      <c r="G131" s="202"/>
      <c r="H131" s="204">
        <v>28.316099999999999</v>
      </c>
      <c r="I131" s="202"/>
      <c r="J131" s="204">
        <v>28.316099999999999</v>
      </c>
      <c r="K131" s="243">
        <v>28.316099999999999</v>
      </c>
      <c r="L131" s="244" t="s">
        <v>138</v>
      </c>
    </row>
    <row r="132" spans="1:12" s="246" customFormat="1" ht="15.5" x14ac:dyDescent="0.35">
      <c r="A132" s="251"/>
      <c r="B132" s="152" t="s">
        <v>327</v>
      </c>
      <c r="C132" s="202" t="s">
        <v>398</v>
      </c>
      <c r="D132" s="202" t="s">
        <v>138</v>
      </c>
      <c r="E132" s="203">
        <v>2030</v>
      </c>
      <c r="F132" s="203">
        <v>26.761199999999999</v>
      </c>
      <c r="G132" s="202"/>
      <c r="H132" s="204">
        <v>26.761199999999999</v>
      </c>
      <c r="I132" s="202"/>
      <c r="J132" s="204">
        <v>26.761199999999999</v>
      </c>
      <c r="K132" s="243">
        <v>26.761199999999999</v>
      </c>
      <c r="L132" s="244" t="s">
        <v>138</v>
      </c>
    </row>
    <row r="133" spans="1:12" x14ac:dyDescent="0.35">
      <c r="A133" s="251"/>
      <c r="B133" s="163" t="s">
        <v>328</v>
      </c>
      <c r="C133" s="163" t="s">
        <v>53</v>
      </c>
      <c r="D133" s="163" t="s">
        <v>55</v>
      </c>
      <c r="E133" s="163">
        <v>2011</v>
      </c>
      <c r="F133" s="163">
        <v>40</v>
      </c>
      <c r="G133" s="163"/>
      <c r="H133" s="163">
        <v>42.51306550079579</v>
      </c>
      <c r="I133" s="163"/>
      <c r="J133" s="163">
        <v>42.51306550079579</v>
      </c>
      <c r="K133" s="328">
        <f>AVERAGE(J133:J138)</f>
        <v>38.393488379717148</v>
      </c>
      <c r="L133" s="329" t="s">
        <v>138</v>
      </c>
    </row>
    <row r="134" spans="1:12" x14ac:dyDescent="0.35">
      <c r="A134" s="251"/>
      <c r="B134" s="163" t="s">
        <v>328</v>
      </c>
      <c r="C134" s="163" t="s">
        <v>56</v>
      </c>
      <c r="D134" s="163" t="s">
        <v>67</v>
      </c>
      <c r="E134" s="163">
        <v>2012</v>
      </c>
      <c r="F134" s="163">
        <v>38</v>
      </c>
      <c r="G134" s="163"/>
      <c r="H134" s="163">
        <v>40.387412225756002</v>
      </c>
      <c r="I134" s="163"/>
      <c r="J134" s="163">
        <v>40.387412225756002</v>
      </c>
      <c r="K134" s="328"/>
      <c r="L134" s="329"/>
    </row>
    <row r="135" spans="1:12" x14ac:dyDescent="0.35">
      <c r="A135" s="251"/>
      <c r="B135" s="163" t="s">
        <v>328</v>
      </c>
      <c r="C135" s="163" t="s">
        <v>57</v>
      </c>
      <c r="D135" s="163" t="s">
        <v>68</v>
      </c>
      <c r="E135" s="163">
        <v>2013</v>
      </c>
      <c r="F135" s="163">
        <v>37</v>
      </c>
      <c r="G135" s="163"/>
      <c r="H135" s="163">
        <v>39.324585588236104</v>
      </c>
      <c r="I135" s="163"/>
      <c r="J135" s="163">
        <v>39.324585588236104</v>
      </c>
      <c r="K135" s="328"/>
      <c r="L135" s="329"/>
    </row>
    <row r="136" spans="1:12" x14ac:dyDescent="0.35">
      <c r="A136" s="251"/>
      <c r="B136" s="163" t="s">
        <v>328</v>
      </c>
      <c r="C136" s="163" t="s">
        <v>58</v>
      </c>
      <c r="D136" s="163" t="s">
        <v>69</v>
      </c>
      <c r="E136" s="163">
        <v>2014</v>
      </c>
      <c r="F136" s="163">
        <v>35</v>
      </c>
      <c r="G136" s="163"/>
      <c r="H136" s="163">
        <v>36.885406359143595</v>
      </c>
      <c r="I136" s="163"/>
      <c r="J136" s="163">
        <v>36.885406359143595</v>
      </c>
      <c r="K136" s="328"/>
      <c r="L136" s="329"/>
    </row>
    <row r="137" spans="1:12" x14ac:dyDescent="0.35">
      <c r="A137" s="251"/>
      <c r="B137" s="163" t="s">
        <v>328</v>
      </c>
      <c r="C137" s="163" t="s">
        <v>59</v>
      </c>
      <c r="D137" s="163" t="s">
        <v>54</v>
      </c>
      <c r="E137" s="163">
        <v>2015</v>
      </c>
      <c r="F137" s="163">
        <v>34</v>
      </c>
      <c r="G137" s="163"/>
      <c r="H137" s="163">
        <v>36.156950157442189</v>
      </c>
      <c r="I137" s="163"/>
      <c r="J137" s="163">
        <v>36.156950157442189</v>
      </c>
      <c r="K137" s="328"/>
      <c r="L137" s="329"/>
    </row>
    <row r="138" spans="1:12" x14ac:dyDescent="0.35">
      <c r="A138" s="251"/>
      <c r="B138" s="163" t="s">
        <v>328</v>
      </c>
      <c r="C138" s="163" t="s">
        <v>60</v>
      </c>
      <c r="D138" s="163" t="s">
        <v>54</v>
      </c>
      <c r="E138" s="163">
        <v>2016</v>
      </c>
      <c r="F138" s="163">
        <v>33</v>
      </c>
      <c r="G138" s="163"/>
      <c r="H138" s="163">
        <v>35.093510446929187</v>
      </c>
      <c r="I138" s="163"/>
      <c r="J138" s="163">
        <v>35.093510446929187</v>
      </c>
      <c r="K138" s="328"/>
      <c r="L138" s="329"/>
    </row>
    <row r="139" spans="1:12" x14ac:dyDescent="0.35">
      <c r="A139" s="251"/>
      <c r="B139" s="163" t="s">
        <v>328</v>
      </c>
      <c r="C139" s="163" t="s">
        <v>61</v>
      </c>
      <c r="D139" s="163" t="s">
        <v>54</v>
      </c>
      <c r="E139" s="163">
        <v>2017</v>
      </c>
      <c r="F139" s="163">
        <v>33</v>
      </c>
      <c r="G139" s="163"/>
      <c r="H139" s="163">
        <v>35.093510446929187</v>
      </c>
      <c r="I139" s="163"/>
      <c r="J139" s="163">
        <v>35.093510446929187</v>
      </c>
      <c r="K139" s="328">
        <f>AVERAGE(J139:J142)</f>
        <v>34.561790591672683</v>
      </c>
      <c r="L139" s="329" t="s">
        <v>138</v>
      </c>
    </row>
    <row r="140" spans="1:12" x14ac:dyDescent="0.35">
      <c r="A140" s="251"/>
      <c r="B140" s="163" t="s">
        <v>328</v>
      </c>
      <c r="C140" s="163" t="s">
        <v>62</v>
      </c>
      <c r="D140" s="163" t="s">
        <v>54</v>
      </c>
      <c r="E140" s="163">
        <v>2018</v>
      </c>
      <c r="F140" s="163">
        <v>33</v>
      </c>
      <c r="G140" s="163"/>
      <c r="H140" s="163">
        <v>35.093510446929187</v>
      </c>
      <c r="I140" s="163"/>
      <c r="J140" s="163">
        <v>35.093510446929187</v>
      </c>
      <c r="K140" s="328"/>
      <c r="L140" s="329"/>
    </row>
    <row r="141" spans="1:12" x14ac:dyDescent="0.35">
      <c r="A141" s="251"/>
      <c r="B141" s="163" t="s">
        <v>328</v>
      </c>
      <c r="C141" s="163" t="s">
        <v>63</v>
      </c>
      <c r="D141" s="163" t="s">
        <v>54</v>
      </c>
      <c r="E141" s="163">
        <v>2019</v>
      </c>
      <c r="F141" s="163">
        <v>32</v>
      </c>
      <c r="G141" s="163"/>
      <c r="H141" s="163">
        <v>34.030070736416178</v>
      </c>
      <c r="I141" s="163"/>
      <c r="J141" s="163">
        <v>34.030070736416178</v>
      </c>
      <c r="K141" s="328"/>
      <c r="L141" s="329"/>
    </row>
    <row r="142" spans="1:12" x14ac:dyDescent="0.35">
      <c r="A142" s="251"/>
      <c r="B142" s="163" t="s">
        <v>328</v>
      </c>
      <c r="C142" s="163" t="s">
        <v>64</v>
      </c>
      <c r="D142" s="163" t="s">
        <v>54</v>
      </c>
      <c r="E142" s="163">
        <v>2020</v>
      </c>
      <c r="F142" s="163">
        <v>32</v>
      </c>
      <c r="G142" s="163"/>
      <c r="H142" s="163">
        <v>34.030070736416178</v>
      </c>
      <c r="I142" s="163"/>
      <c r="J142" s="163">
        <v>34.030070736416178</v>
      </c>
      <c r="K142" s="328"/>
      <c r="L142" s="329"/>
    </row>
    <row r="143" spans="1:12" x14ac:dyDescent="0.35">
      <c r="A143" s="251"/>
      <c r="B143" s="163" t="s">
        <v>328</v>
      </c>
      <c r="C143" s="163" t="s">
        <v>65</v>
      </c>
      <c r="D143" s="163" t="s">
        <v>54</v>
      </c>
      <c r="E143" s="163">
        <v>2021</v>
      </c>
      <c r="F143" s="163">
        <v>32</v>
      </c>
      <c r="G143" s="163"/>
      <c r="H143" s="163">
        <v>34.030070736416178</v>
      </c>
      <c r="I143" s="163"/>
      <c r="J143" s="163">
        <v>34.030070736416178</v>
      </c>
      <c r="K143" s="328">
        <f>AVERAGE(J143:J146)</f>
        <v>34.561790591672683</v>
      </c>
      <c r="L143" s="329" t="s">
        <v>138</v>
      </c>
    </row>
    <row r="144" spans="1:12" x14ac:dyDescent="0.35">
      <c r="A144" s="251"/>
      <c r="B144" s="163" t="s">
        <v>328</v>
      </c>
      <c r="C144" s="163" t="s">
        <v>66</v>
      </c>
      <c r="D144" s="163" t="s">
        <v>54</v>
      </c>
      <c r="E144" s="163">
        <v>2022</v>
      </c>
      <c r="F144" s="163">
        <v>32</v>
      </c>
      <c r="G144" s="163"/>
      <c r="H144" s="163">
        <v>34.030070736416178</v>
      </c>
      <c r="I144" s="163"/>
      <c r="J144" s="163">
        <v>34.030070736416178</v>
      </c>
      <c r="K144" s="328"/>
      <c r="L144" s="329"/>
    </row>
    <row r="145" spans="1:12" x14ac:dyDescent="0.35">
      <c r="A145" s="251"/>
      <c r="B145" s="163" t="s">
        <v>328</v>
      </c>
      <c r="C145" s="163" t="s">
        <v>70</v>
      </c>
      <c r="D145" s="163" t="s">
        <v>54</v>
      </c>
      <c r="E145" s="163">
        <v>2023</v>
      </c>
      <c r="F145" s="163">
        <v>33</v>
      </c>
      <c r="G145" s="163"/>
      <c r="H145" s="163">
        <v>35.093510446929187</v>
      </c>
      <c r="I145" s="163"/>
      <c r="J145" s="163">
        <v>35.093510446929187</v>
      </c>
      <c r="K145" s="328"/>
      <c r="L145" s="329"/>
    </row>
    <row r="146" spans="1:12" x14ac:dyDescent="0.35">
      <c r="A146" s="251"/>
      <c r="B146" s="163" t="s">
        <v>328</v>
      </c>
      <c r="C146" s="163" t="s">
        <v>71</v>
      </c>
      <c r="D146" s="163" t="s">
        <v>54</v>
      </c>
      <c r="E146" s="163">
        <v>2024</v>
      </c>
      <c r="F146" s="163">
        <v>33</v>
      </c>
      <c r="G146" s="163"/>
      <c r="H146" s="163">
        <v>35.093510446929187</v>
      </c>
      <c r="I146" s="163"/>
      <c r="J146" s="163">
        <v>35.093510446929187</v>
      </c>
      <c r="K146" s="328"/>
      <c r="L146" s="329"/>
    </row>
    <row r="147" spans="1:12" x14ac:dyDescent="0.35">
      <c r="A147" s="251"/>
      <c r="B147" s="152" t="s">
        <v>329</v>
      </c>
      <c r="C147" s="152" t="s">
        <v>398</v>
      </c>
      <c r="D147" s="152" t="s">
        <v>75</v>
      </c>
      <c r="E147" s="152">
        <v>2021</v>
      </c>
      <c r="F147" s="152">
        <v>729</v>
      </c>
      <c r="G147" s="152"/>
      <c r="H147" s="152">
        <f>F147</f>
        <v>729</v>
      </c>
      <c r="I147" s="152"/>
      <c r="J147" s="152">
        <f>H147</f>
        <v>729</v>
      </c>
      <c r="K147" s="200">
        <f>J147</f>
        <v>729</v>
      </c>
      <c r="L147" s="198" t="str">
        <f>VLOOKUP(B147,B147:K177,3,FALSE)</f>
        <v>€/Piece</v>
      </c>
    </row>
    <row r="148" spans="1:12" s="246" customFormat="1" x14ac:dyDescent="0.35">
      <c r="A148" s="251"/>
      <c r="B148" s="152" t="s">
        <v>329</v>
      </c>
      <c r="C148" s="152" t="s">
        <v>398</v>
      </c>
      <c r="D148" s="152" t="s">
        <v>138</v>
      </c>
      <c r="E148" s="152">
        <v>2025</v>
      </c>
      <c r="F148" s="152">
        <v>506.60610000000003</v>
      </c>
      <c r="G148" s="152"/>
      <c r="H148" s="152">
        <v>506.60610000000003</v>
      </c>
      <c r="I148" s="152"/>
      <c r="J148" s="152">
        <v>506.60610000000003</v>
      </c>
      <c r="K148" s="200">
        <v>506.60610000000003</v>
      </c>
      <c r="L148" s="245" t="s">
        <v>75</v>
      </c>
    </row>
    <row r="149" spans="1:12" s="246" customFormat="1" x14ac:dyDescent="0.35">
      <c r="A149" s="251"/>
      <c r="B149" s="152" t="s">
        <v>329</v>
      </c>
      <c r="C149" s="152" t="s">
        <v>398</v>
      </c>
      <c r="D149" s="152" t="s">
        <v>138</v>
      </c>
      <c r="E149" s="152">
        <v>2030</v>
      </c>
      <c r="F149" s="152">
        <v>385.73419999999999</v>
      </c>
      <c r="G149" s="152"/>
      <c r="H149" s="152">
        <v>385.73419999999999</v>
      </c>
      <c r="I149" s="152"/>
      <c r="J149" s="152">
        <v>385.73419999999999</v>
      </c>
      <c r="K149" s="200">
        <v>385.73419999999999</v>
      </c>
      <c r="L149" s="245" t="s">
        <v>75</v>
      </c>
    </row>
    <row r="150" spans="1:12" x14ac:dyDescent="0.35">
      <c r="A150" s="251"/>
      <c r="B150" s="163" t="s">
        <v>332</v>
      </c>
      <c r="C150" s="163"/>
      <c r="D150" s="163" t="s">
        <v>78</v>
      </c>
      <c r="E150" s="163">
        <v>2019</v>
      </c>
      <c r="F150" s="163">
        <v>595</v>
      </c>
      <c r="G150" s="163"/>
      <c r="H150" s="163">
        <f>F150*I22*H16</f>
        <v>669.23398500000008</v>
      </c>
      <c r="I150" s="163"/>
      <c r="J150" s="163">
        <f>H150</f>
        <v>669.23398500000008</v>
      </c>
      <c r="K150" s="207">
        <f t="shared" ref="K150:K158" si="7">J150</f>
        <v>669.23398500000008</v>
      </c>
      <c r="L150" s="208" t="s">
        <v>75</v>
      </c>
    </row>
    <row r="151" spans="1:12" x14ac:dyDescent="0.35">
      <c r="A151" s="251"/>
      <c r="B151" s="152" t="s">
        <v>333</v>
      </c>
      <c r="C151" s="152"/>
      <c r="D151" s="152" t="s">
        <v>78</v>
      </c>
      <c r="E151" s="152">
        <v>2019</v>
      </c>
      <c r="F151" s="152">
        <v>495</v>
      </c>
      <c r="G151" s="152"/>
      <c r="H151" s="152">
        <f>F151*I22*H16</f>
        <v>556.75768500000015</v>
      </c>
      <c r="I151" s="152"/>
      <c r="J151" s="152">
        <f>H151</f>
        <v>556.75768500000015</v>
      </c>
      <c r="K151" s="200">
        <f t="shared" si="7"/>
        <v>556.75768500000015</v>
      </c>
      <c r="L151" s="232" t="s">
        <v>75</v>
      </c>
    </row>
    <row r="152" spans="1:12" x14ac:dyDescent="0.35">
      <c r="A152" s="251"/>
      <c r="B152" s="163" t="s">
        <v>0</v>
      </c>
      <c r="C152" s="163"/>
      <c r="D152" s="163" t="s">
        <v>75</v>
      </c>
      <c r="E152" s="163">
        <v>2018</v>
      </c>
      <c r="F152" s="163">
        <v>100</v>
      </c>
      <c r="G152" s="163"/>
      <c r="H152" s="163">
        <f>F152*G16</f>
        <v>102.87021600000001</v>
      </c>
      <c r="I152" s="163"/>
      <c r="J152" s="163">
        <f>H152</f>
        <v>102.87021600000001</v>
      </c>
      <c r="K152" s="207">
        <f t="shared" si="7"/>
        <v>102.87021600000001</v>
      </c>
      <c r="L152" s="208" t="str">
        <f>VLOOKUP(B152,B152:K180,3,FALSE)</f>
        <v>€/Piece</v>
      </c>
    </row>
    <row r="153" spans="1:12" ht="15.5" x14ac:dyDescent="0.35">
      <c r="A153" s="251"/>
      <c r="B153" s="205" t="s">
        <v>360</v>
      </c>
      <c r="C153" s="31" t="s">
        <v>361</v>
      </c>
      <c r="D153" s="161" t="s">
        <v>138</v>
      </c>
      <c r="E153" s="159">
        <v>2018</v>
      </c>
      <c r="F153" s="28">
        <v>162.38999999999999</v>
      </c>
      <c r="G153"/>
      <c r="H153">
        <v>167.05094376240001</v>
      </c>
      <c r="I153"/>
      <c r="J153">
        <v>167.05094376240001</v>
      </c>
      <c r="K153" s="200">
        <f t="shared" si="7"/>
        <v>167.05094376240001</v>
      </c>
      <c r="L153" s="161" t="s">
        <v>138</v>
      </c>
    </row>
    <row r="154" spans="1:12" ht="15.5" x14ac:dyDescent="0.35">
      <c r="A154" s="251"/>
      <c r="B154" s="205" t="s">
        <v>360</v>
      </c>
      <c r="C154" s="31" t="s">
        <v>361</v>
      </c>
      <c r="D154" s="161" t="s">
        <v>138</v>
      </c>
      <c r="E154" s="159">
        <v>2020</v>
      </c>
      <c r="F154" s="28">
        <v>128</v>
      </c>
      <c r="G154"/>
      <c r="H154">
        <f>F154</f>
        <v>128</v>
      </c>
      <c r="I154"/>
      <c r="J154">
        <f>H154</f>
        <v>128</v>
      </c>
      <c r="K154" s="200">
        <f t="shared" si="7"/>
        <v>128</v>
      </c>
      <c r="L154" s="161" t="s">
        <v>138</v>
      </c>
    </row>
    <row r="155" spans="1:12" ht="15.5" x14ac:dyDescent="0.35">
      <c r="B155" s="205" t="s">
        <v>360</v>
      </c>
      <c r="C155" s="31" t="s">
        <v>361</v>
      </c>
      <c r="D155" s="161" t="s">
        <v>138</v>
      </c>
      <c r="E155" s="159">
        <v>2025</v>
      </c>
      <c r="F155" s="28">
        <v>101.01</v>
      </c>
      <c r="G155"/>
      <c r="H155">
        <f>F155</f>
        <v>101.01</v>
      </c>
      <c r="I155"/>
      <c r="J155">
        <f>H155</f>
        <v>101.01</v>
      </c>
      <c r="K155" s="200">
        <f t="shared" si="7"/>
        <v>101.01</v>
      </c>
      <c r="L155" s="161" t="s">
        <v>138</v>
      </c>
    </row>
    <row r="156" spans="1:12" s="234" customFormat="1" ht="15.5" x14ac:dyDescent="0.35">
      <c r="B156" s="205" t="s">
        <v>393</v>
      </c>
      <c r="C156" s="68" t="s">
        <v>243</v>
      </c>
      <c r="D156" s="230" t="s">
        <v>138</v>
      </c>
      <c r="E156" s="229">
        <v>2013</v>
      </c>
      <c r="F156" s="28">
        <v>150</v>
      </c>
      <c r="G156"/>
      <c r="H156">
        <f>F156*B16</f>
        <v>159.4239956279842</v>
      </c>
      <c r="I156"/>
      <c r="J156">
        <f>H156</f>
        <v>159.4239956279842</v>
      </c>
      <c r="K156" s="200">
        <f t="shared" si="7"/>
        <v>159.4239956279842</v>
      </c>
      <c r="L156" s="230" t="s">
        <v>138</v>
      </c>
    </row>
    <row r="157" spans="1:12" s="234" customFormat="1" ht="15.5" x14ac:dyDescent="0.35">
      <c r="B157" s="205" t="s">
        <v>394</v>
      </c>
      <c r="C157" s="68" t="s">
        <v>243</v>
      </c>
      <c r="D157" s="230" t="s">
        <v>138</v>
      </c>
      <c r="E157" s="229">
        <v>2013</v>
      </c>
      <c r="F157" s="28">
        <v>180</v>
      </c>
      <c r="G157"/>
      <c r="H157">
        <f>F157*B16</f>
        <v>191.30879475358105</v>
      </c>
      <c r="I157"/>
      <c r="J157">
        <f>H157</f>
        <v>191.30879475358105</v>
      </c>
      <c r="K157" s="200">
        <f t="shared" si="7"/>
        <v>191.30879475358105</v>
      </c>
      <c r="L157" s="230" t="s">
        <v>138</v>
      </c>
    </row>
    <row r="158" spans="1:12" x14ac:dyDescent="0.35">
      <c r="B158" s="223" t="s">
        <v>369</v>
      </c>
      <c r="C158" s="94" t="s">
        <v>253</v>
      </c>
      <c r="D158" s="94" t="s">
        <v>368</v>
      </c>
      <c r="E158" s="96">
        <v>2014</v>
      </c>
      <c r="F158" s="94">
        <v>52.42</v>
      </c>
      <c r="G158" s="94"/>
      <c r="H158" s="94">
        <f>F158*C16</f>
        <v>55.24380003846592</v>
      </c>
      <c r="I158" s="224"/>
      <c r="J158" s="224">
        <f>H158</f>
        <v>55.24380003846592</v>
      </c>
      <c r="K158" s="213">
        <f t="shared" si="7"/>
        <v>55.24380003846592</v>
      </c>
      <c r="L158" s="94" t="s">
        <v>368</v>
      </c>
    </row>
    <row r="159" spans="1:12" ht="15.5" x14ac:dyDescent="0.35">
      <c r="B159" s="205" t="s">
        <v>388</v>
      </c>
      <c r="C159" s="117" t="s">
        <v>77</v>
      </c>
      <c r="D159" s="221" t="s">
        <v>101</v>
      </c>
      <c r="E159" s="71">
        <v>2020</v>
      </c>
      <c r="F159" s="222">
        <v>6</v>
      </c>
      <c r="H159" s="117">
        <v>6</v>
      </c>
      <c r="J159" s="220">
        <v>6</v>
      </c>
      <c r="K159" s="316">
        <f>AVERAGE(J159:J160)</f>
        <v>4.5</v>
      </c>
      <c r="L159" s="317" t="s">
        <v>101</v>
      </c>
    </row>
    <row r="160" spans="1:12" ht="15.5" x14ac:dyDescent="0.35">
      <c r="B160" s="205" t="s">
        <v>388</v>
      </c>
      <c r="C160" s="220" t="s">
        <v>387</v>
      </c>
      <c r="D160" s="221" t="s">
        <v>101</v>
      </c>
      <c r="E160" s="71">
        <v>2020</v>
      </c>
      <c r="F160" s="222">
        <v>3.5</v>
      </c>
      <c r="G160" s="117">
        <v>2.5</v>
      </c>
      <c r="J160" s="117">
        <f>AVERAGE(F160:G160)</f>
        <v>3</v>
      </c>
      <c r="K160" s="285"/>
      <c r="L160" s="317"/>
    </row>
    <row r="161" spans="2:12" ht="15.5" x14ac:dyDescent="0.35">
      <c r="B161" s="205" t="s">
        <v>389</v>
      </c>
      <c r="C161" s="220" t="s">
        <v>387</v>
      </c>
      <c r="D161" s="221" t="s">
        <v>101</v>
      </c>
      <c r="E161" s="71">
        <v>2020</v>
      </c>
      <c r="F161" s="222">
        <v>1.6</v>
      </c>
      <c r="G161" s="117">
        <v>2</v>
      </c>
      <c r="J161" s="117">
        <f>AVERAGE(F161:G161)</f>
        <v>1.8</v>
      </c>
      <c r="K161" s="225">
        <f>J161</f>
        <v>1.8</v>
      </c>
      <c r="L161" s="221" t="s">
        <v>101</v>
      </c>
    </row>
    <row r="162" spans="2:12" x14ac:dyDescent="0.35">
      <c r="B162" s="196"/>
    </row>
    <row r="163" spans="2:12" x14ac:dyDescent="0.35">
      <c r="B163" s="196"/>
    </row>
  </sheetData>
  <mergeCells count="62">
    <mergeCell ref="L128:L129"/>
    <mergeCell ref="K133:K138"/>
    <mergeCell ref="K139:K142"/>
    <mergeCell ref="K143:K146"/>
    <mergeCell ref="L133:L138"/>
    <mergeCell ref="L139:L142"/>
    <mergeCell ref="L143:L146"/>
    <mergeCell ref="L77:L78"/>
    <mergeCell ref="L85:L86"/>
    <mergeCell ref="L90:L91"/>
    <mergeCell ref="L92:L94"/>
    <mergeCell ref="K39:K44"/>
    <mergeCell ref="K45:K50"/>
    <mergeCell ref="K51:K54"/>
    <mergeCell ref="K77:K78"/>
    <mergeCell ref="K85:K86"/>
    <mergeCell ref="K90:K91"/>
    <mergeCell ref="K92:K94"/>
    <mergeCell ref="K83:K84"/>
    <mergeCell ref="L83:L84"/>
    <mergeCell ref="K79:K80"/>
    <mergeCell ref="L79:L80"/>
    <mergeCell ref="K81:K82"/>
    <mergeCell ref="A96:A100"/>
    <mergeCell ref="A103:A113"/>
    <mergeCell ref="A77:A95"/>
    <mergeCell ref="A71:A76"/>
    <mergeCell ref="B14:D14"/>
    <mergeCell ref="B19:D19"/>
    <mergeCell ref="F28:G28"/>
    <mergeCell ref="H28:J28"/>
    <mergeCell ref="A62:A70"/>
    <mergeCell ref="A30:A60"/>
    <mergeCell ref="B30:B32"/>
    <mergeCell ref="K30:K32"/>
    <mergeCell ref="K33:K36"/>
    <mergeCell ref="K37:K38"/>
    <mergeCell ref="K63:K64"/>
    <mergeCell ref="M39:M44"/>
    <mergeCell ref="M45:M50"/>
    <mergeCell ref="M51:M54"/>
    <mergeCell ref="L30:L32"/>
    <mergeCell ref="L33:L36"/>
    <mergeCell ref="L37:L38"/>
    <mergeCell ref="L39:L54"/>
    <mergeCell ref="L63:L64"/>
    <mergeCell ref="L81:L82"/>
    <mergeCell ref="K159:K160"/>
    <mergeCell ref="L159:L160"/>
    <mergeCell ref="K116:K117"/>
    <mergeCell ref="L116:L117"/>
    <mergeCell ref="K97:K98"/>
    <mergeCell ref="L97:L98"/>
    <mergeCell ref="K114:K115"/>
    <mergeCell ref="L114:L115"/>
    <mergeCell ref="K118:K121"/>
    <mergeCell ref="L118:L121"/>
    <mergeCell ref="K124:K125"/>
    <mergeCell ref="L124:L125"/>
    <mergeCell ref="K126:K127"/>
    <mergeCell ref="L126:L127"/>
    <mergeCell ref="K128:K12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95FCC-F1C4-4C4B-A10F-1EA64FFFD27C}">
  <dimension ref="A1:N93"/>
  <sheetViews>
    <sheetView topLeftCell="A46" workbookViewId="0">
      <selection activeCell="L11" sqref="L11"/>
    </sheetView>
  </sheetViews>
  <sheetFormatPr baseColWidth="10" defaultRowHeight="14.5" x14ac:dyDescent="0.35"/>
  <cols>
    <col min="1" max="1" width="28.08984375" bestFit="1" customWidth="1"/>
    <col min="2" max="2" width="16.36328125" customWidth="1"/>
    <col min="3" max="4" width="12.6328125" bestFit="1" customWidth="1"/>
    <col min="6" max="6" width="27.453125" bestFit="1" customWidth="1"/>
    <col min="7" max="7" width="12.6328125" bestFit="1" customWidth="1"/>
    <col min="11" max="11" width="27.453125" bestFit="1" customWidth="1"/>
  </cols>
  <sheetData>
    <row r="1" spans="1:14" x14ac:dyDescent="0.35">
      <c r="A1" s="254" t="s">
        <v>413</v>
      </c>
      <c r="B1" s="255"/>
      <c r="C1" s="255"/>
      <c r="D1" s="255"/>
      <c r="E1" s="255"/>
      <c r="F1" s="255"/>
      <c r="G1" s="255"/>
      <c r="H1" s="255"/>
      <c r="I1" s="255"/>
      <c r="J1" s="269"/>
      <c r="K1" t="s">
        <v>465</v>
      </c>
      <c r="L1" t="s">
        <v>466</v>
      </c>
    </row>
    <row r="2" spans="1:14" x14ac:dyDescent="0.35">
      <c r="A2" s="257" t="s">
        <v>414</v>
      </c>
      <c r="B2" s="239">
        <v>2013</v>
      </c>
      <c r="C2" s="239">
        <v>2014</v>
      </c>
      <c r="D2" s="239">
        <v>2015</v>
      </c>
      <c r="E2" s="239">
        <v>2016</v>
      </c>
      <c r="F2" s="239">
        <v>2017</v>
      </c>
      <c r="G2" s="239">
        <v>2018</v>
      </c>
      <c r="H2" s="239">
        <v>2019</v>
      </c>
      <c r="I2" s="239">
        <v>2020</v>
      </c>
      <c r="J2" s="270" t="s">
        <v>20</v>
      </c>
      <c r="K2" s="121">
        <f>PRODUCT(E6:I6)</f>
        <v>1.0508018960114123</v>
      </c>
      <c r="L2" t="s">
        <v>344</v>
      </c>
    </row>
    <row r="3" spans="1:14" ht="15" thickBot="1" x14ac:dyDescent="0.4">
      <c r="A3" s="259"/>
      <c r="B3" s="260">
        <v>1.33</v>
      </c>
      <c r="C3" s="260">
        <v>1.33</v>
      </c>
      <c r="D3" s="260">
        <v>1.1100000000000001</v>
      </c>
      <c r="E3" s="260">
        <v>1.1100000000000001</v>
      </c>
      <c r="F3" s="260">
        <v>1.1299999999999999</v>
      </c>
      <c r="G3" s="260">
        <v>1.18</v>
      </c>
      <c r="H3" s="260">
        <v>1.1200000000000001</v>
      </c>
      <c r="I3" s="260">
        <v>1.1100000000000001</v>
      </c>
      <c r="J3" s="271">
        <v>1.1775</v>
      </c>
      <c r="K3" s="121">
        <f>PRODUCT(F6:I6)</f>
        <v>1.0482860095884001</v>
      </c>
      <c r="L3" t="s">
        <v>467</v>
      </c>
    </row>
    <row r="4" spans="1:14" x14ac:dyDescent="0.35">
      <c r="A4" s="254" t="s">
        <v>415</v>
      </c>
      <c r="B4" s="255">
        <v>2013</v>
      </c>
      <c r="C4" s="255">
        <v>2014</v>
      </c>
      <c r="D4" s="255">
        <v>2015</v>
      </c>
      <c r="E4" s="255">
        <v>2016</v>
      </c>
      <c r="F4" s="255">
        <v>2017</v>
      </c>
      <c r="G4" s="255">
        <v>2018</v>
      </c>
      <c r="H4" s="255">
        <v>2019</v>
      </c>
      <c r="I4" s="269">
        <v>2020</v>
      </c>
      <c r="K4" s="121">
        <f>PRODUCT(G6:I6)</f>
        <v>1.0323872460000001</v>
      </c>
      <c r="L4" t="s">
        <v>468</v>
      </c>
    </row>
    <row r="5" spans="1:14" x14ac:dyDescent="0.35">
      <c r="A5" s="257"/>
      <c r="B5" s="272">
        <v>1.35E-2</v>
      </c>
      <c r="C5" s="272">
        <v>4.3E-3</v>
      </c>
      <c r="D5" s="272">
        <v>2.9999999999999997E-4</v>
      </c>
      <c r="E5" s="272">
        <v>2.3999999999999998E-3</v>
      </c>
      <c r="F5" s="272">
        <v>1.54E-2</v>
      </c>
      <c r="G5" s="272">
        <v>1.7500000000000002E-2</v>
      </c>
      <c r="H5" s="272">
        <v>1.2E-2</v>
      </c>
      <c r="I5" s="273">
        <v>2.5999999999999999E-3</v>
      </c>
      <c r="J5" s="253"/>
      <c r="K5" s="121">
        <f>PRODUCT(H6:I6)</f>
        <v>1.0146312</v>
      </c>
      <c r="L5" t="s">
        <v>469</v>
      </c>
    </row>
    <row r="6" spans="1:14" ht="15" thickBot="1" x14ac:dyDescent="0.4">
      <c r="A6" s="259"/>
      <c r="B6" s="274">
        <f>100%+B5</f>
        <v>1.0135000000000001</v>
      </c>
      <c r="C6" s="274">
        <f t="shared" ref="C6:I6" si="0">100%+C5</f>
        <v>1.0043</v>
      </c>
      <c r="D6" s="274">
        <f t="shared" si="0"/>
        <v>1.0003</v>
      </c>
      <c r="E6" s="274">
        <f t="shared" si="0"/>
        <v>1.0024</v>
      </c>
      <c r="F6" s="274">
        <f t="shared" si="0"/>
        <v>1.0154000000000001</v>
      </c>
      <c r="G6" s="274">
        <f t="shared" si="0"/>
        <v>1.0175000000000001</v>
      </c>
      <c r="H6" s="274">
        <f t="shared" si="0"/>
        <v>1.012</v>
      </c>
      <c r="I6" s="275">
        <f t="shared" si="0"/>
        <v>1.0025999999999999</v>
      </c>
    </row>
    <row r="8" spans="1:14" x14ac:dyDescent="0.35">
      <c r="A8" s="262" t="s">
        <v>452</v>
      </c>
      <c r="B8" s="262" t="s">
        <v>498</v>
      </c>
      <c r="C8" s="262" t="s">
        <v>457</v>
      </c>
      <c r="D8" s="262" t="s">
        <v>458</v>
      </c>
      <c r="F8" s="262" t="s">
        <v>456</v>
      </c>
      <c r="G8" s="262" t="s">
        <v>458</v>
      </c>
      <c r="I8" t="s">
        <v>430</v>
      </c>
      <c r="K8" t="s">
        <v>433</v>
      </c>
      <c r="L8">
        <f>1/6.8985</f>
        <v>0.1449590490686381</v>
      </c>
    </row>
    <row r="9" spans="1:14" x14ac:dyDescent="0.35">
      <c r="A9" s="262" t="s">
        <v>416</v>
      </c>
      <c r="B9" s="262"/>
      <c r="C9" s="262">
        <v>143</v>
      </c>
      <c r="D9" s="263">
        <f>C9/G3</f>
        <v>121.1864406779661</v>
      </c>
      <c r="F9" s="262" t="s">
        <v>416</v>
      </c>
      <c r="G9" s="263">
        <f>D9*K4</f>
        <v>125.11133574406782</v>
      </c>
      <c r="H9" s="121"/>
      <c r="I9" s="121" t="s">
        <v>432</v>
      </c>
    </row>
    <row r="10" spans="1:14" x14ac:dyDescent="0.35">
      <c r="A10" s="262" t="s">
        <v>429</v>
      </c>
      <c r="B10" s="262"/>
      <c r="C10" s="262">
        <v>160</v>
      </c>
      <c r="D10" s="263">
        <f>C10/G3</f>
        <v>135.59322033898306</v>
      </c>
      <c r="F10" s="262" t="s">
        <v>429</v>
      </c>
      <c r="G10" s="263">
        <f>D10*K4</f>
        <v>139.98471132203392</v>
      </c>
      <c r="I10" t="s">
        <v>432</v>
      </c>
      <c r="K10" t="s">
        <v>434</v>
      </c>
      <c r="L10">
        <v>2020</v>
      </c>
      <c r="M10">
        <v>2025</v>
      </c>
      <c r="N10">
        <v>2030</v>
      </c>
    </row>
    <row r="11" spans="1:14" x14ac:dyDescent="0.35">
      <c r="A11" s="262" t="s">
        <v>417</v>
      </c>
      <c r="B11" s="262"/>
      <c r="C11" s="262">
        <v>195</v>
      </c>
      <c r="D11" s="263">
        <f>C11/F3</f>
        <v>172.56637168141594</v>
      </c>
      <c r="F11" s="262" t="s">
        <v>417</v>
      </c>
      <c r="G11" s="263">
        <f>D11*K3</f>
        <v>180.89891315906021</v>
      </c>
      <c r="I11" t="s">
        <v>431</v>
      </c>
      <c r="K11" t="s">
        <v>436</v>
      </c>
      <c r="L11">
        <v>800</v>
      </c>
      <c r="M11">
        <v>700</v>
      </c>
      <c r="N11">
        <v>650</v>
      </c>
    </row>
    <row r="12" spans="1:14" x14ac:dyDescent="0.35">
      <c r="A12" s="262" t="s">
        <v>418</v>
      </c>
      <c r="B12" s="262"/>
      <c r="C12" s="262">
        <v>131</v>
      </c>
      <c r="D12" s="263">
        <f>C12/F3</f>
        <v>115.92920353982302</v>
      </c>
      <c r="F12" s="262" t="s">
        <v>418</v>
      </c>
      <c r="G12" s="263">
        <f>D12*K3</f>
        <v>121.52696217352251</v>
      </c>
      <c r="I12" t="s">
        <v>431</v>
      </c>
      <c r="K12" t="s">
        <v>437</v>
      </c>
      <c r="L12">
        <v>1200</v>
      </c>
    </row>
    <row r="13" spans="1:14" x14ac:dyDescent="0.35">
      <c r="A13" s="262" t="s">
        <v>419</v>
      </c>
      <c r="B13" s="262"/>
      <c r="C13" s="262">
        <v>184</v>
      </c>
      <c r="D13" s="263">
        <f>C13/F3</f>
        <v>162.83185840707966</v>
      </c>
      <c r="F13" s="262" t="s">
        <v>419</v>
      </c>
      <c r="G13" s="263">
        <f>D13*K3</f>
        <v>170.69435908342092</v>
      </c>
      <c r="I13" s="121" t="s">
        <v>432</v>
      </c>
      <c r="K13" t="s">
        <v>439</v>
      </c>
      <c r="L13">
        <v>1000</v>
      </c>
    </row>
    <row r="14" spans="1:14" x14ac:dyDescent="0.35">
      <c r="A14" s="262" t="s">
        <v>420</v>
      </c>
      <c r="B14" s="262"/>
      <c r="C14" s="262">
        <v>160</v>
      </c>
      <c r="D14" s="263">
        <f>C14/G3</f>
        <v>135.59322033898306</v>
      </c>
      <c r="F14" s="262" t="s">
        <v>420</v>
      </c>
      <c r="G14" s="263">
        <f>D14*K4</f>
        <v>139.98471132203392</v>
      </c>
      <c r="I14" t="s">
        <v>432</v>
      </c>
      <c r="K14" s="264" t="s">
        <v>426</v>
      </c>
      <c r="L14">
        <v>1000</v>
      </c>
      <c r="M14">
        <v>900</v>
      </c>
      <c r="N14">
        <v>800</v>
      </c>
    </row>
    <row r="15" spans="1:14" x14ac:dyDescent="0.35">
      <c r="A15" s="262" t="s">
        <v>444</v>
      </c>
      <c r="B15" s="262"/>
      <c r="C15" s="262">
        <v>152</v>
      </c>
      <c r="D15" s="263">
        <f>C15/F3</f>
        <v>134.51327433628319</v>
      </c>
      <c r="F15" s="262" t="s">
        <v>444</v>
      </c>
      <c r="G15" s="263">
        <f>D15*K3</f>
        <v>141.00838359065204</v>
      </c>
      <c r="I15" t="s">
        <v>432</v>
      </c>
      <c r="K15" t="s">
        <v>427</v>
      </c>
      <c r="L15">
        <v>1070</v>
      </c>
      <c r="M15">
        <v>880</v>
      </c>
      <c r="N15">
        <v>780</v>
      </c>
    </row>
    <row r="16" spans="1:14" x14ac:dyDescent="0.35">
      <c r="A16" s="262" t="s">
        <v>421</v>
      </c>
      <c r="B16" s="262"/>
      <c r="C16" s="262">
        <v>130</v>
      </c>
      <c r="D16" s="263">
        <f>C16/G3</f>
        <v>110.16949152542374</v>
      </c>
      <c r="F16" s="262" t="s">
        <v>421</v>
      </c>
      <c r="G16" s="263">
        <f>C16*K4</f>
        <v>134.21034198000001</v>
      </c>
      <c r="I16" s="121" t="s">
        <v>432</v>
      </c>
      <c r="K16" t="s">
        <v>425</v>
      </c>
      <c r="L16">
        <v>940</v>
      </c>
      <c r="M16">
        <v>690</v>
      </c>
      <c r="N16">
        <v>580</v>
      </c>
    </row>
    <row r="17" spans="1:14" x14ac:dyDescent="0.35">
      <c r="A17" s="262" t="s">
        <v>422</v>
      </c>
      <c r="B17" s="262"/>
      <c r="C17" s="262">
        <v>106</v>
      </c>
      <c r="D17" s="263">
        <f>C17/G3</f>
        <v>89.830508474576277</v>
      </c>
      <c r="F17" s="262" t="s">
        <v>422</v>
      </c>
      <c r="G17" s="263">
        <f>D17*K4</f>
        <v>92.739871250847472</v>
      </c>
      <c r="I17" t="s">
        <v>431</v>
      </c>
      <c r="K17" t="s">
        <v>440</v>
      </c>
      <c r="L17">
        <v>830</v>
      </c>
    </row>
    <row r="18" spans="1:14" x14ac:dyDescent="0.35">
      <c r="A18" s="262" t="s">
        <v>423</v>
      </c>
      <c r="B18" s="262"/>
      <c r="C18" s="262">
        <v>115</v>
      </c>
      <c r="D18" s="263">
        <f>C18/I3</f>
        <v>103.60360360360359</v>
      </c>
      <c r="F18" s="262" t="s">
        <v>423</v>
      </c>
      <c r="G18" s="263">
        <f>D18</f>
        <v>103.60360360360359</v>
      </c>
      <c r="I18" t="s">
        <v>431</v>
      </c>
      <c r="K18" t="s">
        <v>441</v>
      </c>
      <c r="L18">
        <v>1000</v>
      </c>
    </row>
    <row r="19" spans="1:14" x14ac:dyDescent="0.35">
      <c r="A19" s="262" t="s">
        <v>424</v>
      </c>
      <c r="B19" s="262"/>
      <c r="C19" s="262">
        <v>152</v>
      </c>
      <c r="D19" s="263">
        <f>C19/H3</f>
        <v>135.71428571428569</v>
      </c>
      <c r="F19" s="262" t="s">
        <v>424</v>
      </c>
      <c r="G19" s="263">
        <f>D19*K5</f>
        <v>137.69994857142854</v>
      </c>
      <c r="I19" t="s">
        <v>431</v>
      </c>
      <c r="K19" t="s">
        <v>435</v>
      </c>
      <c r="M19">
        <v>450</v>
      </c>
      <c r="N19">
        <v>400</v>
      </c>
    </row>
    <row r="20" spans="1:14" x14ac:dyDescent="0.35">
      <c r="A20" s="262" t="s">
        <v>428</v>
      </c>
      <c r="B20" s="262"/>
      <c r="C20" s="262">
        <v>123</v>
      </c>
      <c r="D20" s="263">
        <f>C20/J3</f>
        <v>104.45859872611464</v>
      </c>
      <c r="F20" s="262" t="s">
        <v>428</v>
      </c>
      <c r="G20" s="263">
        <f>D20</f>
        <v>104.45859872611464</v>
      </c>
      <c r="I20" t="s">
        <v>431</v>
      </c>
      <c r="K20" t="s">
        <v>438</v>
      </c>
      <c r="L20">
        <v>1000</v>
      </c>
    </row>
    <row r="21" spans="1:14" x14ac:dyDescent="0.35">
      <c r="A21" s="262" t="s">
        <v>436</v>
      </c>
      <c r="B21" s="262">
        <v>800</v>
      </c>
      <c r="C21" s="263">
        <v>115.96723925491048</v>
      </c>
      <c r="D21" s="263">
        <f>C21/I3</f>
        <v>104.47499031973916</v>
      </c>
      <c r="F21" s="262" t="s">
        <v>436</v>
      </c>
      <c r="G21" s="263">
        <f>D21</f>
        <v>104.47499031973916</v>
      </c>
      <c r="I21" t="s">
        <v>431</v>
      </c>
      <c r="K21" t="s">
        <v>442</v>
      </c>
      <c r="L21">
        <v>750</v>
      </c>
    </row>
    <row r="22" spans="1:14" x14ac:dyDescent="0.35">
      <c r="A22" s="262" t="s">
        <v>437</v>
      </c>
      <c r="B22" s="262">
        <v>1200</v>
      </c>
      <c r="C22" s="263">
        <v>173.95085888236571</v>
      </c>
      <c r="D22" s="263">
        <f>C22/I3</f>
        <v>156.71248547960874</v>
      </c>
      <c r="F22" s="262" t="s">
        <v>437</v>
      </c>
      <c r="G22" s="263">
        <f>D22</f>
        <v>156.71248547960874</v>
      </c>
      <c r="I22" t="s">
        <v>431</v>
      </c>
      <c r="K22" t="s">
        <v>443</v>
      </c>
      <c r="L22">
        <v>900</v>
      </c>
    </row>
    <row r="23" spans="1:14" x14ac:dyDescent="0.35">
      <c r="A23" s="262" t="s">
        <v>439</v>
      </c>
      <c r="B23" s="262">
        <v>1000</v>
      </c>
      <c r="C23" s="263">
        <v>144.95904906863811</v>
      </c>
      <c r="D23" s="263">
        <f>C23/F3</f>
        <v>128.2823443085293</v>
      </c>
      <c r="F23" s="262" t="s">
        <v>439</v>
      </c>
      <c r="G23" s="263">
        <f>D23*K3</f>
        <v>134.4765868158334</v>
      </c>
      <c r="I23" t="s">
        <v>431</v>
      </c>
    </row>
    <row r="24" spans="1:14" x14ac:dyDescent="0.35">
      <c r="A24" s="265" t="s">
        <v>426</v>
      </c>
      <c r="B24" s="262">
        <v>1000</v>
      </c>
      <c r="C24" s="263">
        <v>144.95904906863811</v>
      </c>
      <c r="D24" s="263">
        <f>C24/G3</f>
        <v>122.84665175308315</v>
      </c>
      <c r="F24" s="265" t="s">
        <v>426</v>
      </c>
      <c r="G24" s="263">
        <f>D24*K4</f>
        <v>126.82531648368659</v>
      </c>
      <c r="I24" t="s">
        <v>431</v>
      </c>
    </row>
    <row r="25" spans="1:14" x14ac:dyDescent="0.35">
      <c r="A25" s="262" t="s">
        <v>427</v>
      </c>
      <c r="B25" s="262">
        <v>1070</v>
      </c>
      <c r="C25" s="263">
        <v>155.10618250344277</v>
      </c>
      <c r="D25" s="263">
        <f>C25/H3</f>
        <v>138.48766294950246</v>
      </c>
      <c r="F25" s="262" t="s">
        <v>427</v>
      </c>
      <c r="G25" s="263">
        <f>D25*K5</f>
        <v>140.51390364364923</v>
      </c>
      <c r="I25" t="s">
        <v>431</v>
      </c>
    </row>
    <row r="26" spans="1:14" x14ac:dyDescent="0.35">
      <c r="A26" s="262" t="s">
        <v>425</v>
      </c>
      <c r="B26" s="262">
        <v>940</v>
      </c>
      <c r="C26" s="263">
        <v>136.26150612451983</v>
      </c>
      <c r="D26" s="263">
        <f>C26/H3</f>
        <v>121.66205903974983</v>
      </c>
      <c r="F26" s="262" t="s">
        <v>425</v>
      </c>
      <c r="G26" s="263">
        <f>D26*K5</f>
        <v>123.44212095797222</v>
      </c>
      <c r="I26" t="s">
        <v>431</v>
      </c>
      <c r="K26" t="s">
        <v>345</v>
      </c>
      <c r="L26">
        <v>2020</v>
      </c>
      <c r="M26">
        <v>2025</v>
      </c>
      <c r="N26">
        <v>2030</v>
      </c>
    </row>
    <row r="27" spans="1:14" x14ac:dyDescent="0.35">
      <c r="A27" s="262" t="s">
        <v>440</v>
      </c>
      <c r="B27" s="262">
        <v>830</v>
      </c>
      <c r="C27" s="263">
        <v>120.31601072696962</v>
      </c>
      <c r="D27" s="263">
        <f>C27/H3</f>
        <v>107.42500957765144</v>
      </c>
      <c r="F27" s="262" t="s">
        <v>440</v>
      </c>
      <c r="G27" s="263">
        <f>D27*K5</f>
        <v>108.99676637778397</v>
      </c>
      <c r="I27" t="s">
        <v>431</v>
      </c>
      <c r="K27" t="s">
        <v>436</v>
      </c>
      <c r="L27">
        <f>L11*L8</f>
        <v>115.96723925491048</v>
      </c>
      <c r="M27">
        <f>M11*L8</f>
        <v>101.47133434804667</v>
      </c>
      <c r="N27">
        <f>N11*L8</f>
        <v>94.223381894614761</v>
      </c>
    </row>
    <row r="28" spans="1:14" x14ac:dyDescent="0.35">
      <c r="A28" s="262" t="s">
        <v>441</v>
      </c>
      <c r="B28" s="262">
        <v>1000</v>
      </c>
      <c r="C28" s="263">
        <v>144.95904906863811</v>
      </c>
      <c r="D28" s="263">
        <f>C28/H3</f>
        <v>129.42772238271257</v>
      </c>
      <c r="F28" s="262" t="s">
        <v>441</v>
      </c>
      <c r="G28" s="263">
        <f>D28*K5</f>
        <v>131.32140527443852</v>
      </c>
      <c r="I28" t="s">
        <v>431</v>
      </c>
      <c r="K28" t="s">
        <v>437</v>
      </c>
      <c r="L28">
        <f>L12*L8</f>
        <v>173.95085888236571</v>
      </c>
    </row>
    <row r="29" spans="1:14" x14ac:dyDescent="0.35">
      <c r="A29" s="262" t="s">
        <v>438</v>
      </c>
      <c r="B29" s="262">
        <v>1000</v>
      </c>
      <c r="C29" s="263">
        <v>144.95904906863811</v>
      </c>
      <c r="D29" s="263">
        <f>C29/E3</f>
        <v>130.59373789967395</v>
      </c>
      <c r="F29" s="262" t="s">
        <v>438</v>
      </c>
      <c r="G29" s="263">
        <f>D29*K2</f>
        <v>137.22814739219481</v>
      </c>
      <c r="I29" t="s">
        <v>431</v>
      </c>
      <c r="K29" t="s">
        <v>439</v>
      </c>
      <c r="L29">
        <f>L8*L13</f>
        <v>144.95904906863811</v>
      </c>
    </row>
    <row r="30" spans="1:14" x14ac:dyDescent="0.35">
      <c r="A30" s="262" t="s">
        <v>442</v>
      </c>
      <c r="B30" s="262">
        <v>750</v>
      </c>
      <c r="C30" s="263">
        <v>108.71928680147857</v>
      </c>
      <c r="D30" s="263">
        <f>C30/I3</f>
        <v>97.945303424755465</v>
      </c>
      <c r="F30" s="262" t="s">
        <v>442</v>
      </c>
      <c r="G30" s="263">
        <f t="shared" ref="G30:G36" si="1">D30</f>
        <v>97.945303424755465</v>
      </c>
      <c r="I30" t="s">
        <v>431</v>
      </c>
      <c r="K30" s="264" t="s">
        <v>426</v>
      </c>
      <c r="L30">
        <f>L8*L14</f>
        <v>144.95904906863811</v>
      </c>
      <c r="M30">
        <f>L8*M14</f>
        <v>130.4631441617743</v>
      </c>
      <c r="N30">
        <f>L8*N14</f>
        <v>115.96723925491048</v>
      </c>
    </row>
    <row r="31" spans="1:14" x14ac:dyDescent="0.35">
      <c r="A31" s="262" t="s">
        <v>443</v>
      </c>
      <c r="B31" s="262">
        <v>900</v>
      </c>
      <c r="C31" s="263">
        <v>130.4631441617743</v>
      </c>
      <c r="D31" s="263">
        <f>C31/I3</f>
        <v>117.53436410970656</v>
      </c>
      <c r="F31" s="262" t="s">
        <v>443</v>
      </c>
      <c r="G31" s="263">
        <f t="shared" si="1"/>
        <v>117.53436410970656</v>
      </c>
      <c r="I31" t="s">
        <v>431</v>
      </c>
      <c r="K31" t="s">
        <v>427</v>
      </c>
      <c r="L31">
        <f>L8*L15</f>
        <v>155.10618250344277</v>
      </c>
      <c r="M31">
        <f>M15*L8</f>
        <v>127.56396318040153</v>
      </c>
      <c r="N31">
        <f>N15*L8</f>
        <v>113.06805827353772</v>
      </c>
    </row>
    <row r="32" spans="1:14" x14ac:dyDescent="0.35">
      <c r="A32" s="202" t="s">
        <v>448</v>
      </c>
      <c r="B32" s="262"/>
      <c r="C32" s="262">
        <v>137</v>
      </c>
      <c r="D32" s="263">
        <f>C32/I3</f>
        <v>123.42342342342342</v>
      </c>
      <c r="F32" s="202" t="s">
        <v>448</v>
      </c>
      <c r="G32" s="263">
        <f t="shared" si="1"/>
        <v>123.42342342342342</v>
      </c>
      <c r="I32" s="32" t="s">
        <v>455</v>
      </c>
      <c r="K32" t="s">
        <v>425</v>
      </c>
      <c r="L32">
        <f>L16*L8</f>
        <v>136.26150612451983</v>
      </c>
      <c r="M32">
        <f>M16*L8</f>
        <v>100.02174385736029</v>
      </c>
      <c r="N32">
        <f>N16*L8</f>
        <v>84.076248459810103</v>
      </c>
    </row>
    <row r="33" spans="1:14" x14ac:dyDescent="0.35">
      <c r="A33" s="202" t="s">
        <v>449</v>
      </c>
      <c r="B33" s="262"/>
      <c r="C33" s="262">
        <v>144</v>
      </c>
      <c r="D33" s="263">
        <f>C33/I3</f>
        <v>129.72972972972971</v>
      </c>
      <c r="F33" s="202" t="s">
        <v>449</v>
      </c>
      <c r="G33" s="263">
        <f t="shared" si="1"/>
        <v>129.72972972972971</v>
      </c>
      <c r="I33" s="32" t="s">
        <v>445</v>
      </c>
      <c r="K33" t="s">
        <v>440</v>
      </c>
      <c r="L33">
        <f>L17*L8</f>
        <v>120.31601072696962</v>
      </c>
    </row>
    <row r="34" spans="1:14" x14ac:dyDescent="0.35">
      <c r="A34" s="202" t="s">
        <v>450</v>
      </c>
      <c r="B34" s="262"/>
      <c r="C34" s="262">
        <v>156</v>
      </c>
      <c r="D34" s="263">
        <f>C34/I3</f>
        <v>140.54054054054052</v>
      </c>
      <c r="F34" s="202" t="s">
        <v>450</v>
      </c>
      <c r="G34" s="263">
        <f t="shared" si="1"/>
        <v>140.54054054054052</v>
      </c>
      <c r="I34" s="32" t="s">
        <v>446</v>
      </c>
      <c r="K34" t="s">
        <v>441</v>
      </c>
      <c r="L34">
        <f>L18*L8</f>
        <v>144.95904906863811</v>
      </c>
    </row>
    <row r="35" spans="1:14" x14ac:dyDescent="0.35">
      <c r="A35" s="202" t="s">
        <v>451</v>
      </c>
      <c r="B35" s="262"/>
      <c r="C35" s="262">
        <v>125</v>
      </c>
      <c r="D35" s="263">
        <f>C35/I3</f>
        <v>112.61261261261261</v>
      </c>
      <c r="F35" s="202" t="s">
        <v>451</v>
      </c>
      <c r="G35" s="263">
        <f t="shared" si="1"/>
        <v>112.61261261261261</v>
      </c>
      <c r="I35" s="32" t="s">
        <v>447</v>
      </c>
      <c r="K35" t="s">
        <v>435</v>
      </c>
      <c r="M35">
        <f>L8*M19</f>
        <v>65.231572080887148</v>
      </c>
      <c r="N35">
        <f>L8*N19</f>
        <v>57.983619627455241</v>
      </c>
    </row>
    <row r="36" spans="1:14" x14ac:dyDescent="0.35">
      <c r="A36" s="202" t="s">
        <v>470</v>
      </c>
      <c r="B36" s="262"/>
      <c r="C36" s="262"/>
      <c r="D36" s="262">
        <v>125</v>
      </c>
      <c r="F36" s="202" t="s">
        <v>470</v>
      </c>
      <c r="G36" s="263">
        <f t="shared" si="1"/>
        <v>125</v>
      </c>
      <c r="I36" s="32" t="s">
        <v>453</v>
      </c>
      <c r="K36" t="s">
        <v>438</v>
      </c>
      <c r="L36">
        <f>L20*L8</f>
        <v>144.95904906863811</v>
      </c>
    </row>
    <row r="37" spans="1:14" x14ac:dyDescent="0.35">
      <c r="A37" s="202" t="s">
        <v>494</v>
      </c>
      <c r="B37" s="262"/>
      <c r="C37" s="262"/>
      <c r="D37" s="262">
        <v>112</v>
      </c>
      <c r="F37" s="202" t="s">
        <v>494</v>
      </c>
      <c r="G37" s="263">
        <f>D37*K3</f>
        <v>117.40803307390081</v>
      </c>
      <c r="I37" t="s">
        <v>484</v>
      </c>
      <c r="K37" t="s">
        <v>442</v>
      </c>
      <c r="L37">
        <f>L8*L21</f>
        <v>108.71928680147857</v>
      </c>
    </row>
    <row r="38" spans="1:14" ht="15" thickBot="1" x14ac:dyDescent="0.4">
      <c r="A38" s="202" t="s">
        <v>495</v>
      </c>
      <c r="B38" s="262"/>
      <c r="C38" s="262"/>
      <c r="D38" s="262">
        <v>130</v>
      </c>
      <c r="F38" s="202" t="s">
        <v>495</v>
      </c>
      <c r="G38" s="263">
        <f>D38*K3</f>
        <v>136.27718124649201</v>
      </c>
      <c r="I38" t="s">
        <v>484</v>
      </c>
      <c r="K38" t="s">
        <v>443</v>
      </c>
      <c r="L38">
        <f>L22*L8</f>
        <v>130.4631441617743</v>
      </c>
    </row>
    <row r="39" spans="1:14" x14ac:dyDescent="0.35">
      <c r="A39" s="254" t="s">
        <v>20</v>
      </c>
      <c r="B39" s="255"/>
      <c r="C39" s="267"/>
      <c r="D39" s="256">
        <f>AVERAGE(D9:D38)</f>
        <v>125.0229571638519</v>
      </c>
      <c r="F39" s="254" t="s">
        <v>20</v>
      </c>
      <c r="G39" s="256">
        <f>AVERAGE(G9:G38)</f>
        <v>128.54615504776177</v>
      </c>
    </row>
    <row r="40" spans="1:14" x14ac:dyDescent="0.35">
      <c r="A40" s="257" t="s">
        <v>10</v>
      </c>
      <c r="B40" s="239"/>
      <c r="C40" s="266"/>
      <c r="D40" s="258">
        <f>MIN(D9:D38)</f>
        <v>89.830508474576277</v>
      </c>
      <c r="F40" s="257" t="s">
        <v>10</v>
      </c>
      <c r="G40" s="258">
        <f>MIN(G9:G38)</f>
        <v>92.739871250847472</v>
      </c>
    </row>
    <row r="41" spans="1:14" ht="15" thickBot="1" x14ac:dyDescent="0.4">
      <c r="A41" s="259" t="s">
        <v>9</v>
      </c>
      <c r="B41" s="260"/>
      <c r="C41" s="268"/>
      <c r="D41" s="261">
        <f>MAX(D9:D38)</f>
        <v>172.56637168141594</v>
      </c>
      <c r="F41" s="259" t="s">
        <v>9</v>
      </c>
      <c r="G41" s="261">
        <f>MAX(G9:G38)</f>
        <v>180.89891315906021</v>
      </c>
    </row>
    <row r="45" spans="1:14" x14ac:dyDescent="0.35">
      <c r="A45" s="262" t="s">
        <v>463</v>
      </c>
      <c r="B45" s="262" t="s">
        <v>498</v>
      </c>
      <c r="C45" s="262" t="s">
        <v>457</v>
      </c>
      <c r="D45" s="262" t="s">
        <v>458</v>
      </c>
      <c r="F45" s="262" t="s">
        <v>464</v>
      </c>
      <c r="G45" s="262" t="s">
        <v>458</v>
      </c>
    </row>
    <row r="46" spans="1:14" x14ac:dyDescent="0.35">
      <c r="A46" s="262" t="s">
        <v>416</v>
      </c>
      <c r="B46" s="262"/>
      <c r="C46" s="262">
        <v>122</v>
      </c>
      <c r="D46" s="263">
        <f>C46/G3</f>
        <v>103.38983050847459</v>
      </c>
      <c r="E46" s="121"/>
      <c r="F46" s="262" t="s">
        <v>416</v>
      </c>
      <c r="G46" s="263">
        <f>D46*K4</f>
        <v>106.73834238305086</v>
      </c>
      <c r="I46" s="121" t="s">
        <v>432</v>
      </c>
    </row>
    <row r="47" spans="1:14" x14ac:dyDescent="0.35">
      <c r="A47" s="262" t="s">
        <v>429</v>
      </c>
      <c r="B47" s="262"/>
      <c r="C47" s="262">
        <v>128</v>
      </c>
      <c r="D47" s="263">
        <f>C47/G3</f>
        <v>108.47457627118645</v>
      </c>
      <c r="F47" s="262" t="s">
        <v>429</v>
      </c>
      <c r="G47" s="263">
        <f>D47*K4</f>
        <v>111.98776905762713</v>
      </c>
      <c r="I47" t="s">
        <v>432</v>
      </c>
    </row>
    <row r="48" spans="1:14" x14ac:dyDescent="0.35">
      <c r="A48" s="262" t="s">
        <v>417</v>
      </c>
      <c r="B48" s="262"/>
      <c r="C48" s="262">
        <v>120</v>
      </c>
      <c r="D48" s="263">
        <f>C48/F3</f>
        <v>106.19469026548674</v>
      </c>
      <c r="F48" s="262" t="s">
        <v>417</v>
      </c>
      <c r="G48" s="263">
        <f>D48*K3</f>
        <v>111.32240809788321</v>
      </c>
      <c r="I48" t="s">
        <v>431</v>
      </c>
    </row>
    <row r="49" spans="1:9" x14ac:dyDescent="0.35">
      <c r="A49" s="262" t="s">
        <v>418</v>
      </c>
      <c r="B49" s="262"/>
      <c r="C49" s="262">
        <v>85</v>
      </c>
      <c r="D49" s="263">
        <f>C49/F3</f>
        <v>75.221238938053105</v>
      </c>
      <c r="F49" s="262" t="s">
        <v>418</v>
      </c>
      <c r="G49" s="263">
        <f>D49*K3</f>
        <v>78.853372402667276</v>
      </c>
      <c r="I49" t="s">
        <v>431</v>
      </c>
    </row>
    <row r="50" spans="1:9" x14ac:dyDescent="0.35">
      <c r="A50" s="262" t="s">
        <v>419</v>
      </c>
      <c r="B50" s="262"/>
      <c r="C50" s="262">
        <v>133</v>
      </c>
      <c r="D50" s="263">
        <f>C50/F3</f>
        <v>117.6991150442478</v>
      </c>
      <c r="E50" s="121"/>
      <c r="F50" s="262" t="s">
        <v>419</v>
      </c>
      <c r="G50" s="263">
        <f>D50*K3</f>
        <v>123.38233564182056</v>
      </c>
      <c r="I50" s="121" t="s">
        <v>432</v>
      </c>
    </row>
    <row r="51" spans="1:9" x14ac:dyDescent="0.35">
      <c r="A51" s="262" t="s">
        <v>423</v>
      </c>
      <c r="B51" s="262"/>
      <c r="C51" s="262">
        <v>50</v>
      </c>
      <c r="D51" s="263">
        <f>C51/I3</f>
        <v>45.045045045045043</v>
      </c>
      <c r="F51" s="262" t="s">
        <v>423</v>
      </c>
      <c r="G51" s="263">
        <f>D51</f>
        <v>45.045045045045043</v>
      </c>
      <c r="I51" t="s">
        <v>431</v>
      </c>
    </row>
    <row r="52" spans="1:9" x14ac:dyDescent="0.35">
      <c r="A52" s="262" t="s">
        <v>424</v>
      </c>
      <c r="B52" s="262"/>
      <c r="C52" s="262">
        <v>106</v>
      </c>
      <c r="D52" s="263">
        <f>C52/H3</f>
        <v>94.642857142857139</v>
      </c>
      <c r="F52" s="262" t="s">
        <v>424</v>
      </c>
      <c r="G52" s="263">
        <f>D52*K5</f>
        <v>96.02759571428571</v>
      </c>
      <c r="I52" t="s">
        <v>431</v>
      </c>
    </row>
    <row r="53" spans="1:9" x14ac:dyDescent="0.35">
      <c r="A53" s="262" t="s">
        <v>459</v>
      </c>
      <c r="B53" s="262"/>
      <c r="C53" s="262">
        <v>125</v>
      </c>
      <c r="D53" s="263">
        <f>C53/G3</f>
        <v>105.93220338983052</v>
      </c>
      <c r="F53" s="262" t="s">
        <v>459</v>
      </c>
      <c r="G53" s="263">
        <f>D53*K4</f>
        <v>109.36305572033901</v>
      </c>
      <c r="I53" t="s">
        <v>431</v>
      </c>
    </row>
    <row r="54" spans="1:9" x14ac:dyDescent="0.35">
      <c r="A54" s="262" t="s">
        <v>460</v>
      </c>
      <c r="B54" s="262"/>
      <c r="C54" s="262"/>
      <c r="D54" s="263">
        <v>90</v>
      </c>
      <c r="F54" s="262" t="s">
        <v>460</v>
      </c>
      <c r="G54" s="263">
        <f>D54*K3</f>
        <v>94.345740862956006</v>
      </c>
      <c r="I54" t="s">
        <v>431</v>
      </c>
    </row>
    <row r="55" spans="1:9" x14ac:dyDescent="0.35">
      <c r="A55" s="262" t="s">
        <v>436</v>
      </c>
      <c r="B55" s="262">
        <v>700</v>
      </c>
      <c r="C55" s="276">
        <v>101.47133434804667</v>
      </c>
      <c r="D55" s="263">
        <f>C55/I3</f>
        <v>91.415616529771768</v>
      </c>
      <c r="F55" s="262" t="s">
        <v>436</v>
      </c>
      <c r="G55" s="263">
        <f>D55</f>
        <v>91.415616529771768</v>
      </c>
      <c r="I55" t="s">
        <v>431</v>
      </c>
    </row>
    <row r="56" spans="1:9" x14ac:dyDescent="0.35">
      <c r="A56" s="262" t="s">
        <v>426</v>
      </c>
      <c r="B56" s="262">
        <v>900</v>
      </c>
      <c r="C56" s="276">
        <v>130.4631441617743</v>
      </c>
      <c r="D56" s="263">
        <f>C56/G3</f>
        <v>110.56198657777483</v>
      </c>
      <c r="F56" s="262" t="s">
        <v>426</v>
      </c>
      <c r="G56" s="263">
        <f>D56*K4</f>
        <v>114.14278483531794</v>
      </c>
      <c r="I56" t="s">
        <v>431</v>
      </c>
    </row>
    <row r="57" spans="1:9" x14ac:dyDescent="0.35">
      <c r="A57" s="262" t="s">
        <v>427</v>
      </c>
      <c r="B57" s="262">
        <v>880</v>
      </c>
      <c r="C57" s="276">
        <v>127.56396318040153</v>
      </c>
      <c r="D57" s="263">
        <f>C57/H3</f>
        <v>113.89639569678707</v>
      </c>
      <c r="F57" s="262" t="s">
        <v>427</v>
      </c>
      <c r="G57" s="263">
        <f>D57*K5</f>
        <v>115.5628366415059</v>
      </c>
      <c r="I57" t="s">
        <v>431</v>
      </c>
    </row>
    <row r="58" spans="1:9" x14ac:dyDescent="0.35">
      <c r="A58" s="262" t="s">
        <v>425</v>
      </c>
      <c r="B58" s="262">
        <v>690</v>
      </c>
      <c r="C58" s="276">
        <v>100.02174385736029</v>
      </c>
      <c r="D58" s="263">
        <f>C58/H3</f>
        <v>89.305128444071684</v>
      </c>
      <c r="F58" s="262" t="s">
        <v>425</v>
      </c>
      <c r="G58" s="263">
        <f>D58*K5</f>
        <v>90.611769639362578</v>
      </c>
      <c r="I58" t="s">
        <v>431</v>
      </c>
    </row>
    <row r="59" spans="1:9" x14ac:dyDescent="0.35">
      <c r="A59" s="262" t="s">
        <v>435</v>
      </c>
      <c r="B59" s="262">
        <v>450</v>
      </c>
      <c r="C59" s="276">
        <v>65.231572080887148</v>
      </c>
      <c r="D59" s="263">
        <f>C59/I3</f>
        <v>58.767182054853279</v>
      </c>
      <c r="F59" s="262" t="s">
        <v>435</v>
      </c>
      <c r="G59" s="263">
        <f>D59</f>
        <v>58.767182054853279</v>
      </c>
      <c r="I59" t="s">
        <v>431</v>
      </c>
    </row>
    <row r="60" spans="1:9" x14ac:dyDescent="0.35">
      <c r="A60" s="262" t="s">
        <v>461</v>
      </c>
      <c r="B60" s="262"/>
      <c r="C60" s="276">
        <v>85</v>
      </c>
      <c r="D60" s="263">
        <f>C60/I3</f>
        <v>76.576576576576571</v>
      </c>
      <c r="F60" s="262" t="s">
        <v>461</v>
      </c>
      <c r="G60" s="263">
        <f t="shared" ref="G60:G61" si="2">D60</f>
        <v>76.576576576576571</v>
      </c>
      <c r="I60" t="s">
        <v>431</v>
      </c>
    </row>
    <row r="61" spans="1:9" x14ac:dyDescent="0.35">
      <c r="A61" s="262" t="s">
        <v>428</v>
      </c>
      <c r="B61" s="262"/>
      <c r="C61" s="262">
        <v>84</v>
      </c>
      <c r="D61" s="263">
        <f>C61/J3</f>
        <v>71.337579617834393</v>
      </c>
      <c r="F61" s="262" t="s">
        <v>428</v>
      </c>
      <c r="G61" s="263">
        <f t="shared" si="2"/>
        <v>71.337579617834393</v>
      </c>
      <c r="I61" t="s">
        <v>431</v>
      </c>
    </row>
    <row r="62" spans="1:9" ht="15" thickBot="1" x14ac:dyDescent="0.4">
      <c r="A62" s="202" t="s">
        <v>462</v>
      </c>
      <c r="B62" s="262"/>
      <c r="C62" s="277">
        <v>90</v>
      </c>
      <c r="D62" s="278">
        <f>C62/H3</f>
        <v>80.357142857142847</v>
      </c>
      <c r="E62" s="32"/>
      <c r="F62" s="202" t="s">
        <v>462</v>
      </c>
      <c r="G62" s="278">
        <f>D62*K5</f>
        <v>81.532864285714268</v>
      </c>
      <c r="I62" s="32" t="s">
        <v>454</v>
      </c>
    </row>
    <row r="63" spans="1:9" x14ac:dyDescent="0.35">
      <c r="A63" s="254" t="s">
        <v>20</v>
      </c>
      <c r="B63" s="255"/>
      <c r="C63" s="255"/>
      <c r="D63" s="256">
        <f>AVERAGE(D46:D62)</f>
        <v>90.518656762352578</v>
      </c>
      <c r="F63" s="254" t="s">
        <v>20</v>
      </c>
      <c r="G63" s="256">
        <f>AVERAGE(G46:G62)</f>
        <v>92.765463241565399</v>
      </c>
    </row>
    <row r="64" spans="1:9" x14ac:dyDescent="0.35">
      <c r="A64" s="257" t="s">
        <v>10</v>
      </c>
      <c r="D64" s="258">
        <f>MIN(D46:D62)</f>
        <v>45.045045045045043</v>
      </c>
      <c r="F64" s="257" t="s">
        <v>10</v>
      </c>
      <c r="G64" s="258">
        <f>MIN(G46:G62)</f>
        <v>45.045045045045043</v>
      </c>
    </row>
    <row r="65" spans="1:9" ht="15" thickBot="1" x14ac:dyDescent="0.4">
      <c r="A65" s="259" t="s">
        <v>9</v>
      </c>
      <c r="B65" s="260"/>
      <c r="C65" s="260"/>
      <c r="D65" s="261">
        <f>MAX(D46:D62)</f>
        <v>117.6991150442478</v>
      </c>
      <c r="F65" s="259" t="s">
        <v>9</v>
      </c>
      <c r="G65" s="261">
        <f>MAX(G46:G62)</f>
        <v>123.38233564182056</v>
      </c>
    </row>
    <row r="71" spans="1:9" x14ac:dyDescent="0.35">
      <c r="A71" s="262" t="s">
        <v>472</v>
      </c>
      <c r="B71" s="262" t="s">
        <v>498</v>
      </c>
      <c r="C71" s="262" t="s">
        <v>457</v>
      </c>
      <c r="D71" s="262" t="s">
        <v>458</v>
      </c>
      <c r="F71" s="262" t="s">
        <v>473</v>
      </c>
      <c r="G71" s="262" t="s">
        <v>458</v>
      </c>
    </row>
    <row r="72" spans="1:9" x14ac:dyDescent="0.35">
      <c r="A72" s="262" t="s">
        <v>417</v>
      </c>
      <c r="B72" s="262"/>
      <c r="C72" s="262">
        <v>80</v>
      </c>
      <c r="D72" s="263">
        <f>C72/F3</f>
        <v>70.796460176991161</v>
      </c>
      <c r="F72" s="262" t="s">
        <v>417</v>
      </c>
      <c r="G72" s="263">
        <f>D72*K3</f>
        <v>74.214938731922146</v>
      </c>
      <c r="I72" t="s">
        <v>431</v>
      </c>
    </row>
    <row r="73" spans="1:9" x14ac:dyDescent="0.35">
      <c r="A73" s="262" t="s">
        <v>418</v>
      </c>
      <c r="B73" s="262"/>
      <c r="C73" s="262">
        <v>50</v>
      </c>
      <c r="D73" s="263">
        <f>C73/F3</f>
        <v>44.247787610619476</v>
      </c>
      <c r="F73" s="262" t="s">
        <v>418</v>
      </c>
      <c r="G73" s="263">
        <f>D73*K3</f>
        <v>46.38433670745134</v>
      </c>
      <c r="I73" t="s">
        <v>431</v>
      </c>
    </row>
    <row r="74" spans="1:9" x14ac:dyDescent="0.35">
      <c r="A74" s="262" t="s">
        <v>424</v>
      </c>
      <c r="B74" s="262"/>
      <c r="C74" s="262">
        <v>74</v>
      </c>
      <c r="D74" s="263">
        <f>C74/H3</f>
        <v>66.071428571428569</v>
      </c>
      <c r="F74" s="262" t="s">
        <v>424</v>
      </c>
      <c r="G74" s="263">
        <f>D74*K5</f>
        <v>67.038132857142855</v>
      </c>
      <c r="I74" t="s">
        <v>431</v>
      </c>
    </row>
    <row r="75" spans="1:9" x14ac:dyDescent="0.35">
      <c r="A75" s="262" t="s">
        <v>471</v>
      </c>
      <c r="B75" s="262"/>
      <c r="C75" s="262">
        <v>70</v>
      </c>
      <c r="D75" s="263">
        <f>C75/G3</f>
        <v>59.322033898305087</v>
      </c>
      <c r="F75" s="262" t="s">
        <v>471</v>
      </c>
      <c r="G75" s="263">
        <f>D75*K4</f>
        <v>61.243311203389837</v>
      </c>
      <c r="I75" t="s">
        <v>471</v>
      </c>
    </row>
    <row r="76" spans="1:9" x14ac:dyDescent="0.35">
      <c r="A76" s="262" t="s">
        <v>428</v>
      </c>
      <c r="B76" s="262"/>
      <c r="C76" s="262">
        <v>58</v>
      </c>
      <c r="D76" s="263">
        <f>C76/J3</f>
        <v>49.256900212314228</v>
      </c>
      <c r="F76" s="262" t="s">
        <v>428</v>
      </c>
      <c r="G76" s="263">
        <f>D76</f>
        <v>49.256900212314228</v>
      </c>
      <c r="I76" t="s">
        <v>431</v>
      </c>
    </row>
    <row r="77" spans="1:9" x14ac:dyDescent="0.35">
      <c r="A77" s="262" t="s">
        <v>436</v>
      </c>
      <c r="B77" s="262">
        <v>650</v>
      </c>
      <c r="C77" s="263">
        <v>94.223381894614761</v>
      </c>
      <c r="D77" s="263">
        <f>C77/I3</f>
        <v>84.88592963478807</v>
      </c>
      <c r="F77" s="262" t="s">
        <v>436</v>
      </c>
      <c r="G77" s="263">
        <f>D77</f>
        <v>84.88592963478807</v>
      </c>
      <c r="I77" t="s">
        <v>431</v>
      </c>
    </row>
    <row r="78" spans="1:9" x14ac:dyDescent="0.35">
      <c r="A78" s="262" t="s">
        <v>426</v>
      </c>
      <c r="B78" s="262">
        <v>800</v>
      </c>
      <c r="C78" s="263">
        <v>115.96723925491048</v>
      </c>
      <c r="D78" s="263">
        <f>C78/G3</f>
        <v>98.277321402466512</v>
      </c>
      <c r="F78" s="262" t="s">
        <v>426</v>
      </c>
      <c r="G78" s="263">
        <f>D78*K4</f>
        <v>101.46025318694927</v>
      </c>
      <c r="I78" t="s">
        <v>431</v>
      </c>
    </row>
    <row r="79" spans="1:9" x14ac:dyDescent="0.35">
      <c r="A79" s="262" t="s">
        <v>427</v>
      </c>
      <c r="B79" s="262">
        <v>780</v>
      </c>
      <c r="C79" s="263">
        <v>113.06805827353772</v>
      </c>
      <c r="D79" s="263">
        <f>C79/H3</f>
        <v>100.95362345851581</v>
      </c>
      <c r="F79" s="262" t="s">
        <v>427</v>
      </c>
      <c r="G79" s="263">
        <f>D79*K5</f>
        <v>102.43069611406204</v>
      </c>
      <c r="I79" t="s">
        <v>431</v>
      </c>
    </row>
    <row r="80" spans="1:9" x14ac:dyDescent="0.35">
      <c r="A80" s="262" t="s">
        <v>425</v>
      </c>
      <c r="B80" s="262">
        <v>580</v>
      </c>
      <c r="C80" s="263">
        <v>84.076248459810103</v>
      </c>
      <c r="D80" s="263">
        <f>C80/H3</f>
        <v>75.068078981973301</v>
      </c>
      <c r="F80" s="262" t="s">
        <v>425</v>
      </c>
      <c r="G80" s="263">
        <f>D80*K5</f>
        <v>76.166415059174341</v>
      </c>
      <c r="I80" t="s">
        <v>431</v>
      </c>
    </row>
    <row r="81" spans="1:9" x14ac:dyDescent="0.35">
      <c r="A81" s="262" t="s">
        <v>435</v>
      </c>
      <c r="B81" s="262">
        <v>400</v>
      </c>
      <c r="C81" s="263">
        <v>57.983619627455241</v>
      </c>
      <c r="D81" s="263">
        <f>C81/I3</f>
        <v>52.237495159869582</v>
      </c>
      <c r="F81" s="262" t="s">
        <v>435</v>
      </c>
      <c r="G81" s="263">
        <f>D81</f>
        <v>52.237495159869582</v>
      </c>
      <c r="I81" t="s">
        <v>431</v>
      </c>
    </row>
    <row r="82" spans="1:9" x14ac:dyDescent="0.35">
      <c r="A82" s="262" t="s">
        <v>462</v>
      </c>
      <c r="B82" s="262"/>
      <c r="C82" s="263">
        <v>62</v>
      </c>
      <c r="D82" s="263">
        <f>C82/H3</f>
        <v>55.357142857142854</v>
      </c>
      <c r="F82" s="262" t="s">
        <v>462</v>
      </c>
      <c r="G82" s="263">
        <f>D82*K4</f>
        <v>57.150008260714287</v>
      </c>
      <c r="I82" s="32" t="s">
        <v>454</v>
      </c>
    </row>
    <row r="83" spans="1:9" x14ac:dyDescent="0.35">
      <c r="A83" s="262" t="s">
        <v>448</v>
      </c>
      <c r="B83" s="262"/>
      <c r="C83" s="263">
        <v>58</v>
      </c>
      <c r="D83" s="263">
        <f>C83/I3</f>
        <v>52.252252252252248</v>
      </c>
      <c r="F83" s="262" t="s">
        <v>448</v>
      </c>
      <c r="G83" s="263">
        <f>D83</f>
        <v>52.252252252252248</v>
      </c>
      <c r="I83" s="32" t="s">
        <v>455</v>
      </c>
    </row>
    <row r="84" spans="1:9" x14ac:dyDescent="0.35">
      <c r="A84" s="202" t="s">
        <v>494</v>
      </c>
      <c r="B84" s="262"/>
      <c r="C84" s="262"/>
      <c r="D84" s="262">
        <v>95</v>
      </c>
      <c r="F84" s="202" t="s">
        <v>494</v>
      </c>
      <c r="G84" s="263">
        <f>D84*K3</f>
        <v>99.58717091089801</v>
      </c>
      <c r="I84" t="s">
        <v>484</v>
      </c>
    </row>
    <row r="85" spans="1:9" ht="15" thickBot="1" x14ac:dyDescent="0.4">
      <c r="A85" s="202" t="s">
        <v>495</v>
      </c>
      <c r="B85" s="262"/>
      <c r="C85" s="262"/>
      <c r="D85" s="262">
        <v>115</v>
      </c>
      <c r="F85" s="202" t="s">
        <v>495</v>
      </c>
      <c r="G85" s="263">
        <f>D85*K3</f>
        <v>120.55289110266601</v>
      </c>
      <c r="I85" t="s">
        <v>484</v>
      </c>
    </row>
    <row r="86" spans="1:9" x14ac:dyDescent="0.35">
      <c r="A86" s="254" t="s">
        <v>20</v>
      </c>
      <c r="B86" s="255"/>
      <c r="C86" s="255"/>
      <c r="D86" s="256">
        <f>AVERAGE(D72:D85)</f>
        <v>72.766175301190486</v>
      </c>
      <c r="F86" s="254" t="s">
        <v>20</v>
      </c>
      <c r="G86" s="256">
        <f>AVERAGE(G72:G85)</f>
        <v>74.632909385256752</v>
      </c>
    </row>
    <row r="87" spans="1:9" x14ac:dyDescent="0.35">
      <c r="A87" s="257" t="s">
        <v>10</v>
      </c>
      <c r="D87" s="258">
        <f>MIN(D72:D85)</f>
        <v>44.247787610619476</v>
      </c>
      <c r="F87" s="257" t="s">
        <v>10</v>
      </c>
      <c r="G87" s="258">
        <f>MIN(G72:G85)</f>
        <v>46.38433670745134</v>
      </c>
    </row>
    <row r="88" spans="1:9" ht="15" thickBot="1" x14ac:dyDescent="0.4">
      <c r="A88" s="259" t="s">
        <v>9</v>
      </c>
      <c r="B88" s="260"/>
      <c r="C88" s="260"/>
      <c r="D88" s="261">
        <f>MAX(D72:D85)</f>
        <v>115</v>
      </c>
      <c r="F88" s="259" t="s">
        <v>9</v>
      </c>
      <c r="G88" s="261">
        <f>MAX(G72:G85)</f>
        <v>120.55289110266601</v>
      </c>
    </row>
    <row r="90" spans="1:9" x14ac:dyDescent="0.35">
      <c r="A90" t="s">
        <v>489</v>
      </c>
    </row>
    <row r="91" spans="1:9" x14ac:dyDescent="0.35">
      <c r="A91" t="s">
        <v>431</v>
      </c>
      <c r="B91" t="s">
        <v>490</v>
      </c>
      <c r="F91" s="32" t="s">
        <v>491</v>
      </c>
    </row>
    <row r="92" spans="1:9" x14ac:dyDescent="0.35">
      <c r="A92" t="s">
        <v>432</v>
      </c>
      <c r="B92" t="s">
        <v>492</v>
      </c>
      <c r="F92" s="32" t="s">
        <v>493</v>
      </c>
    </row>
    <row r="93" spans="1:9" x14ac:dyDescent="0.35">
      <c r="A93" t="s">
        <v>484</v>
      </c>
      <c r="B93" t="s">
        <v>496</v>
      </c>
      <c r="F93" s="32" t="s">
        <v>497</v>
      </c>
    </row>
  </sheetData>
  <phoneticPr fontId="14" type="noConversion"/>
  <hyperlinks>
    <hyperlink ref="I33" r:id="rId1" display="https://mackinstitute.wharton.upenn.edu/2021/electric-vehicle-battery-costs-decline/" xr:uid="{8626C793-B9C1-4BFD-A11D-C07E2DCB69C9}"/>
    <hyperlink ref="I34" r:id="rId2" display="https://www.straitstimes.com/business/companies-markets/why-building-an-electric-car-is-so-expensive-for-now" xr:uid="{0299E8A3-872E-4B1F-BFE9-A9EFCFDCACE0}"/>
    <hyperlink ref="I35" r:id="rId3" display="https://www.nature.com/articles/d41586-021-02222-1" xr:uid="{3620C5C7-A4FB-4905-83BB-71BE9619E7AE}"/>
    <hyperlink ref="I36" r:id="rId4" display="https://battery2030.eu/digitalAssets/861/c_861008-l_1-k_roadmap-27-march.pdf" xr:uid="{A3C0BA29-E5DB-449D-900C-670AC7857180}"/>
    <hyperlink ref="I82" r:id="rId5" display="https://about.bnef.com/blog/behind-scenes-take-lithium-ion-battery-prices/" xr:uid="{54F1196B-BFE5-4CB3-A61F-E9605F8564F5}"/>
    <hyperlink ref="I83" r:id="rId6" display="https://about.bnef.com/blog/battery-pack-prices-cited-below-100-kwh-for-the-first-time-in-2020-while-market-average-sits-at-137-kwh/" xr:uid="{69E70021-F546-429C-BD28-D1AE942AE9B7}"/>
    <hyperlink ref="I32" r:id="rId7" display="https://about.bnef.com/blog/battery-pack-prices-cited-below-100-kwh-for-the-first-time-in-2020-while-market-average-sits-at-137-kwh/" xr:uid="{89203DDB-2BE1-4EF9-B2F7-C8C1A62D87A8}"/>
    <hyperlink ref="I62" r:id="rId8" display="https://about.bnef.com/blog/behind-scenes-take-lithium-ion-battery-prices/" xr:uid="{4A8E1E0D-B91C-4BDF-AD2F-17D88C63C581}"/>
    <hyperlink ref="F91" r:id="rId9" display="https://www.researchgate.net/publication/350963556_Evaluating_electric_vehicle_costs_and_benefits_in_China_in_the_2020-2035_time_frame" xr:uid="{81DBFE06-531B-49FE-B2D2-BA112E4A20F1}"/>
    <hyperlink ref="F92" r:id="rId10" display="https://www.researchgate.net/publication/332170448_Update_on_electric_vehicle_costs_in_the_United_States_through_2030" xr:uid="{68737796-1986-425D-9C2E-89ABAE83BA6C}"/>
    <hyperlink ref="F93" r:id="rId11" display="https://www.researchgate.net/publication/319136996_An_Overview_of_Costs_for_Vehicle_Components_Fuels_Greenhouse_Gas_Emissions_and_Total_Cost_of_Ownership_-_Update_2017" xr:uid="{35FD6458-0C3B-4E98-8FD7-B3439F7C0E19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5274-7EB1-46DC-A0A2-EF8332403C18}">
  <dimension ref="A1:N47"/>
  <sheetViews>
    <sheetView workbookViewId="0">
      <selection activeCell="F15" sqref="F15"/>
    </sheetView>
  </sheetViews>
  <sheetFormatPr baseColWidth="10" defaultRowHeight="14.5" x14ac:dyDescent="0.35"/>
  <cols>
    <col min="1" max="1" width="25.08984375" bestFit="1" customWidth="1"/>
    <col min="4" max="4" width="7.90625" bestFit="1" customWidth="1"/>
    <col min="5" max="5" width="23.6328125" bestFit="1" customWidth="1"/>
    <col min="10" max="10" width="11.54296875" customWidth="1"/>
    <col min="11" max="11" width="16.1796875" bestFit="1" customWidth="1"/>
    <col min="12" max="12" width="25.90625" bestFit="1" customWidth="1"/>
  </cols>
  <sheetData>
    <row r="1" spans="1:14" x14ac:dyDescent="0.35">
      <c r="A1" s="254" t="s">
        <v>413</v>
      </c>
      <c r="B1" s="255"/>
      <c r="C1" s="255"/>
      <c r="D1" s="255"/>
      <c r="E1" s="255"/>
      <c r="F1" s="255"/>
      <c r="G1" s="255"/>
      <c r="H1" s="255"/>
      <c r="I1" s="255"/>
      <c r="J1" s="269"/>
      <c r="K1" t="s">
        <v>465</v>
      </c>
      <c r="L1" t="s">
        <v>466</v>
      </c>
    </row>
    <row r="2" spans="1:14" x14ac:dyDescent="0.35">
      <c r="A2" s="257" t="s">
        <v>414</v>
      </c>
      <c r="B2" s="239">
        <v>2013</v>
      </c>
      <c r="C2" s="239">
        <v>2014</v>
      </c>
      <c r="D2" s="239">
        <v>2015</v>
      </c>
      <c r="E2" s="239">
        <v>2016</v>
      </c>
      <c r="F2" s="239">
        <v>2017</v>
      </c>
      <c r="G2" s="239">
        <v>2018</v>
      </c>
      <c r="H2" s="239">
        <v>2019</v>
      </c>
      <c r="I2" s="239">
        <v>2020</v>
      </c>
      <c r="J2" s="270" t="s">
        <v>20</v>
      </c>
      <c r="K2" s="121">
        <f>PRODUCT(E6:I6)</f>
        <v>1.0508018960114123</v>
      </c>
      <c r="L2" t="s">
        <v>344</v>
      </c>
    </row>
    <row r="3" spans="1:14" ht="15" thickBot="1" x14ac:dyDescent="0.4">
      <c r="A3" s="259"/>
      <c r="B3" s="260">
        <v>1.33</v>
      </c>
      <c r="C3" s="260">
        <v>1.33</v>
      </c>
      <c r="D3" s="260">
        <v>1.1100000000000001</v>
      </c>
      <c r="E3" s="260">
        <v>1.1100000000000001</v>
      </c>
      <c r="F3" s="260">
        <v>1.1299999999999999</v>
      </c>
      <c r="G3" s="260">
        <v>1.18</v>
      </c>
      <c r="H3" s="260">
        <v>1.1200000000000001</v>
      </c>
      <c r="I3" s="260">
        <v>1.1100000000000001</v>
      </c>
      <c r="J3" s="271">
        <v>1.1775</v>
      </c>
      <c r="K3" s="121">
        <f>PRODUCT(F6:I6)</f>
        <v>1.0482860095884001</v>
      </c>
      <c r="L3" t="s">
        <v>467</v>
      </c>
    </row>
    <row r="4" spans="1:14" x14ac:dyDescent="0.35">
      <c r="A4" s="254" t="s">
        <v>415</v>
      </c>
      <c r="B4" s="255">
        <v>2013</v>
      </c>
      <c r="C4" s="255">
        <v>2014</v>
      </c>
      <c r="D4" s="255">
        <v>2015</v>
      </c>
      <c r="E4" s="255">
        <v>2016</v>
      </c>
      <c r="F4" s="255">
        <v>2017</v>
      </c>
      <c r="G4" s="255">
        <v>2018</v>
      </c>
      <c r="H4" s="255">
        <v>2019</v>
      </c>
      <c r="I4" s="269">
        <v>2020</v>
      </c>
      <c r="K4" s="121">
        <f>PRODUCT(G6:I6)</f>
        <v>1.0323872460000001</v>
      </c>
      <c r="L4" t="s">
        <v>468</v>
      </c>
    </row>
    <row r="5" spans="1:14" x14ac:dyDescent="0.35">
      <c r="A5" s="257"/>
      <c r="B5" s="272">
        <v>1.35E-2</v>
      </c>
      <c r="C5" s="272">
        <v>4.3E-3</v>
      </c>
      <c r="D5" s="272">
        <v>2.9999999999999997E-4</v>
      </c>
      <c r="E5" s="272">
        <v>2.3999999999999998E-3</v>
      </c>
      <c r="F5" s="272">
        <v>1.54E-2</v>
      </c>
      <c r="G5" s="272">
        <v>1.7500000000000002E-2</v>
      </c>
      <c r="H5" s="272">
        <v>1.2E-2</v>
      </c>
      <c r="I5" s="273">
        <v>2.5999999999999999E-3</v>
      </c>
      <c r="J5" s="253"/>
      <c r="K5" s="121">
        <f>PRODUCT(H6:I6)</f>
        <v>1.0146312</v>
      </c>
      <c r="L5" t="s">
        <v>469</v>
      </c>
    </row>
    <row r="6" spans="1:14" ht="15" thickBot="1" x14ac:dyDescent="0.4">
      <c r="A6" s="259"/>
      <c r="B6" s="274">
        <f>100%+B5</f>
        <v>1.0135000000000001</v>
      </c>
      <c r="C6" s="274">
        <f t="shared" ref="C6:I6" si="0">100%+C5</f>
        <v>1.0043</v>
      </c>
      <c r="D6" s="274">
        <f t="shared" si="0"/>
        <v>1.0003</v>
      </c>
      <c r="E6" s="274">
        <f t="shared" si="0"/>
        <v>1.0024</v>
      </c>
      <c r="F6" s="274">
        <f t="shared" si="0"/>
        <v>1.0154000000000001</v>
      </c>
      <c r="G6" s="274">
        <f t="shared" si="0"/>
        <v>1.0175000000000001</v>
      </c>
      <c r="H6" s="274">
        <f t="shared" si="0"/>
        <v>1.012</v>
      </c>
      <c r="I6" s="275">
        <f t="shared" si="0"/>
        <v>1.0025999999999999</v>
      </c>
    </row>
    <row r="7" spans="1:14" x14ac:dyDescent="0.35">
      <c r="K7" t="s">
        <v>480</v>
      </c>
      <c r="L7" t="s">
        <v>481</v>
      </c>
    </row>
    <row r="8" spans="1:14" x14ac:dyDescent="0.35">
      <c r="A8">
        <v>2020</v>
      </c>
      <c r="E8">
        <v>2020</v>
      </c>
      <c r="K8" t="s">
        <v>482</v>
      </c>
      <c r="L8" s="121">
        <v>2.8000000000000001E-2</v>
      </c>
    </row>
    <row r="9" spans="1:14" x14ac:dyDescent="0.35">
      <c r="A9" t="s">
        <v>478</v>
      </c>
      <c r="B9" t="s">
        <v>475</v>
      </c>
      <c r="C9" t="s">
        <v>476</v>
      </c>
      <c r="E9" t="s">
        <v>479</v>
      </c>
      <c r="F9" t="s">
        <v>475</v>
      </c>
      <c r="G9" t="s">
        <v>476</v>
      </c>
      <c r="K9" t="s">
        <v>281</v>
      </c>
      <c r="L9" s="121">
        <v>2.4899999999999999E-2</v>
      </c>
    </row>
    <row r="10" spans="1:14" x14ac:dyDescent="0.35">
      <c r="A10" t="s">
        <v>474</v>
      </c>
      <c r="B10">
        <v>209.86</v>
      </c>
      <c r="C10">
        <v>5.68</v>
      </c>
      <c r="E10" t="s">
        <v>474</v>
      </c>
      <c r="F10" s="120">
        <f>B10*K2</f>
        <v>220.52128589695499</v>
      </c>
      <c r="G10" s="120">
        <f>C10*K2</f>
        <v>5.9685547693448218</v>
      </c>
    </row>
    <row r="11" spans="1:14" ht="15" thickBot="1" x14ac:dyDescent="0.4">
      <c r="A11" t="s">
        <v>477</v>
      </c>
      <c r="B11">
        <v>414</v>
      </c>
      <c r="C11">
        <v>5.33</v>
      </c>
      <c r="E11" t="s">
        <v>477</v>
      </c>
      <c r="F11" s="120">
        <f>B11*K4</f>
        <v>427.40831984400006</v>
      </c>
      <c r="G11" s="120">
        <f>C11*K4</f>
        <v>5.5026240211800008</v>
      </c>
    </row>
    <row r="12" spans="1:14" ht="15" thickBot="1" x14ac:dyDescent="0.4">
      <c r="E12" s="279" t="s">
        <v>20</v>
      </c>
      <c r="F12" s="280">
        <f>AVERAGE(F10:F11)</f>
        <v>323.96480287047751</v>
      </c>
      <c r="G12" s="281">
        <f>AVERAGE(G10:G11)</f>
        <v>5.7355893952624113</v>
      </c>
    </row>
    <row r="13" spans="1:14" ht="15" thickBot="1" x14ac:dyDescent="0.4">
      <c r="J13" s="260">
        <v>1.1100000000000001</v>
      </c>
      <c r="K13" s="284"/>
      <c r="L13" s="253"/>
      <c r="M13" s="253"/>
      <c r="N13" s="253"/>
    </row>
    <row r="14" spans="1:14" ht="15" thickBot="1" x14ac:dyDescent="0.4">
      <c r="E14">
        <v>2025</v>
      </c>
      <c r="F14" t="s">
        <v>475</v>
      </c>
      <c r="G14" t="s">
        <v>476</v>
      </c>
      <c r="J14" s="260">
        <v>1.1299999999999999</v>
      </c>
      <c r="K14" s="284"/>
    </row>
    <row r="15" spans="1:14" ht="15" thickBot="1" x14ac:dyDescent="0.4">
      <c r="E15" s="279"/>
      <c r="F15" s="280">
        <f>F12*(100%-L8/2)</f>
        <v>319.42929563029082</v>
      </c>
      <c r="G15" s="281">
        <f>G12*(100%-L8/2)</f>
        <v>5.6552911437287374</v>
      </c>
      <c r="J15" s="260">
        <v>1.18</v>
      </c>
      <c r="K15" s="284"/>
    </row>
    <row r="16" spans="1:14" ht="15" thickBot="1" x14ac:dyDescent="0.4">
      <c r="J16" s="260">
        <v>1.1200000000000001</v>
      </c>
      <c r="K16" s="272"/>
    </row>
    <row r="17" spans="1:11" ht="15" thickBot="1" x14ac:dyDescent="0.4">
      <c r="E17">
        <v>2030</v>
      </c>
      <c r="F17" t="s">
        <v>475</v>
      </c>
      <c r="G17" t="s">
        <v>476</v>
      </c>
      <c r="J17" s="260">
        <v>1.1100000000000001</v>
      </c>
      <c r="K17" s="272"/>
    </row>
    <row r="18" spans="1:11" ht="15" thickBot="1" x14ac:dyDescent="0.4">
      <c r="E18" s="279"/>
      <c r="F18" s="280">
        <f>F12*(100%-L8)</f>
        <v>314.89378839010413</v>
      </c>
      <c r="G18" s="281">
        <f>G12*(100%-L8)</f>
        <v>5.5749928921950636</v>
      </c>
      <c r="J18" s="239"/>
      <c r="K18" s="272"/>
    </row>
    <row r="19" spans="1:11" x14ac:dyDescent="0.35">
      <c r="J19" s="239"/>
      <c r="K19" s="239"/>
    </row>
    <row r="21" spans="1:11" x14ac:dyDescent="0.35">
      <c r="A21">
        <v>2020</v>
      </c>
      <c r="E21">
        <v>2020</v>
      </c>
    </row>
    <row r="22" spans="1:11" x14ac:dyDescent="0.35">
      <c r="A22" t="s">
        <v>483</v>
      </c>
      <c r="B22" t="s">
        <v>19</v>
      </c>
      <c r="C22" t="s">
        <v>17</v>
      </c>
      <c r="E22" t="s">
        <v>485</v>
      </c>
    </row>
    <row r="23" spans="1:11" x14ac:dyDescent="0.35">
      <c r="A23" t="s">
        <v>484</v>
      </c>
      <c r="C23">
        <v>3</v>
      </c>
      <c r="E23" t="s">
        <v>488</v>
      </c>
      <c r="F23" s="120">
        <f>C23*K3</f>
        <v>3.1448580287652002</v>
      </c>
    </row>
    <row r="24" spans="1:11" ht="15" thickBot="1" x14ac:dyDescent="0.4">
      <c r="E24" t="s">
        <v>487</v>
      </c>
      <c r="F24" s="194">
        <f>F29*(100%+L9/2)</f>
        <v>3.2751174453202787</v>
      </c>
    </row>
    <row r="25" spans="1:11" ht="15" thickBot="1" x14ac:dyDescent="0.4">
      <c r="E25" s="279" t="s">
        <v>20</v>
      </c>
      <c r="F25" s="282">
        <f>AVERAGE(F23:F24)</f>
        <v>3.2099877370427397</v>
      </c>
    </row>
    <row r="27" spans="1:11" x14ac:dyDescent="0.35">
      <c r="E27">
        <v>2025</v>
      </c>
    </row>
    <row r="28" spans="1:11" x14ac:dyDescent="0.35">
      <c r="E28" t="s">
        <v>486</v>
      </c>
      <c r="F28" s="120">
        <f>F23*(100%-L9/2)</f>
        <v>3.1057045463070736</v>
      </c>
    </row>
    <row r="29" spans="1:11" ht="15" thickBot="1" x14ac:dyDescent="0.4">
      <c r="A29" t="s">
        <v>419</v>
      </c>
      <c r="B29" s="120">
        <v>3.4870000000000001</v>
      </c>
      <c r="C29" s="120">
        <f>B29/F3</f>
        <v>3.0858407079646022</v>
      </c>
      <c r="E29" t="s">
        <v>419</v>
      </c>
      <c r="F29" s="120">
        <f>C29*K3</f>
        <v>3.2348436419776565</v>
      </c>
    </row>
    <row r="30" spans="1:11" ht="15" thickBot="1" x14ac:dyDescent="0.4">
      <c r="E30" s="279" t="s">
        <v>20</v>
      </c>
      <c r="F30" s="283">
        <f>AVERAGE(F28:F29)</f>
        <v>3.1702740941423651</v>
      </c>
    </row>
    <row r="32" spans="1:11" x14ac:dyDescent="0.35">
      <c r="E32">
        <v>2030</v>
      </c>
    </row>
    <row r="33" spans="1:7" x14ac:dyDescent="0.35">
      <c r="E33" t="s">
        <v>486</v>
      </c>
      <c r="F33" s="120">
        <f>F28*(100%-L9/2)</f>
        <v>3.0670385247055507</v>
      </c>
    </row>
    <row r="34" spans="1:7" ht="15" thickBot="1" x14ac:dyDescent="0.4">
      <c r="E34" t="s">
        <v>487</v>
      </c>
      <c r="F34" s="120">
        <f>F29*(100%-L9/2)</f>
        <v>3.1945698386350347</v>
      </c>
    </row>
    <row r="35" spans="1:7" ht="15" thickBot="1" x14ac:dyDescent="0.4">
      <c r="E35" s="279" t="s">
        <v>20</v>
      </c>
      <c r="F35" s="283">
        <f>AVERAGE(F33:F34)</f>
        <v>3.1308041816702925</v>
      </c>
    </row>
    <row r="38" spans="1:7" x14ac:dyDescent="0.35">
      <c r="A38">
        <v>2020</v>
      </c>
      <c r="E38">
        <v>2020</v>
      </c>
    </row>
    <row r="39" spans="1:7" x14ac:dyDescent="0.35">
      <c r="A39" t="s">
        <v>499</v>
      </c>
      <c r="B39" t="s">
        <v>475</v>
      </c>
      <c r="C39" t="s">
        <v>476</v>
      </c>
      <c r="E39" t="s">
        <v>479</v>
      </c>
      <c r="F39" t="s">
        <v>475</v>
      </c>
      <c r="G39" t="s">
        <v>476</v>
      </c>
    </row>
    <row r="40" spans="1:7" ht="15" thickBot="1" x14ac:dyDescent="0.4">
      <c r="A40" t="s">
        <v>474</v>
      </c>
      <c r="B40">
        <v>179.57</v>
      </c>
      <c r="C40">
        <v>4.3600000000000003</v>
      </c>
      <c r="E40" t="s">
        <v>474</v>
      </c>
      <c r="F40" s="120">
        <f>B40*K2</f>
        <v>188.69249646676928</v>
      </c>
      <c r="G40" s="120">
        <f>C40*K2</f>
        <v>4.5814962666097578</v>
      </c>
    </row>
    <row r="41" spans="1:7" ht="15" thickBot="1" x14ac:dyDescent="0.4">
      <c r="E41" s="279" t="s">
        <v>20</v>
      </c>
      <c r="F41" s="280">
        <f>AVERAGE(F40:F40)</f>
        <v>188.69249646676928</v>
      </c>
      <c r="G41" s="281">
        <f>AVERAGE(G40:G40)</f>
        <v>4.5814962666097578</v>
      </c>
    </row>
    <row r="43" spans="1:7" ht="15" thickBot="1" x14ac:dyDescent="0.4">
      <c r="E43">
        <v>2025</v>
      </c>
      <c r="F43" t="s">
        <v>475</v>
      </c>
      <c r="G43" t="s">
        <v>476</v>
      </c>
    </row>
    <row r="44" spans="1:7" ht="15" thickBot="1" x14ac:dyDescent="0.4">
      <c r="E44" s="279"/>
      <c r="F44" s="280">
        <f>F41*(100%-L8/2)</f>
        <v>186.05080151623451</v>
      </c>
      <c r="G44" s="281">
        <f>G41*(100%-L8/2)</f>
        <v>4.5173553188772209</v>
      </c>
    </row>
    <row r="46" spans="1:7" ht="15" thickBot="1" x14ac:dyDescent="0.4">
      <c r="E46">
        <v>2030</v>
      </c>
      <c r="F46" t="s">
        <v>475</v>
      </c>
      <c r="G46" t="s">
        <v>476</v>
      </c>
    </row>
    <row r="47" spans="1:7" ht="15" thickBot="1" x14ac:dyDescent="0.4">
      <c r="E47" s="279"/>
      <c r="F47" s="280">
        <f>F41*(100%-L8)</f>
        <v>183.40910656569974</v>
      </c>
      <c r="G47" s="281">
        <f>G41*(100%-L8)</f>
        <v>4.4532143711446848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11</vt:i4>
      </vt:variant>
    </vt:vector>
  </HeadingPairs>
  <TitlesOfParts>
    <vt:vector size="21" baseType="lpstr">
      <vt:lpstr>INFO</vt:lpstr>
      <vt:lpstr>Databank</vt:lpstr>
      <vt:lpstr>Wheels &amp; Tires</vt:lpstr>
      <vt:lpstr>Calculations</vt:lpstr>
      <vt:lpstr>Vehicle Body</vt:lpstr>
      <vt:lpstr>Battery_development</vt:lpstr>
      <vt:lpstr>DB</vt:lpstr>
      <vt:lpstr>Batteriepreis</vt:lpstr>
      <vt:lpstr>PSM + Inverter</vt:lpstr>
      <vt:lpstr>Matlab_Export</vt:lpstr>
      <vt:lpstr>ROHPREIS_ABS</vt:lpstr>
      <vt:lpstr>ROHPREIS_ASA</vt:lpstr>
      <vt:lpstr>ROHPREIS_PA</vt:lpstr>
      <vt:lpstr>ROHPREIS_PBT_PET</vt:lpstr>
      <vt:lpstr>ROHPREIS_PC</vt:lpstr>
      <vt:lpstr>ROHPREIS_PE</vt:lpstr>
      <vt:lpstr>ROHPREIS_PMMA</vt:lpstr>
      <vt:lpstr>ROHPREIS_POM</vt:lpstr>
      <vt:lpstr>RoHPREIS_PP</vt:lpstr>
      <vt:lpstr>ROHPREIS_PU</vt:lpstr>
      <vt:lpstr>ROHPREIS_PVC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 AKGUL</dc:creator>
  <cp:lastModifiedBy>König, Adrian</cp:lastModifiedBy>
  <dcterms:created xsi:type="dcterms:W3CDTF">2020-05-18T10:51:11Z</dcterms:created>
  <dcterms:modified xsi:type="dcterms:W3CDTF">2022-02-24T15:15:48Z</dcterms:modified>
</cp:coreProperties>
</file>