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imgay\Downloads\DCF\"/>
    </mc:Choice>
  </mc:AlternateContent>
  <xr:revisionPtr revIDLastSave="0" documentId="13_ncr:1_{E0C4C5A7-A32E-4AF4-9035-DB24B4156ED0}" xr6:coauthVersionLast="47" xr6:coauthVersionMax="47" xr10:uidLastSave="{00000000-0000-0000-0000-000000000000}"/>
  <bookViews>
    <workbookView xWindow="-110" yWindow="-110" windowWidth="19420" windowHeight="11500" activeTab="1" xr2:uid="{00000000-000D-0000-FFFF-FFFF00000000}"/>
  </bookViews>
  <sheets>
    <sheet name="BR" sheetId="1" r:id="rId1"/>
    <sheet name="F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1" i="1" l="1"/>
  <c r="C23" i="1" a="1"/>
  <c r="C23" i="1" s="1"/>
  <c r="C22" i="1" a="1"/>
  <c r="C22" i="1" s="1"/>
  <c r="C21" i="1" a="1"/>
  <c r="C21" i="1" s="1"/>
  <c r="C4" i="1" a="1"/>
  <c r="C4" i="1" s="1"/>
  <c r="C12" i="1" a="1"/>
  <c r="C12" i="1" s="1"/>
  <c r="C8" i="1" a="1"/>
  <c r="C8" i="1" s="1"/>
  <c r="C7" i="1" a="1"/>
  <c r="C7" i="1" s="1"/>
  <c r="C6" i="1" a="1"/>
  <c r="C6" i="1" s="1"/>
  <c r="T70" i="2"/>
  <c r="C19" i="1"/>
  <c r="C5" i="1"/>
  <c r="AB70" i="2"/>
  <c r="AA70" i="2"/>
  <c r="Z70" i="2"/>
  <c r="Y70" i="2"/>
  <c r="X70" i="2"/>
  <c r="W70" i="2"/>
  <c r="V70" i="2"/>
  <c r="U70" i="2"/>
  <c r="S70" i="2"/>
  <c r="R70" i="2"/>
  <c r="Q70" i="2"/>
  <c r="P70" i="2"/>
  <c r="O70" i="2"/>
  <c r="N70" i="2"/>
  <c r="M70" i="2"/>
  <c r="L70" i="2"/>
  <c r="K70" i="2"/>
  <c r="J70" i="2"/>
  <c r="I70" i="2"/>
  <c r="H70" i="2"/>
  <c r="G70" i="2"/>
  <c r="F70" i="2"/>
  <c r="E70" i="2"/>
  <c r="D70" i="2"/>
  <c r="C70" i="2"/>
  <c r="AB67" i="2"/>
  <c r="AA67" i="2"/>
  <c r="Z67" i="2"/>
  <c r="Y67" i="2"/>
  <c r="X67" i="2"/>
  <c r="W67" i="2"/>
  <c r="V67" i="2"/>
  <c r="U67" i="2"/>
  <c r="T67" i="2"/>
  <c r="S67" i="2"/>
  <c r="R67" i="2"/>
  <c r="Q67" i="2"/>
  <c r="P67" i="2"/>
  <c r="O67" i="2"/>
  <c r="N67" i="2"/>
  <c r="M67" i="2"/>
  <c r="L67" i="2"/>
  <c r="K67" i="2"/>
  <c r="J67" i="2"/>
  <c r="I67" i="2"/>
  <c r="H67" i="2"/>
  <c r="G67" i="2"/>
  <c r="F67" i="2"/>
  <c r="E67" i="2"/>
  <c r="D67" i="2"/>
  <c r="C67" i="2"/>
  <c r="B67" i="2"/>
  <c r="W59" i="2"/>
  <c r="W71" i="2" s="1"/>
  <c r="V59" i="2"/>
  <c r="V71" i="2" s="1"/>
  <c r="U59" i="2"/>
  <c r="U71" i="2" s="1"/>
  <c r="T59" i="2"/>
  <c r="T71" i="2" s="1"/>
  <c r="G59" i="2"/>
  <c r="G71" i="2" s="1"/>
  <c r="F59" i="2"/>
  <c r="F71" i="2" s="1"/>
  <c r="E59" i="2"/>
  <c r="E71" i="2" s="1"/>
  <c r="D59" i="2"/>
  <c r="D71" i="2" s="1"/>
  <c r="AB58" i="2"/>
  <c r="AA58" i="2"/>
  <c r="Z58" i="2"/>
  <c r="Y58" i="2"/>
  <c r="X58" i="2"/>
  <c r="X59" i="2" s="1"/>
  <c r="X71" i="2" s="1"/>
  <c r="W58" i="2"/>
  <c r="V58" i="2"/>
  <c r="U58" i="2"/>
  <c r="T58" i="2"/>
  <c r="S58" i="2"/>
  <c r="R58" i="2"/>
  <c r="R59" i="2" s="1"/>
  <c r="R71" i="2" s="1"/>
  <c r="Q58" i="2"/>
  <c r="Q59" i="2" s="1"/>
  <c r="Q71" i="2" s="1"/>
  <c r="P58" i="2"/>
  <c r="P59" i="2" s="1"/>
  <c r="P71" i="2" s="1"/>
  <c r="O58" i="2"/>
  <c r="O59" i="2" s="1"/>
  <c r="O71" i="2" s="1"/>
  <c r="N58" i="2"/>
  <c r="N59" i="2" s="1"/>
  <c r="N71" i="2" s="1"/>
  <c r="M58" i="2"/>
  <c r="L58" i="2"/>
  <c r="K58" i="2"/>
  <c r="J58" i="2"/>
  <c r="I58" i="2"/>
  <c r="H58" i="2"/>
  <c r="H59" i="2" s="1"/>
  <c r="H71" i="2" s="1"/>
  <c r="G58" i="2"/>
  <c r="F58" i="2"/>
  <c r="E58" i="2"/>
  <c r="D58" i="2"/>
  <c r="C58" i="2"/>
  <c r="B58" i="2"/>
  <c r="B59" i="2" s="1"/>
  <c r="B71" i="2" s="1"/>
  <c r="AB52" i="2"/>
  <c r="AA52" i="2"/>
  <c r="Z52" i="2"/>
  <c r="Y52" i="2"/>
  <c r="X52" i="2"/>
  <c r="W52" i="2"/>
  <c r="V52" i="2"/>
  <c r="U52" i="2"/>
  <c r="T52" i="2"/>
  <c r="S52" i="2"/>
  <c r="R52" i="2"/>
  <c r="Q52" i="2"/>
  <c r="P52" i="2"/>
  <c r="O52" i="2"/>
  <c r="N52" i="2"/>
  <c r="M52" i="2"/>
  <c r="L52" i="2"/>
  <c r="K52" i="2"/>
  <c r="J52" i="2"/>
  <c r="I52" i="2"/>
  <c r="H52" i="2"/>
  <c r="G52" i="2"/>
  <c r="F52" i="2"/>
  <c r="E52" i="2"/>
  <c r="D52" i="2"/>
  <c r="C52" i="2"/>
  <c r="B52" i="2"/>
  <c r="X44" i="2"/>
  <c r="W44" i="2"/>
  <c r="V44" i="2"/>
  <c r="U44" i="2"/>
  <c r="S44" i="2"/>
  <c r="H44" i="2"/>
  <c r="G44" i="2"/>
  <c r="F44" i="2"/>
  <c r="E44" i="2"/>
  <c r="AB43" i="2"/>
  <c r="AA43" i="2"/>
  <c r="Z43" i="2"/>
  <c r="Y43" i="2"/>
  <c r="X43" i="2"/>
  <c r="W43" i="2"/>
  <c r="V43" i="2"/>
  <c r="U43" i="2"/>
  <c r="T43" i="2"/>
  <c r="S43" i="2"/>
  <c r="R43" i="2"/>
  <c r="R44" i="2" s="1"/>
  <c r="Q43" i="2"/>
  <c r="Q44" i="2" s="1"/>
  <c r="P43" i="2"/>
  <c r="P44" i="2" s="1"/>
  <c r="O43" i="2"/>
  <c r="O44" i="2" s="1"/>
  <c r="N43" i="2"/>
  <c r="N44" i="2" s="1"/>
  <c r="M43" i="2"/>
  <c r="L43" i="2"/>
  <c r="K43" i="2"/>
  <c r="J43" i="2"/>
  <c r="I43" i="2"/>
  <c r="H43" i="2"/>
  <c r="G43" i="2"/>
  <c r="F43" i="2"/>
  <c r="E43" i="2"/>
  <c r="D43" i="2"/>
  <c r="C43" i="2"/>
  <c r="C44" i="2" s="1"/>
  <c r="B43" i="2"/>
  <c r="B44" i="2" s="1"/>
  <c r="AB36" i="2"/>
  <c r="AB44" i="2" s="1"/>
  <c r="AA36" i="2"/>
  <c r="Z36" i="2"/>
  <c r="Y36" i="2"/>
  <c r="X36" i="2"/>
  <c r="W36" i="2"/>
  <c r="V36" i="2"/>
  <c r="U36" i="2"/>
  <c r="T36" i="2"/>
  <c r="S36" i="2"/>
  <c r="R36" i="2"/>
  <c r="Q36" i="2"/>
  <c r="P36" i="2"/>
  <c r="O36" i="2"/>
  <c r="N36" i="2"/>
  <c r="M36" i="2"/>
  <c r="L36" i="2"/>
  <c r="L44" i="2" s="1"/>
  <c r="K36" i="2"/>
  <c r="J36" i="2"/>
  <c r="I36" i="2"/>
  <c r="H36" i="2"/>
  <c r="G36" i="2"/>
  <c r="F36" i="2"/>
  <c r="E36" i="2"/>
  <c r="D36" i="2"/>
  <c r="C36" i="2"/>
  <c r="B36" i="2"/>
  <c r="Q30" i="2"/>
  <c r="P30" i="2"/>
  <c r="O30" i="2"/>
  <c r="AH21" i="2"/>
  <c r="AH19" i="2"/>
  <c r="Z20" i="2"/>
  <c r="V20" i="2"/>
  <c r="AH18" i="2"/>
  <c r="Z18" i="2"/>
  <c r="V18" i="2"/>
  <c r="Z17" i="2"/>
  <c r="V17" i="2"/>
  <c r="AH15" i="2"/>
  <c r="AH14" i="2"/>
  <c r="AD14" i="2"/>
  <c r="AD15" i="2" s="1"/>
  <c r="AD16" i="2" s="1"/>
  <c r="AD17" i="2" s="1"/>
  <c r="AD18" i="2" s="1"/>
  <c r="AD19" i="2" s="1"/>
  <c r="AB15" i="2"/>
  <c r="AA15" i="2"/>
  <c r="Y15" i="2"/>
  <c r="X15" i="2"/>
  <c r="W15" i="2"/>
  <c r="U15" i="2"/>
  <c r="T15" i="2"/>
  <c r="S15" i="2"/>
  <c r="R15" i="2"/>
  <c r="Q15" i="2"/>
  <c r="P15" i="2"/>
  <c r="O15" i="2"/>
  <c r="N15" i="2"/>
  <c r="M15" i="2"/>
  <c r="L15" i="2"/>
  <c r="K15" i="2"/>
  <c r="J15" i="2"/>
  <c r="I15" i="2"/>
  <c r="H15" i="2"/>
  <c r="G15" i="2"/>
  <c r="F15" i="2"/>
  <c r="E15" i="2"/>
  <c r="D15" i="2"/>
  <c r="C15" i="2"/>
  <c r="B15" i="2"/>
  <c r="Z14" i="2"/>
  <c r="V14" i="2"/>
  <c r="Z13" i="2"/>
  <c r="Z15" i="2" s="1"/>
  <c r="V13" i="2"/>
  <c r="V15" i="2" s="1"/>
  <c r="AB11" i="2"/>
  <c r="B11" i="2"/>
  <c r="B24" i="2" s="1"/>
  <c r="B25" i="2" s="1"/>
  <c r="AB9" i="2"/>
  <c r="AA9" i="2"/>
  <c r="Y9" i="2"/>
  <c r="Y30" i="2" s="1"/>
  <c r="X9" i="2"/>
  <c r="X11" i="2" s="1"/>
  <c r="W9" i="2"/>
  <c r="W11" i="2" s="1"/>
  <c r="W16" i="2" s="1"/>
  <c r="W19" i="2" s="1"/>
  <c r="W21" i="2" s="1"/>
  <c r="V9" i="2"/>
  <c r="V30" i="2" s="1"/>
  <c r="U9" i="2"/>
  <c r="U11" i="2" s="1"/>
  <c r="T9" i="2"/>
  <c r="T11" i="2" s="1"/>
  <c r="S9" i="2"/>
  <c r="S30" i="2" s="1"/>
  <c r="R9" i="2"/>
  <c r="Q9" i="2"/>
  <c r="P9" i="2"/>
  <c r="O9" i="2"/>
  <c r="N9" i="2"/>
  <c r="M9" i="2"/>
  <c r="L9" i="2"/>
  <c r="K9" i="2"/>
  <c r="J9" i="2"/>
  <c r="I9" i="2"/>
  <c r="I30" i="2" s="1"/>
  <c r="H9" i="2"/>
  <c r="H11" i="2" s="1"/>
  <c r="G9" i="2"/>
  <c r="G30" i="2" s="1"/>
  <c r="F9" i="2"/>
  <c r="F11" i="2" s="1"/>
  <c r="E9" i="2"/>
  <c r="E11" i="2" s="1"/>
  <c r="D9" i="2"/>
  <c r="D11" i="2" s="1"/>
  <c r="C9" i="2"/>
  <c r="C30" i="2" s="1"/>
  <c r="Z8" i="2"/>
  <c r="Z9" i="2" s="1"/>
  <c r="V8" i="2"/>
  <c r="AB6" i="2"/>
  <c r="AA6" i="2"/>
  <c r="Y6" i="2"/>
  <c r="X6" i="2"/>
  <c r="W6" i="2"/>
  <c r="U6" i="2"/>
  <c r="T6" i="2"/>
  <c r="S6" i="2"/>
  <c r="R6" i="2"/>
  <c r="Q6" i="2"/>
  <c r="P6" i="2"/>
  <c r="O6" i="2"/>
  <c r="N6" i="2"/>
  <c r="M6" i="2"/>
  <c r="M29" i="2" s="1"/>
  <c r="L6" i="2"/>
  <c r="K6" i="2"/>
  <c r="J6" i="2"/>
  <c r="I6" i="2"/>
  <c r="H6" i="2"/>
  <c r="G6" i="2"/>
  <c r="F6" i="2"/>
  <c r="E6" i="2"/>
  <c r="D6" i="2"/>
  <c r="C6" i="2"/>
  <c r="C29" i="2" s="1"/>
  <c r="Z5" i="2"/>
  <c r="V5" i="2"/>
  <c r="Z4" i="2"/>
  <c r="V4" i="2"/>
  <c r="Z3" i="2"/>
  <c r="Z6" i="2" s="1"/>
  <c r="V3" i="2"/>
  <c r="V6" i="2" s="1"/>
  <c r="U30" i="2" l="1"/>
  <c r="W30" i="2"/>
  <c r="D29" i="2"/>
  <c r="E29" i="2"/>
  <c r="AB30" i="2"/>
  <c r="F29" i="2"/>
  <c r="L30" i="2"/>
  <c r="R68" i="2"/>
  <c r="M30" i="2"/>
  <c r="Y68" i="2"/>
  <c r="O24" i="2"/>
  <c r="O25" i="2" s="1"/>
  <c r="AA68" i="2"/>
  <c r="P24" i="2"/>
  <c r="P25" i="2" s="1"/>
  <c r="T30" i="2"/>
  <c r="S29" i="2"/>
  <c r="J30" i="2"/>
  <c r="X30" i="2"/>
  <c r="U29" i="2"/>
  <c r="G29" i="2"/>
  <c r="G11" i="2"/>
  <c r="G16" i="2" s="1"/>
  <c r="G19" i="2" s="1"/>
  <c r="G21" i="2" s="1"/>
  <c r="S59" i="2"/>
  <c r="S71" i="2" s="1"/>
  <c r="Y29" i="2"/>
  <c r="D44" i="2"/>
  <c r="I44" i="2"/>
  <c r="Y59" i="2"/>
  <c r="Y71" i="2" s="1"/>
  <c r="T68" i="2"/>
  <c r="L11" i="2"/>
  <c r="AF15" i="2" s="1"/>
  <c r="Z44" i="2"/>
  <c r="J59" i="2"/>
  <c r="J71" i="2" s="1"/>
  <c r="E68" i="2"/>
  <c r="AB29" i="2"/>
  <c r="AB16" i="2"/>
  <c r="AB19" i="2" s="1"/>
  <c r="AB21" i="2" s="1"/>
  <c r="AA44" i="2"/>
  <c r="K59" i="2"/>
  <c r="K71" i="2" s="1"/>
  <c r="F68" i="2"/>
  <c r="H30" i="2"/>
  <c r="L59" i="2"/>
  <c r="L71" i="2" s="1"/>
  <c r="AB59" i="2"/>
  <c r="AB71" i="2" s="1"/>
  <c r="G68" i="2"/>
  <c r="W68" i="2"/>
  <c r="K68" i="2"/>
  <c r="R24" i="2"/>
  <c r="R25" i="2" s="1"/>
  <c r="T29" i="2"/>
  <c r="K30" i="2"/>
  <c r="B68" i="2"/>
  <c r="X29" i="2"/>
  <c r="D30" i="2"/>
  <c r="C59" i="2"/>
  <c r="C71" i="2" s="1"/>
  <c r="H29" i="2"/>
  <c r="N30" i="2"/>
  <c r="E30" i="2"/>
  <c r="T44" i="2"/>
  <c r="Y44" i="2"/>
  <c r="I59" i="2"/>
  <c r="I71" i="2" s="1"/>
  <c r="D68" i="2"/>
  <c r="I29" i="2"/>
  <c r="O11" i="2"/>
  <c r="P27" i="2" s="1"/>
  <c r="F30" i="2"/>
  <c r="J44" i="2"/>
  <c r="Z59" i="2"/>
  <c r="Z71" i="2" s="1"/>
  <c r="U68" i="2"/>
  <c r="J29" i="2"/>
  <c r="P11" i="2"/>
  <c r="R11" i="2"/>
  <c r="K44" i="2"/>
  <c r="AA59" i="2"/>
  <c r="AA71" i="2" s="1"/>
  <c r="V68" i="2"/>
  <c r="K29" i="2"/>
  <c r="Q11" i="2"/>
  <c r="Q27" i="2" s="1"/>
  <c r="L29" i="2"/>
  <c r="R30" i="2"/>
  <c r="AH16" i="2"/>
  <c r="M44" i="2"/>
  <c r="M59" i="2"/>
  <c r="M71" i="2" s="1"/>
  <c r="H68" i="2"/>
  <c r="X68" i="2"/>
  <c r="Z11" i="2"/>
  <c r="Z30" i="2"/>
  <c r="Z29" i="2"/>
  <c r="Z24" i="2"/>
  <c r="Z25" i="2" s="1"/>
  <c r="D24" i="2"/>
  <c r="D25" i="2" s="1"/>
  <c r="D16" i="2"/>
  <c r="D19" i="2" s="1"/>
  <c r="D21" i="2" s="1"/>
  <c r="D27" i="2"/>
  <c r="E16" i="2"/>
  <c r="E19" i="2" s="1"/>
  <c r="E21" i="2" s="1"/>
  <c r="E27" i="2"/>
  <c r="E24" i="2"/>
  <c r="E25" i="2" s="1"/>
  <c r="L68" i="2"/>
  <c r="M68" i="2"/>
  <c r="P68" i="2"/>
  <c r="Q68" i="2"/>
  <c r="AF14" i="2"/>
  <c r="AG14" i="2" s="1"/>
  <c r="T16" i="2"/>
  <c r="T19" i="2" s="1"/>
  <c r="T21" i="2" s="1"/>
  <c r="T24" i="2"/>
  <c r="T25" i="2" s="1"/>
  <c r="F16" i="2"/>
  <c r="F19" i="2" s="1"/>
  <c r="F21" i="2" s="1"/>
  <c r="G28" i="2" s="1"/>
  <c r="F24" i="2"/>
  <c r="F25" i="2" s="1"/>
  <c r="F27" i="2"/>
  <c r="AB68" i="2"/>
  <c r="Q24" i="2"/>
  <c r="Q25" i="2" s="1"/>
  <c r="AA30" i="2"/>
  <c r="AF17" i="2"/>
  <c r="W26" i="2"/>
  <c r="W22" i="2"/>
  <c r="V29" i="2"/>
  <c r="U16" i="2"/>
  <c r="U19" i="2" s="1"/>
  <c r="U21" i="2" s="1"/>
  <c r="U24" i="2"/>
  <c r="U25" i="2" s="1"/>
  <c r="U27" i="2"/>
  <c r="N68" i="2"/>
  <c r="W29" i="2"/>
  <c r="G26" i="2"/>
  <c r="G22" i="2"/>
  <c r="AA29" i="2"/>
  <c r="O16" i="2"/>
  <c r="O19" i="2" s="1"/>
  <c r="O21" i="2" s="1"/>
  <c r="V11" i="2"/>
  <c r="V24" i="2" s="1"/>
  <c r="V25" i="2" s="1"/>
  <c r="O68" i="2"/>
  <c r="P16" i="2"/>
  <c r="P19" i="2" s="1"/>
  <c r="P21" i="2" s="1"/>
  <c r="AB22" i="2"/>
  <c r="AB26" i="2"/>
  <c r="N29" i="2"/>
  <c r="J11" i="2"/>
  <c r="J24" i="2" s="1"/>
  <c r="J25" i="2" s="1"/>
  <c r="M11" i="2"/>
  <c r="M24" i="2" s="1"/>
  <c r="M25" i="2" s="1"/>
  <c r="B16" i="2"/>
  <c r="B19" i="2" s="1"/>
  <c r="B21" i="2" s="1"/>
  <c r="R16" i="2"/>
  <c r="R19" i="2" s="1"/>
  <c r="R21" i="2" s="1"/>
  <c r="I24" i="2"/>
  <c r="I25" i="2" s="1"/>
  <c r="H27" i="2"/>
  <c r="X27" i="2"/>
  <c r="O29" i="2"/>
  <c r="K11" i="2"/>
  <c r="W24" i="2"/>
  <c r="W25" i="2" s="1"/>
  <c r="H24" i="2"/>
  <c r="H25" i="2" s="1"/>
  <c r="N11" i="2"/>
  <c r="N24" i="2" s="1"/>
  <c r="N25" i="2" s="1"/>
  <c r="AF10" i="2"/>
  <c r="I11" i="2"/>
  <c r="AF13" i="2"/>
  <c r="R29" i="2"/>
  <c r="P29" i="2"/>
  <c r="AA11" i="2"/>
  <c r="AA24" i="2" s="1"/>
  <c r="AA25" i="2" s="1"/>
  <c r="X24" i="2"/>
  <c r="X25" i="2" s="1"/>
  <c r="G27" i="2"/>
  <c r="AF16" i="2"/>
  <c r="L24" i="2"/>
  <c r="L25" i="2" s="1"/>
  <c r="AB24" i="2"/>
  <c r="AB25" i="2" s="1"/>
  <c r="Y11" i="2"/>
  <c r="AE13" i="2"/>
  <c r="Q29" i="2"/>
  <c r="C11" i="2"/>
  <c r="AE18" i="2" s="1"/>
  <c r="AE17" i="2"/>
  <c r="S11" i="2"/>
  <c r="AE14" i="2" s="1"/>
  <c r="H16" i="2"/>
  <c r="H19" i="2" s="1"/>
  <c r="H21" i="2" s="1"/>
  <c r="X16" i="2"/>
  <c r="X19" i="2" s="1"/>
  <c r="X21" i="2" s="1"/>
  <c r="L16" i="2" l="1"/>
  <c r="L19" i="2" s="1"/>
  <c r="L21" i="2" s="1"/>
  <c r="T27" i="2"/>
  <c r="J68" i="2"/>
  <c r="G24" i="2"/>
  <c r="G25" i="2" s="1"/>
  <c r="S68" i="2"/>
  <c r="R27" i="2"/>
  <c r="AE15" i="2"/>
  <c r="C68" i="2"/>
  <c r="Q16" i="2"/>
  <c r="Q19" i="2" s="1"/>
  <c r="Q21" i="2" s="1"/>
  <c r="Q22" i="2" s="1"/>
  <c r="Z68" i="2"/>
  <c r="I68" i="2"/>
  <c r="U28" i="2"/>
  <c r="U26" i="2"/>
  <c r="U22" i="2"/>
  <c r="P22" i="2"/>
  <c r="P28" i="2"/>
  <c r="P26" i="2"/>
  <c r="AB27" i="2"/>
  <c r="K16" i="2"/>
  <c r="K19" i="2" s="1"/>
  <c r="K21" i="2" s="1"/>
  <c r="K27" i="2"/>
  <c r="T26" i="2"/>
  <c r="T22" i="2"/>
  <c r="AE16" i="2"/>
  <c r="AE19" i="2" s="1"/>
  <c r="AE12" i="2" s="1"/>
  <c r="AD12" i="2" s="1"/>
  <c r="N27" i="2"/>
  <c r="N16" i="2"/>
  <c r="N19" i="2" s="1"/>
  <c r="N21" i="2" s="1"/>
  <c r="O28" i="2" s="1"/>
  <c r="F28" i="2"/>
  <c r="F26" i="2"/>
  <c r="F22" i="2"/>
  <c r="E28" i="2"/>
  <c r="E22" i="2"/>
  <c r="E26" i="2"/>
  <c r="D28" i="2"/>
  <c r="D26" i="2"/>
  <c r="D22" i="2"/>
  <c r="H26" i="2"/>
  <c r="H22" i="2"/>
  <c r="H28" i="2"/>
  <c r="V16" i="2"/>
  <c r="V19" i="2" s="1"/>
  <c r="V21" i="2" s="1"/>
  <c r="V27" i="2"/>
  <c r="S27" i="2"/>
  <c r="S24" i="2"/>
  <c r="S25" i="2" s="1"/>
  <c r="S16" i="2"/>
  <c r="S19" i="2" s="1"/>
  <c r="S21" i="2" s="1"/>
  <c r="L27" i="2"/>
  <c r="AA16" i="2"/>
  <c r="AA19" i="2" s="1"/>
  <c r="AA21" i="2" s="1"/>
  <c r="AA27" i="2"/>
  <c r="AE10" i="2"/>
  <c r="K24" i="2"/>
  <c r="K25" i="2" s="1"/>
  <c r="Y16" i="2"/>
  <c r="Y19" i="2" s="1"/>
  <c r="Y21" i="2" s="1"/>
  <c r="Y27" i="2"/>
  <c r="X26" i="2"/>
  <c r="X28" i="2"/>
  <c r="X22" i="2"/>
  <c r="Y24" i="2"/>
  <c r="Y25" i="2" s="1"/>
  <c r="R26" i="2"/>
  <c r="R22" i="2"/>
  <c r="C16" i="2"/>
  <c r="C19" i="2" s="1"/>
  <c r="C21" i="2" s="1"/>
  <c r="C27" i="2"/>
  <c r="C24" i="2"/>
  <c r="C25" i="2" s="1"/>
  <c r="W27" i="2"/>
  <c r="O22" i="2"/>
  <c r="O26" i="2"/>
  <c r="AF12" i="2"/>
  <c r="AG12" i="2" s="1"/>
  <c r="AG13" i="2" s="1"/>
  <c r="J16" i="2"/>
  <c r="J19" i="2" s="1"/>
  <c r="J21" i="2" s="1"/>
  <c r="J27" i="2"/>
  <c r="O27" i="2"/>
  <c r="B22" i="2"/>
  <c r="B26" i="2"/>
  <c r="M27" i="2"/>
  <c r="M16" i="2"/>
  <c r="M19" i="2" s="1"/>
  <c r="M21" i="2" s="1"/>
  <c r="Z16" i="2"/>
  <c r="Z19" i="2" s="1"/>
  <c r="Z21" i="2" s="1"/>
  <c r="Z27" i="2"/>
  <c r="I16" i="2"/>
  <c r="I19" i="2" s="1"/>
  <c r="I21" i="2" s="1"/>
  <c r="I27" i="2"/>
  <c r="Q26" i="2" l="1"/>
  <c r="AH12" i="2"/>
  <c r="Q28" i="2"/>
  <c r="R28" i="2"/>
  <c r="L22" i="2"/>
  <c r="L26" i="2"/>
  <c r="AI13" i="2"/>
  <c r="AJ13" i="2"/>
  <c r="AH17" i="2"/>
  <c r="AH20" i="2" s="1"/>
  <c r="AH22" i="2" s="1"/>
  <c r="AH23" i="2" s="1"/>
  <c r="Y26" i="2"/>
  <c r="Y28" i="2"/>
  <c r="Y22" i="2"/>
  <c r="Z22" i="2" s="1"/>
  <c r="Z23" i="2" s="1"/>
  <c r="M22" i="2"/>
  <c r="M26" i="2"/>
  <c r="M28" i="2"/>
  <c r="S28" i="2"/>
  <c r="S26" i="2"/>
  <c r="S22" i="2"/>
  <c r="V22" i="2" s="1"/>
  <c r="V23" i="2" s="1"/>
  <c r="J26" i="2"/>
  <c r="J22" i="2"/>
  <c r="J28" i="2"/>
  <c r="Z26" i="2"/>
  <c r="Z28" i="2"/>
  <c r="AA26" i="2"/>
  <c r="AA22" i="2"/>
  <c r="AA28" i="2"/>
  <c r="AB28" i="2"/>
  <c r="C28" i="2"/>
  <c r="C22" i="2"/>
  <c r="C26" i="2"/>
  <c r="N22" i="2"/>
  <c r="N28" i="2"/>
  <c r="N26" i="2"/>
  <c r="V28" i="2"/>
  <c r="V26" i="2"/>
  <c r="W28" i="2"/>
  <c r="T28" i="2"/>
  <c r="K26" i="2"/>
  <c r="K22" i="2"/>
  <c r="K28" i="2"/>
  <c r="L28" i="2"/>
  <c r="I26" i="2"/>
  <c r="I22" i="2"/>
  <c r="I28"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<sst xmlns="http://schemas.openxmlformats.org/spreadsheetml/2006/main" count="155" uniqueCount="141">
  <si>
    <t>Date</t>
  </si>
  <si>
    <t>Cash</t>
  </si>
  <si>
    <t>(million)</t>
  </si>
  <si>
    <t>Price</t>
  </si>
  <si>
    <t>Debt</t>
  </si>
  <si>
    <t>EBITDA</t>
  </si>
  <si>
    <t>EPS</t>
  </si>
  <si>
    <t>PE</t>
  </si>
  <si>
    <t>ROE</t>
  </si>
  <si>
    <t>Year</t>
  </si>
  <si>
    <t>Q417</t>
  </si>
  <si>
    <t>Q118</t>
  </si>
  <si>
    <t>Q218</t>
  </si>
  <si>
    <t>Q318</t>
  </si>
  <si>
    <t>Q418</t>
  </si>
  <si>
    <t>Q119</t>
  </si>
  <si>
    <t>Q219</t>
  </si>
  <si>
    <t>Q319</t>
  </si>
  <si>
    <t>Q419</t>
  </si>
  <si>
    <t>Q120</t>
  </si>
  <si>
    <t>Q220</t>
  </si>
  <si>
    <t>Q320</t>
  </si>
  <si>
    <t>Q420</t>
  </si>
  <si>
    <t>Q121</t>
  </si>
  <si>
    <t>Q221</t>
  </si>
  <si>
    <t>Q321</t>
  </si>
  <si>
    <t>Q421</t>
  </si>
  <si>
    <t>Q122</t>
  </si>
  <si>
    <t>Q222</t>
  </si>
  <si>
    <t>Q322</t>
  </si>
  <si>
    <t>Q422</t>
  </si>
  <si>
    <t>Q123</t>
  </si>
  <si>
    <t>Q223</t>
  </si>
  <si>
    <t>Q323</t>
  </si>
  <si>
    <t>Q423</t>
  </si>
  <si>
    <t>Q124</t>
  </si>
  <si>
    <t>Q224</t>
  </si>
  <si>
    <t>Investors Communication Solutions</t>
  </si>
  <si>
    <t>ICS Reurring Rev</t>
  </si>
  <si>
    <t>ICS Event Driven Rev</t>
  </si>
  <si>
    <t>Distribution Rev</t>
  </si>
  <si>
    <t>Total ICS Rev</t>
  </si>
  <si>
    <t>Global Technologies and Operations</t>
  </si>
  <si>
    <t>GTO Recurring Rev</t>
  </si>
  <si>
    <t>Total GTO Rev</t>
  </si>
  <si>
    <t>Foreign Currency Exchange</t>
  </si>
  <si>
    <t>investors guess</t>
  </si>
  <si>
    <t>quarter</t>
  </si>
  <si>
    <t>ytd</t>
  </si>
  <si>
    <t>actual ytd</t>
  </si>
  <si>
    <t>Revenue</t>
  </si>
  <si>
    <t>OpEx</t>
  </si>
  <si>
    <t>my guess</t>
  </si>
  <si>
    <t>based on q</t>
  </si>
  <si>
    <t>based on td</t>
  </si>
  <si>
    <t>Cost of Rev (S&amp;M + COGS)</t>
  </si>
  <si>
    <t>G&amp;A</t>
  </si>
  <si>
    <t>-&gt; based on eps</t>
  </si>
  <si>
    <t>Total OpEx</t>
  </si>
  <si>
    <t>OpInc/EBIT</t>
  </si>
  <si>
    <t>Interests</t>
  </si>
  <si>
    <t>Other</t>
  </si>
  <si>
    <t>PreTax</t>
  </si>
  <si>
    <t>Taxes</t>
  </si>
  <si>
    <t>NetInc</t>
  </si>
  <si>
    <t>price scares due to...</t>
  </si>
  <si>
    <t>EPS (Basic)</t>
  </si>
  <si>
    <t>eps has historically been low on q2</t>
  </si>
  <si>
    <t>not to be scared of low Q2 prices</t>
  </si>
  <si>
    <t>regulation changes</t>
  </si>
  <si>
    <t>Shares Outstanding (Basic)</t>
  </si>
  <si>
    <t>conclusion</t>
  </si>
  <si>
    <t>little clients</t>
  </si>
  <si>
    <t>%ICS</t>
  </si>
  <si>
    <t>beat rev</t>
  </si>
  <si>
    <t>data breach threats</t>
  </si>
  <si>
    <t>%GTO</t>
  </si>
  <si>
    <t>increase in recurring reveneue</t>
  </si>
  <si>
    <t>climbing debt</t>
  </si>
  <si>
    <t>Net Profit Margin</t>
  </si>
  <si>
    <t>prev eps scare is due to covid</t>
  </si>
  <si>
    <t>increasing capex</t>
  </si>
  <si>
    <t>Rev Growth</t>
  </si>
  <si>
    <t>debt loadoff</t>
  </si>
  <si>
    <t>(expect)</t>
  </si>
  <si>
    <t>Net Growth</t>
  </si>
  <si>
    <t>ICS Growth</t>
  </si>
  <si>
    <t>GTO Growth</t>
  </si>
  <si>
    <t>Assets</t>
  </si>
  <si>
    <t xml:space="preserve">Current </t>
  </si>
  <si>
    <t>Receivables</t>
  </si>
  <si>
    <t xml:space="preserve">Total Current </t>
  </si>
  <si>
    <t>Non Current</t>
  </si>
  <si>
    <t>PP&amp;E</t>
  </si>
  <si>
    <t>Goodwill</t>
  </si>
  <si>
    <t>Intangible Assets</t>
  </si>
  <si>
    <t>Deffered conversion and start-up costs</t>
  </si>
  <si>
    <t>Total Non Current</t>
  </si>
  <si>
    <t>Total Assets</t>
  </si>
  <si>
    <t>Liabilities</t>
  </si>
  <si>
    <t>Payables</t>
  </si>
  <si>
    <t>Contract liabilities</t>
  </si>
  <si>
    <t>Current position long-term debt</t>
  </si>
  <si>
    <t>Deffered Revenue</t>
  </si>
  <si>
    <t>Acurred Ex</t>
  </si>
  <si>
    <t>Long term debt</t>
  </si>
  <si>
    <t>Deffered taxes</t>
  </si>
  <si>
    <t>Total Liabilities</t>
  </si>
  <si>
    <t>Shareholders Equity</t>
  </si>
  <si>
    <t>Stocks</t>
  </si>
  <si>
    <t xml:space="preserve">Common </t>
  </si>
  <si>
    <t>Treasury</t>
  </si>
  <si>
    <t>Paid-in capital</t>
  </si>
  <si>
    <t>Retained Earnings</t>
  </si>
  <si>
    <t>Total SE</t>
  </si>
  <si>
    <t>Total SE + Liabilities</t>
  </si>
  <si>
    <t>Long term Debt Growth</t>
  </si>
  <si>
    <t>-</t>
  </si>
  <si>
    <t>D/E</t>
  </si>
  <si>
    <t>notes</t>
  </si>
  <si>
    <t>good recurr rev growth</t>
  </si>
  <si>
    <t>how to improve BR</t>
  </si>
  <si>
    <t>gain more clients</t>
  </si>
  <si>
    <t>diversify and increase CF</t>
  </si>
  <si>
    <t>idk ab the ever growing debt…</t>
  </si>
  <si>
    <t>Comments</t>
  </si>
  <si>
    <t>Q324</t>
  </si>
  <si>
    <t>next q release</t>
  </si>
  <si>
    <t>june24'</t>
  </si>
  <si>
    <t>Ticker</t>
  </si>
  <si>
    <t>&gt; shows that its prob at fair value</t>
  </si>
  <si>
    <t>High</t>
  </si>
  <si>
    <t>Low</t>
  </si>
  <si>
    <t>Beta 5yr</t>
  </si>
  <si>
    <t>ROA</t>
  </si>
  <si>
    <t>ROC</t>
  </si>
  <si>
    <t>x</t>
  </si>
  <si>
    <t>Mrkt Cap</t>
  </si>
  <si>
    <t>Shares</t>
  </si>
  <si>
    <t>Debt/Eq</t>
  </si>
  <si>
    <t>Overview (BR)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</si>
</sst>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5" formatCode="dd/mm/yyyy"/>
    <numFmt numFmtId="166" formatCode="#,##0.00;\(#,##0.00\)"/>
    <numFmt numFmtId="167" formatCode="_([$$-409]* #,##0.00_);_([$$-409]* \(#,##0.00\);_([$$-409]* &quot;-&quot;??_);_(@_)"/>
    <numFmt numFmtId="168" formatCode="_([$$-409]* #,##0_);_([$$-409]* \(#,##0\);_([$$-409]* &quot;-&quot;_);_(@_)"/>
  </numFmts>
  <fonts count="18" x14ac:knownFonts="1">
    <font>
      <sz val="10"/>
      <color rgb="FF000000"/>
      <name val="Arial"/>
      <scheme val="minor"/>
    </font>
    <font>
      <sz val="10"/>
      <color theme="1"/>
      <name val="Arial"/>
    </font>
    <font>
      <sz val="10"/>
      <color theme="1"/>
      <name val="Arial"/>
      <scheme val="minor"/>
    </font>
    <font>
      <b/>
      <sz val="10"/>
      <color theme="1"/>
      <name val="Arial"/>
      <scheme val="minor"/>
    </font>
    <font>
      <i/>
      <sz val="10"/>
      <color theme="1"/>
      <name val="Arial"/>
    </font>
    <font>
      <b/>
      <sz val="10"/>
      <color theme="1"/>
      <name val="Arial"/>
    </font>
    <font>
      <sz val="10"/>
      <name val="Arial"/>
    </font>
    <font>
      <i/>
      <u/>
      <sz val="10"/>
      <color theme="1"/>
      <name val="Arial"/>
      <scheme val="minor"/>
    </font>
    <font>
      <i/>
      <u/>
      <sz val="10"/>
      <color theme="1"/>
      <name val="Arial"/>
      <scheme val="minor"/>
    </font>
    <font>
      <i/>
      <sz val="10"/>
      <color theme="1"/>
      <name val="Arial"/>
      <scheme val="minor"/>
    </font>
    <font>
      <i/>
      <sz val="10"/>
      <color rgb="FF000000"/>
      <name val="Arial"/>
    </font>
    <font>
      <b/>
      <sz val="10"/>
      <color theme="1"/>
      <name val="Arial"/>
      <family val="2"/>
      <scheme val="minor"/>
    </font>
    <font>
      <i/>
      <sz val="10"/>
      <color theme="1"/>
      <name val="Arial"/>
      <family val="2"/>
      <scheme val="minor"/>
    </font>
    <font>
      <sz val="10"/>
      <color theme="1"/>
      <name val="Arial"/>
      <family val="2"/>
      <scheme val="minor"/>
    </font>
    <font>
      <b/>
      <i/>
      <u/>
      <sz val="14"/>
      <color theme="1"/>
      <name val="Arial"/>
      <family val="2"/>
      <scheme val="minor"/>
    </font>
    <font>
      <sz val="10"/>
      <color rgb="FF000000"/>
      <name val="Arial"/>
      <family val="2"/>
      <scheme val="minor"/>
    </font>
    <font>
      <b/>
      <sz val="10"/>
      <color rgb="FF000000"/>
      <name val="Arial"/>
      <family val="2"/>
      <scheme val="minor"/>
    </font>
    <font>
      <b/>
      <sz val="14"/>
      <color rgb="FF000000"/>
      <name val="Arial"/>
      <family val="2"/>
      <scheme val="minor"/>
    </font>
  </fonts>
  <fills count="3">
    <fill>
      <patternFill patternType="none"/>
    </fill>
    <fill>
      <patternFill patternType="gray125"/>
    </fill>
    <fill>
      <patternFill patternType="solid">
        <fgColor rgb="FFFFFFFF"/>
        <bgColor rgb="FFFFFFFF"/>
      </patternFill>
    </fill>
  </fills>
  <borders count="17">
    <border>
      <left/>
      <right/>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top/>
      <bottom/>
      <diagonal/>
    </border>
    <border>
      <left style="thin">
        <color rgb="FF000000"/>
      </left>
      <right/>
      <top style="thin">
        <color indexed="64"/>
      </top>
      <bottom/>
      <diagonal/>
    </border>
    <border>
      <left/>
      <right/>
      <top style="thin">
        <color indexed="64"/>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1">
    <xf numFmtId="0" fontId="0" fillId="0" borderId="0"/>
  </cellStyleXfs>
  <cellXfs count="69">
    <xf numFmtId="0" fontId="0" fillId="0" borderId="0" xfId="0"/>
    <xf numFmtId="0" fontId="1" fillId="0" borderId="0" xfId="0" applyFont="1"/>
    <xf numFmtId="0" fontId="2" fillId="0" borderId="0" xfId="0" applyFont="1"/>
    <xf numFmtId="166" fontId="3" fillId="0" borderId="0" xfId="0" applyNumberFormat="1" applyFont="1"/>
    <xf numFmtId="166" fontId="2" fillId="0" borderId="0" xfId="0" applyNumberFormat="1" applyFont="1"/>
    <xf numFmtId="2" fontId="2" fillId="0" borderId="0" xfId="0" applyNumberFormat="1" applyFont="1"/>
    <xf numFmtId="0" fontId="4" fillId="0" borderId="0" xfId="0" applyFont="1"/>
    <xf numFmtId="9" fontId="2" fillId="0" borderId="0" xfId="0" applyNumberFormat="1" applyFont="1"/>
    <xf numFmtId="166" fontId="2" fillId="0" borderId="1" xfId="0" applyNumberFormat="1" applyFont="1" applyBorder="1"/>
    <xf numFmtId="166" fontId="2" fillId="0" borderId="2" xfId="0" applyNumberFormat="1" applyFont="1" applyBorder="1"/>
    <xf numFmtId="166" fontId="2" fillId="0" borderId="3" xfId="0" applyNumberFormat="1" applyFont="1" applyBorder="1"/>
    <xf numFmtId="166" fontId="2" fillId="0" borderId="4" xfId="0" applyNumberFormat="1" applyFont="1" applyBorder="1"/>
    <xf numFmtId="0" fontId="5" fillId="0" borderId="0" xfId="0" applyFont="1"/>
    <xf numFmtId="166" fontId="3" fillId="0" borderId="3" xfId="0" applyNumberFormat="1" applyFont="1" applyBorder="1"/>
    <xf numFmtId="166" fontId="3" fillId="0" borderId="4" xfId="0" applyNumberFormat="1" applyFont="1" applyBorder="1"/>
    <xf numFmtId="0" fontId="3" fillId="0" borderId="0" xfId="0" applyFont="1"/>
    <xf numFmtId="0" fontId="7" fillId="0" borderId="0" xfId="0" applyFont="1"/>
    <xf numFmtId="166" fontId="8" fillId="0" borderId="0" xfId="0" applyNumberFormat="1" applyFont="1"/>
    <xf numFmtId="0" fontId="9" fillId="0" borderId="0" xfId="0" applyFont="1"/>
    <xf numFmtId="10" fontId="9" fillId="0" borderId="0" xfId="0" applyNumberFormat="1" applyFont="1"/>
    <xf numFmtId="0" fontId="9" fillId="0" borderId="3" xfId="0" applyFont="1" applyBorder="1"/>
    <xf numFmtId="10" fontId="9" fillId="0" borderId="4" xfId="0" applyNumberFormat="1" applyFont="1" applyBorder="1"/>
    <xf numFmtId="166" fontId="9" fillId="0" borderId="0" xfId="0" applyNumberFormat="1" applyFont="1"/>
    <xf numFmtId="166" fontId="9" fillId="0" borderId="5" xfId="0" applyNumberFormat="1" applyFont="1" applyBorder="1"/>
    <xf numFmtId="166" fontId="9" fillId="0" borderId="6" xfId="0" applyNumberFormat="1" applyFont="1" applyBorder="1"/>
    <xf numFmtId="166" fontId="9" fillId="0" borderId="7" xfId="0" applyNumberFormat="1" applyFont="1" applyBorder="1"/>
    <xf numFmtId="0" fontId="10" fillId="2" borderId="0" xfId="0" applyFont="1" applyFill="1" applyAlignment="1">
      <alignment horizontal="left"/>
    </xf>
    <xf numFmtId="166" fontId="1" fillId="0" borderId="0" xfId="0" applyNumberFormat="1" applyFont="1" applyAlignment="1">
      <alignment horizontal="right"/>
    </xf>
    <xf numFmtId="166" fontId="2" fillId="0" borderId="0" xfId="0" applyNumberFormat="1" applyFont="1"/>
    <xf numFmtId="0" fontId="0" fillId="0" borderId="0" xfId="0"/>
    <xf numFmtId="0" fontId="6" fillId="0" borderId="4" xfId="0" applyFont="1" applyBorder="1"/>
    <xf numFmtId="166" fontId="11" fillId="0" borderId="3" xfId="0" applyNumberFormat="1" applyFont="1" applyBorder="1"/>
    <xf numFmtId="0" fontId="12" fillId="0" borderId="0" xfId="0" applyFont="1"/>
    <xf numFmtId="166" fontId="13" fillId="0" borderId="0" xfId="0" applyNumberFormat="1" applyFont="1"/>
    <xf numFmtId="166" fontId="11" fillId="0" borderId="0" xfId="0" applyNumberFormat="1" applyFont="1"/>
    <xf numFmtId="166" fontId="14" fillId="0" borderId="0" xfId="0" applyNumberFormat="1" applyFont="1"/>
    <xf numFmtId="0" fontId="13" fillId="0" borderId="0" xfId="0" applyFont="1"/>
    <xf numFmtId="0" fontId="0" fillId="0" borderId="8" xfId="0" applyBorder="1"/>
    <xf numFmtId="166" fontId="2" fillId="0" borderId="9" xfId="0" applyNumberFormat="1" applyFont="1" applyBorder="1"/>
    <xf numFmtId="166" fontId="2" fillId="0" borderId="10" xfId="0" applyNumberFormat="1" applyFont="1" applyBorder="1"/>
    <xf numFmtId="166" fontId="2" fillId="0" borderId="0" xfId="0" applyNumberFormat="1" applyFont="1" applyBorder="1"/>
    <xf numFmtId="166" fontId="3" fillId="0" borderId="0" xfId="0" applyNumberFormat="1" applyFont="1" applyBorder="1"/>
    <xf numFmtId="166" fontId="13" fillId="0" borderId="0" xfId="0" applyNumberFormat="1" applyFont="1" applyBorder="1"/>
    <xf numFmtId="0" fontId="0" fillId="0" borderId="11" xfId="0" applyBorder="1"/>
    <xf numFmtId="0" fontId="15" fillId="0" borderId="0" xfId="0" applyFont="1"/>
    <xf numFmtId="4" fontId="0" fillId="0" borderId="13" xfId="0" applyNumberFormat="1" applyBorder="1"/>
    <xf numFmtId="167" fontId="0" fillId="0" borderId="11" xfId="0" applyNumberFormat="1" applyBorder="1"/>
    <xf numFmtId="167" fontId="0" fillId="0" borderId="15" xfId="0" applyNumberFormat="1" applyBorder="1"/>
    <xf numFmtId="0" fontId="16" fillId="0" borderId="0" xfId="0" applyFont="1"/>
    <xf numFmtId="0" fontId="16" fillId="0" borderId="12" xfId="0" applyFont="1" applyBorder="1"/>
    <xf numFmtId="0" fontId="11" fillId="0" borderId="8" xfId="0" applyFont="1" applyBorder="1"/>
    <xf numFmtId="165" fontId="2" fillId="0" borderId="11" xfId="0" applyNumberFormat="1" applyFont="1" applyBorder="1"/>
    <xf numFmtId="168" fontId="0" fillId="0" borderId="11" xfId="0" applyNumberFormat="1" applyBorder="1"/>
    <xf numFmtId="0" fontId="11" fillId="0" borderId="14" xfId="0" applyFont="1" applyBorder="1"/>
    <xf numFmtId="3" fontId="0" fillId="0" borderId="15" xfId="0" applyNumberFormat="1" applyBorder="1"/>
    <xf numFmtId="0" fontId="11" fillId="0" borderId="12" xfId="0" applyFont="1" applyBorder="1"/>
    <xf numFmtId="0" fontId="15" fillId="0" borderId="13" xfId="0" applyFont="1" applyBorder="1"/>
    <xf numFmtId="2" fontId="2" fillId="0" borderId="11" xfId="0" applyNumberFormat="1" applyFont="1" applyBorder="1"/>
    <xf numFmtId="4" fontId="0" fillId="0" borderId="11" xfId="0" applyNumberFormat="1" applyBorder="1"/>
    <xf numFmtId="10" fontId="0" fillId="0" borderId="11" xfId="0" applyNumberFormat="1" applyBorder="1"/>
    <xf numFmtId="9" fontId="0" fillId="0" borderId="15" xfId="0" applyNumberFormat="1" applyBorder="1"/>
    <xf numFmtId="166" fontId="3" fillId="0" borderId="13" xfId="0" applyNumberFormat="1" applyFont="1" applyBorder="1"/>
    <xf numFmtId="166" fontId="2" fillId="0" borderId="15" xfId="0" applyNumberFormat="1" applyFont="1" applyBorder="1"/>
    <xf numFmtId="0" fontId="0" fillId="0" borderId="0" xfId="0" applyBorder="1"/>
    <xf numFmtId="0" fontId="0" fillId="0" borderId="16" xfId="0" applyBorder="1"/>
    <xf numFmtId="0" fontId="17" fillId="0" borderId="16" xfId="0" applyFont="1" applyBorder="1"/>
    <xf numFmtId="0" fontId="0" fillId="0" borderId="13" xfId="0" applyBorder="1" applyAlignment="1">
      <alignment horizontal="right"/>
    </xf>
    <xf numFmtId="0" fontId="16" fillId="0" borderId="8" xfId="0" applyFont="1" applyBorder="1"/>
    <xf numFmtId="0" fontId="16" fillId="0" borderId="14" xfId="0" applyFont="1" applyBorder="1"/>
  </cellXfs>
  <cellStyles count="1">
    <cellStyle name="Normal" xfId="0" builtinId="0"/>
  </cellStyles>
  <dxfs count="2">
    <dxf>
      <fill>
        <patternFill patternType="solid">
          <fgColor rgb="FFB7E1CD"/>
          <bgColor rgb="FFB7E1CD"/>
        </patternFill>
      </fill>
    </dxf>
    <dxf>
      <fill>
        <patternFill patternType="solid">
          <fgColor rgb="FFF4C7C3"/>
          <bgColor rgb="FFF4C7C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https://www.bing.com/financeapi/forcetrigger?t=a1ossm&amp;q=XNYS%3aBR&amp;form=skydnc</v>
    <v>Learn more on Bing</v>
  </rv>
  <rv s="1">
    <v>en-US</v>
    <v>a1ossm</v>
    <v>268435456</v>
    <v>1</v>
    <v>Powered by Refinitiv</v>
    <v>0</v>
    <v>BROADRIDGE FINANCIAL SOLUTIONS, INC. (XNYS:BR)</v>
    <v>2</v>
    <v>3</v>
    <v>Finance</v>
    <v>4</v>
    <v>210.24</v>
    <v>133.97</v>
    <v>1.0018</v>
    <v>-1.35</v>
    <v>0</v>
    <v>-6.5890000000000002E-3</v>
    <v>0</v>
    <v>USD</v>
    <v>Broadridge Financial Solutions, Inc. is a financial technology company. It provides investor communications and technology-driven solutions to banks, broker-dealers, asset and wealth managers, public companies, investors and mutual funds. Its segments include Investor Communication Solutions (ICS) and Global Technology and Operations (GTO). ICS segment provides Regulatory Solutions, Data-Driven Fund Solutions, Corporate Issuer Solutions, and Customer Communications Solutions. ICS business involves the processing and distribution of proxy materials to investors in equity securities and mutual funds, and the facilitation of related vote processing. Its GTO business provides solutions that automate the front-to-back transaction lifecycle of equity, mutual fund, fixed income, foreign exchange and exchange-traded derivatives, from order capture and execution through trade confirmation, margin, cash management, clearing and settlement, reference data management, reconciliations and others.</v>
    <v>14700</v>
    <v>New York Stock Exchange</v>
    <v>XNYS</v>
    <v>XNYS</v>
    <v>5 Dakota Drive, LAKE SUCCESS, NY, 11042 US</v>
    <v>205.64</v>
    <v>Professional &amp; Commercial Services</v>
    <v>Stock</v>
    <v>45359.888895346878</v>
    <v>0</v>
    <v>202.75</v>
    <v>23972540000</v>
    <v>BROADRIDGE FINANCIAL SOLUTIONS, INC.</v>
    <v>BROADRIDGE FINANCIAL SOLUTIONS, INC.</v>
    <v>204.91</v>
    <v>35.720599999999997</v>
    <v>204.9</v>
    <v>203.55</v>
    <v>203.55</v>
    <v>117772200</v>
    <v>BR</v>
    <v>BROADRIDGE FINANCIAL SOLUTIONS, INC. (XNYS:BR)</v>
    <v>446872</v>
    <v>633450</v>
    <v>2006</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23"/>
  <sheetViews>
    <sheetView topLeftCell="A13" workbookViewId="0">
      <selection activeCell="E7" sqref="E7"/>
    </sheetView>
  </sheetViews>
  <sheetFormatPr defaultColWidth="12.6328125" defaultRowHeight="15.75" customHeight="1" x14ac:dyDescent="0.25"/>
  <cols>
    <col min="1" max="1" width="4.36328125" customWidth="1"/>
    <col min="2" max="2" width="9.36328125" customWidth="1"/>
    <col min="3" max="3" width="19.453125" customWidth="1"/>
    <col min="4" max="5" width="12.54296875" customWidth="1"/>
    <col min="11" max="11" width="0" hidden="1" customWidth="1"/>
  </cols>
  <sheetData>
    <row r="1" spans="1:14" ht="15.75" customHeight="1" x14ac:dyDescent="0.25">
      <c r="A1" s="63"/>
      <c r="B1" s="63"/>
      <c r="C1" s="63"/>
      <c r="D1" s="63"/>
      <c r="E1" s="63"/>
      <c r="F1" s="63"/>
      <c r="G1" s="63"/>
      <c r="H1" s="63"/>
      <c r="I1" s="63"/>
      <c r="J1" s="63"/>
      <c r="K1" s="63"/>
      <c r="L1" s="63"/>
      <c r="M1" s="63"/>
      <c r="N1" s="63"/>
    </row>
    <row r="2" spans="1:14" ht="15.75" customHeight="1" x14ac:dyDescent="0.4">
      <c r="A2" s="64"/>
      <c r="B2" s="65" t="s">
        <v>140</v>
      </c>
      <c r="C2" s="64"/>
      <c r="D2" s="64"/>
      <c r="E2" s="64"/>
      <c r="F2" s="64"/>
      <c r="G2" s="64"/>
      <c r="H2" s="64"/>
      <c r="I2" s="64"/>
      <c r="J2" s="64"/>
      <c r="K2" s="64"/>
      <c r="L2" s="64"/>
      <c r="M2" s="64"/>
      <c r="N2" s="64"/>
    </row>
    <row r="3" spans="1:14" ht="15.75" customHeight="1" x14ac:dyDescent="0.25">
      <c r="K3" s="44" t="e" vm="1">
        <v>#VALUE!</v>
      </c>
    </row>
    <row r="4" spans="1:14" ht="15.75" customHeight="1" x14ac:dyDescent="0.3">
      <c r="A4" s="44" t="s">
        <v>136</v>
      </c>
      <c r="B4" s="49" t="s">
        <v>129</v>
      </c>
      <c r="C4" s="66" t="str" cm="1">
        <f t="array" ref="C4">_FV(K3,"Ticker symbol",TRUE)</f>
        <v>BR</v>
      </c>
    </row>
    <row r="5" spans="1:14" ht="15.75" customHeight="1" x14ac:dyDescent="0.3">
      <c r="B5" s="50" t="s">
        <v>0</v>
      </c>
      <c r="C5" s="51">
        <f ca="1">TODAY()</f>
        <v>45361</v>
      </c>
    </row>
    <row r="6" spans="1:14" ht="13" x14ac:dyDescent="0.3">
      <c r="B6" s="50" t="s">
        <v>3</v>
      </c>
      <c r="C6" s="46" cm="1">
        <f t="array" ref="C6">_FV(K3,"Price")</f>
        <v>203.55</v>
      </c>
    </row>
    <row r="7" spans="1:14" ht="15.75" customHeight="1" x14ac:dyDescent="0.3">
      <c r="B7" s="50" t="s">
        <v>137</v>
      </c>
      <c r="C7" s="52" cm="1">
        <f t="array" ref="C7">_FV(K3,"Market cap",TRUE)</f>
        <v>23972540000</v>
      </c>
    </row>
    <row r="8" spans="1:14" ht="15.75" customHeight="1" x14ac:dyDescent="0.3">
      <c r="B8" s="53" t="s">
        <v>138</v>
      </c>
      <c r="C8" s="54" cm="1">
        <f t="array" ref="C8">_FV(K3,"Shares outstanding",TRUE)</f>
        <v>117772200</v>
      </c>
      <c r="E8" s="36"/>
    </row>
    <row r="9" spans="1:14" ht="15.75" customHeight="1" x14ac:dyDescent="0.3">
      <c r="B9" s="48"/>
    </row>
    <row r="10" spans="1:14" ht="15.75" customHeight="1" x14ac:dyDescent="0.3">
      <c r="A10" s="44" t="s">
        <v>136</v>
      </c>
      <c r="B10" s="55" t="s">
        <v>5</v>
      </c>
      <c r="C10" s="56">
        <v>1361.4</v>
      </c>
      <c r="D10" s="36" t="s">
        <v>2</v>
      </c>
    </row>
    <row r="11" spans="1:14" ht="15.75" customHeight="1" x14ac:dyDescent="0.3">
      <c r="B11" s="50" t="s">
        <v>6</v>
      </c>
      <c r="C11" s="57">
        <f>FS!AB22</f>
        <v>0.59643160577739984</v>
      </c>
    </row>
    <row r="12" spans="1:14" ht="15.75" customHeight="1" x14ac:dyDescent="0.3">
      <c r="B12" s="50" t="s">
        <v>7</v>
      </c>
      <c r="C12" s="58" cm="1">
        <f t="array" ref="C12">_FV(K3,"P/E",TRUE)</f>
        <v>35.720599999999997</v>
      </c>
    </row>
    <row r="13" spans="1:14" ht="15.75" customHeight="1" x14ac:dyDescent="0.3">
      <c r="B13" s="50" t="s">
        <v>8</v>
      </c>
      <c r="C13" s="59">
        <v>0.30299999999999999</v>
      </c>
    </row>
    <row r="14" spans="1:14" ht="15.75" customHeight="1" x14ac:dyDescent="0.3">
      <c r="B14" s="50" t="s">
        <v>134</v>
      </c>
      <c r="C14" s="59">
        <v>7.0999999999999994E-2</v>
      </c>
    </row>
    <row r="15" spans="1:14" ht="15.75" customHeight="1" x14ac:dyDescent="0.3">
      <c r="B15" s="50" t="s">
        <v>135</v>
      </c>
      <c r="C15" s="59">
        <v>0.14899999999999999</v>
      </c>
    </row>
    <row r="16" spans="1:14" ht="15.75" customHeight="1" x14ac:dyDescent="0.3">
      <c r="B16" s="53" t="s">
        <v>139</v>
      </c>
      <c r="C16" s="60">
        <v>1.63</v>
      </c>
    </row>
    <row r="18" spans="1:4" ht="15.75" customHeight="1" x14ac:dyDescent="0.3">
      <c r="A18" s="44" t="s">
        <v>136</v>
      </c>
      <c r="B18" s="55" t="s">
        <v>1</v>
      </c>
      <c r="C18" s="61">
        <v>252.3</v>
      </c>
      <c r="D18" s="36" t="s">
        <v>2</v>
      </c>
    </row>
    <row r="19" spans="1:4" ht="15.75" customHeight="1" x14ac:dyDescent="0.3">
      <c r="B19" s="53" t="s">
        <v>4</v>
      </c>
      <c r="C19" s="62">
        <f>FS!AB54</f>
        <v>3652.9</v>
      </c>
    </row>
    <row r="21" spans="1:4" ht="15.75" customHeight="1" x14ac:dyDescent="0.3">
      <c r="A21" s="44" t="s">
        <v>136</v>
      </c>
      <c r="B21" s="49" t="s">
        <v>133</v>
      </c>
      <c r="C21" s="45" cm="1">
        <f t="array" ref="C21">_FV(K3,"Beta")</f>
        <v>1.0018</v>
      </c>
      <c r="D21" s="44" t="s">
        <v>130</v>
      </c>
    </row>
    <row r="22" spans="1:4" ht="15.75" customHeight="1" x14ac:dyDescent="0.3">
      <c r="B22" s="67" t="s">
        <v>131</v>
      </c>
      <c r="C22" s="46" cm="1">
        <f t="array" ref="C22">_FV(K3,"High")</f>
        <v>205.64</v>
      </c>
    </row>
    <row r="23" spans="1:4" ht="15.75" customHeight="1" x14ac:dyDescent="0.3">
      <c r="B23" s="68" t="s">
        <v>132</v>
      </c>
      <c r="C23" s="47" cm="1">
        <f t="array" ref="C23">_FV(K3,"Low")</f>
        <v>202.75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M71"/>
  <sheetViews>
    <sheetView tabSelected="1" workbookViewId="0">
      <pane xSplit="1" ySplit="1" topLeftCell="W2" activePane="bottomRight" state="frozen"/>
      <selection pane="topRight" activeCell="B1" sqref="B1"/>
      <selection pane="bottomLeft" activeCell="A2" sqref="A2"/>
      <selection pane="bottomRight" activeCell="AB22" sqref="AB22"/>
    </sheetView>
  </sheetViews>
  <sheetFormatPr defaultColWidth="9.90625" defaultRowHeight="15.75" customHeight="1" x14ac:dyDescent="0.25"/>
  <sheetData>
    <row r="1" spans="1:39" ht="15.75" customHeight="1" x14ac:dyDescent="0.25">
      <c r="A1" s="2" t="s">
        <v>9</v>
      </c>
      <c r="B1" s="2" t="s">
        <v>10</v>
      </c>
      <c r="C1" s="2" t="s">
        <v>11</v>
      </c>
      <c r="D1" s="2" t="s">
        <v>12</v>
      </c>
      <c r="E1" s="2" t="s">
        <v>13</v>
      </c>
      <c r="F1" s="2" t="s">
        <v>14</v>
      </c>
      <c r="G1" s="2" t="s">
        <v>15</v>
      </c>
      <c r="H1" s="2" t="s">
        <v>16</v>
      </c>
      <c r="I1" s="2" t="s">
        <v>17</v>
      </c>
      <c r="J1" s="2" t="s">
        <v>18</v>
      </c>
      <c r="K1" s="2" t="s">
        <v>19</v>
      </c>
      <c r="L1" s="2" t="s">
        <v>20</v>
      </c>
      <c r="M1" s="2" t="s">
        <v>21</v>
      </c>
      <c r="N1" s="2" t="s">
        <v>22</v>
      </c>
      <c r="O1" s="2" t="s">
        <v>23</v>
      </c>
      <c r="P1" s="2" t="s">
        <v>24</v>
      </c>
      <c r="Q1" s="2" t="s">
        <v>25</v>
      </c>
      <c r="R1" s="2" t="s">
        <v>26</v>
      </c>
      <c r="S1" s="2" t="s">
        <v>27</v>
      </c>
      <c r="T1" s="2" t="s">
        <v>28</v>
      </c>
      <c r="U1" s="2" t="s">
        <v>29</v>
      </c>
      <c r="V1" s="2" t="s">
        <v>30</v>
      </c>
      <c r="W1" s="2" t="s">
        <v>31</v>
      </c>
      <c r="X1" s="2" t="s">
        <v>32</v>
      </c>
      <c r="Y1" s="2" t="s">
        <v>33</v>
      </c>
      <c r="Z1" s="2" t="s">
        <v>34</v>
      </c>
      <c r="AA1" s="2" t="s">
        <v>35</v>
      </c>
      <c r="AB1" s="2" t="s">
        <v>36</v>
      </c>
      <c r="AC1" s="36" t="s">
        <v>126</v>
      </c>
      <c r="AD1" s="2"/>
      <c r="AE1" s="2"/>
      <c r="AF1" s="2"/>
      <c r="AG1" s="2"/>
      <c r="AH1" s="2"/>
      <c r="AI1" s="2"/>
      <c r="AJ1" s="2"/>
      <c r="AK1" s="2"/>
      <c r="AL1" s="2"/>
      <c r="AM1" s="2"/>
    </row>
    <row r="2" spans="1:39" x14ac:dyDescent="0.3">
      <c r="A2" s="6" t="s">
        <v>37</v>
      </c>
    </row>
    <row r="3" spans="1:39" ht="15.75" customHeight="1" x14ac:dyDescent="0.25">
      <c r="A3" s="1" t="s">
        <v>38</v>
      </c>
      <c r="C3" s="4">
        <v>332.9</v>
      </c>
      <c r="D3" s="4">
        <v>334.4</v>
      </c>
      <c r="E3" s="4">
        <v>403.5</v>
      </c>
      <c r="F3" s="4">
        <v>628</v>
      </c>
      <c r="G3" s="4">
        <v>347.4</v>
      </c>
      <c r="H3" s="4">
        <v>367.2</v>
      </c>
      <c r="I3" s="4">
        <v>530.5</v>
      </c>
      <c r="J3" s="4">
        <v>560.70000000000005</v>
      </c>
      <c r="K3" s="4">
        <v>349.2</v>
      </c>
      <c r="L3" s="4">
        <v>367.5</v>
      </c>
      <c r="M3" s="4">
        <v>529</v>
      </c>
      <c r="N3" s="4">
        <v>616.29999999999995</v>
      </c>
      <c r="O3" s="4">
        <v>375.2</v>
      </c>
      <c r="P3" s="4">
        <v>393.9</v>
      </c>
      <c r="Q3" s="4">
        <v>586.5</v>
      </c>
      <c r="R3" s="4">
        <v>719.3</v>
      </c>
      <c r="S3" s="4">
        <v>410.2</v>
      </c>
      <c r="T3" s="4">
        <v>426.5</v>
      </c>
      <c r="U3" s="4">
        <v>628.70000000000005</v>
      </c>
      <c r="V3" s="4">
        <f>2270.3-U3-T3-S3</f>
        <v>804.90000000000009</v>
      </c>
      <c r="W3" s="4">
        <v>443.1</v>
      </c>
      <c r="X3" s="4">
        <v>466.9</v>
      </c>
      <c r="Y3" s="4">
        <v>693.5</v>
      </c>
      <c r="Z3" s="4">
        <f>2461.4-Y3-X3-W3</f>
        <v>857.9</v>
      </c>
      <c r="AA3" s="4">
        <v>468.8</v>
      </c>
      <c r="AB3" s="4">
        <v>493.4</v>
      </c>
      <c r="AC3" s="4"/>
      <c r="AD3" s="4"/>
      <c r="AE3" s="4"/>
      <c r="AF3" s="4"/>
      <c r="AG3" s="4"/>
      <c r="AH3" s="4"/>
      <c r="AI3" s="4"/>
      <c r="AJ3" s="4"/>
      <c r="AK3" s="4"/>
      <c r="AL3" s="4"/>
      <c r="AM3" s="4"/>
    </row>
    <row r="4" spans="1:39" ht="15.75" customHeight="1" x14ac:dyDescent="0.25">
      <c r="A4" s="1" t="s">
        <v>39</v>
      </c>
      <c r="C4" s="4">
        <v>59.3</v>
      </c>
      <c r="D4" s="4">
        <v>97.3</v>
      </c>
      <c r="E4" s="4">
        <v>66.5</v>
      </c>
      <c r="F4" s="4">
        <v>60.7</v>
      </c>
      <c r="G4" s="4">
        <v>76.900000000000006</v>
      </c>
      <c r="H4" s="4">
        <v>48.1</v>
      </c>
      <c r="I4" s="4">
        <v>68.400000000000006</v>
      </c>
      <c r="J4" s="4">
        <v>51</v>
      </c>
      <c r="K4" s="4">
        <v>40.1</v>
      </c>
      <c r="L4" s="4">
        <v>31</v>
      </c>
      <c r="M4" s="4">
        <v>39.1</v>
      </c>
      <c r="N4" s="4">
        <v>67.8</v>
      </c>
      <c r="O4" s="4">
        <v>45.5</v>
      </c>
      <c r="P4" s="4">
        <v>45.2</v>
      </c>
      <c r="Q4" s="4">
        <v>73.8</v>
      </c>
      <c r="R4" s="4">
        <v>72.900000000000006</v>
      </c>
      <c r="S4" s="4">
        <v>76.3</v>
      </c>
      <c r="T4" s="4">
        <v>64.7</v>
      </c>
      <c r="U4" s="4">
        <v>58.6</v>
      </c>
      <c r="V4" s="4">
        <f>269.4-U4-T4-S4</f>
        <v>69.799999999999969</v>
      </c>
      <c r="W4" s="4">
        <v>62.7</v>
      </c>
      <c r="X4" s="4">
        <v>37.6</v>
      </c>
      <c r="Y4" s="4">
        <v>51.8</v>
      </c>
      <c r="Z4" s="4">
        <f>211-Y4-X4-W4</f>
        <v>58.899999999999991</v>
      </c>
      <c r="AA4" s="4">
        <v>86.9</v>
      </c>
      <c r="AB4" s="4">
        <v>55.2</v>
      </c>
      <c r="AC4" s="4"/>
      <c r="AD4" s="4"/>
      <c r="AE4" s="4"/>
      <c r="AF4" s="4"/>
      <c r="AG4" s="4"/>
      <c r="AH4" s="4"/>
      <c r="AI4" s="4"/>
      <c r="AJ4" s="4"/>
      <c r="AK4" s="4"/>
      <c r="AL4" s="4"/>
      <c r="AM4" s="4"/>
    </row>
    <row r="5" spans="1:39" ht="15.75" customHeight="1" x14ac:dyDescent="0.25">
      <c r="A5" s="1" t="s">
        <v>40</v>
      </c>
      <c r="C5" s="4">
        <v>334.2</v>
      </c>
      <c r="D5" s="4">
        <v>370.4</v>
      </c>
      <c r="E5" s="4">
        <v>385.4</v>
      </c>
      <c r="F5" s="4">
        <v>422.9</v>
      </c>
      <c r="G5" s="4">
        <v>341.4</v>
      </c>
      <c r="H5" s="4">
        <v>322.89999999999998</v>
      </c>
      <c r="I5" s="4">
        <v>418.2</v>
      </c>
      <c r="J5" s="4">
        <v>378.4</v>
      </c>
      <c r="K5" s="4">
        <v>313.3</v>
      </c>
      <c r="L5" s="4">
        <v>317</v>
      </c>
      <c r="M5" s="4">
        <v>412.1</v>
      </c>
      <c r="N5" s="4">
        <v>408.8</v>
      </c>
      <c r="O5" s="4">
        <v>332.2</v>
      </c>
      <c r="P5" s="4">
        <v>344.8</v>
      </c>
      <c r="Q5" s="4">
        <v>449.1</v>
      </c>
      <c r="R5" s="4">
        <v>429.3</v>
      </c>
      <c r="S5" s="4">
        <v>367</v>
      </c>
      <c r="T5" s="4">
        <v>401.4</v>
      </c>
      <c r="U5" s="4">
        <v>472.1</v>
      </c>
      <c r="V5" s="4">
        <f>1717-U5-T5-S5</f>
        <v>476.50000000000011</v>
      </c>
      <c r="W5" s="4">
        <v>414.8</v>
      </c>
      <c r="X5" s="4">
        <v>414.9</v>
      </c>
      <c r="Y5" s="4">
        <v>511.9</v>
      </c>
      <c r="Z5" s="4">
        <f>1863.1-Y5-X5-W5</f>
        <v>521.49999999999977</v>
      </c>
      <c r="AA5" s="4">
        <v>473</v>
      </c>
      <c r="AB5" s="4">
        <v>450.9</v>
      </c>
      <c r="AC5" s="4"/>
      <c r="AD5" s="4"/>
      <c r="AE5" s="4"/>
      <c r="AF5" s="4"/>
      <c r="AG5" s="4"/>
      <c r="AH5" s="4"/>
      <c r="AI5" s="4"/>
      <c r="AJ5" s="4"/>
      <c r="AK5" s="4"/>
      <c r="AL5" s="4"/>
      <c r="AM5" s="4"/>
    </row>
    <row r="6" spans="1:39" ht="15.75" customHeight="1" x14ac:dyDescent="0.25">
      <c r="A6" s="1" t="s">
        <v>41</v>
      </c>
      <c r="B6" s="4">
        <v>1162.0999999999999</v>
      </c>
      <c r="C6" s="4">
        <f t="shared" ref="C6:Z6" si="0">SUM(C3:C5)</f>
        <v>726.4</v>
      </c>
      <c r="D6" s="4">
        <f t="shared" si="0"/>
        <v>802.09999999999991</v>
      </c>
      <c r="E6" s="4">
        <f t="shared" si="0"/>
        <v>855.4</v>
      </c>
      <c r="F6" s="4">
        <f t="shared" si="0"/>
        <v>1111.5999999999999</v>
      </c>
      <c r="G6" s="4">
        <f t="shared" si="0"/>
        <v>765.69999999999993</v>
      </c>
      <c r="H6" s="4">
        <f t="shared" si="0"/>
        <v>738.2</v>
      </c>
      <c r="I6" s="4">
        <f t="shared" si="0"/>
        <v>1017.0999999999999</v>
      </c>
      <c r="J6" s="4">
        <f t="shared" si="0"/>
        <v>990.1</v>
      </c>
      <c r="K6" s="4">
        <f t="shared" si="0"/>
        <v>702.6</v>
      </c>
      <c r="L6" s="4">
        <f t="shared" si="0"/>
        <v>715.5</v>
      </c>
      <c r="M6" s="4">
        <f t="shared" si="0"/>
        <v>980.2</v>
      </c>
      <c r="N6" s="4">
        <f t="shared" si="0"/>
        <v>1092.8999999999999</v>
      </c>
      <c r="O6" s="4">
        <f t="shared" si="0"/>
        <v>752.9</v>
      </c>
      <c r="P6" s="4">
        <f t="shared" si="0"/>
        <v>783.9</v>
      </c>
      <c r="Q6" s="4">
        <f t="shared" si="0"/>
        <v>1109.4000000000001</v>
      </c>
      <c r="R6" s="4">
        <f t="shared" si="0"/>
        <v>1221.5</v>
      </c>
      <c r="S6" s="4">
        <f t="shared" si="0"/>
        <v>853.5</v>
      </c>
      <c r="T6" s="4">
        <f t="shared" si="0"/>
        <v>892.59999999999991</v>
      </c>
      <c r="U6" s="4">
        <f t="shared" si="0"/>
        <v>1159.4000000000001</v>
      </c>
      <c r="V6" s="4">
        <f t="shared" si="0"/>
        <v>1351.2000000000003</v>
      </c>
      <c r="W6" s="4">
        <f t="shared" si="0"/>
        <v>920.6</v>
      </c>
      <c r="X6" s="4">
        <f t="shared" si="0"/>
        <v>919.4</v>
      </c>
      <c r="Y6" s="4">
        <f t="shared" si="0"/>
        <v>1257.1999999999998</v>
      </c>
      <c r="Z6" s="4">
        <f t="shared" si="0"/>
        <v>1438.2999999999997</v>
      </c>
      <c r="AA6" s="4">
        <f>SUM(AA3:AA5)</f>
        <v>1028.7</v>
      </c>
      <c r="AB6" s="4">
        <f>SUM(AB3:AB5)</f>
        <v>999.5</v>
      </c>
      <c r="AC6" s="4"/>
      <c r="AD6" s="4"/>
      <c r="AE6" s="4"/>
      <c r="AF6" s="4"/>
      <c r="AG6" s="4"/>
      <c r="AH6" s="4"/>
      <c r="AI6" s="4"/>
      <c r="AJ6" s="4"/>
      <c r="AK6" s="4"/>
      <c r="AL6" s="4"/>
      <c r="AM6" s="4"/>
    </row>
    <row r="7" spans="1:39" x14ac:dyDescent="0.3">
      <c r="A7" s="6" t="s">
        <v>42</v>
      </c>
      <c r="O7" s="4"/>
      <c r="P7" s="4"/>
      <c r="Q7" s="4"/>
      <c r="R7" s="4"/>
      <c r="S7" s="4"/>
      <c r="T7" s="4"/>
      <c r="U7" s="4"/>
      <c r="V7" s="4"/>
      <c r="W7" s="4"/>
      <c r="X7" s="4"/>
      <c r="Y7" s="4"/>
      <c r="Z7" s="4"/>
      <c r="AA7" s="4"/>
      <c r="AB7" s="4"/>
      <c r="AC7" s="4"/>
      <c r="AD7" s="4"/>
      <c r="AE7" s="4"/>
      <c r="AF7" s="4"/>
      <c r="AG7" s="4"/>
      <c r="AH7" s="4"/>
      <c r="AI7" s="7"/>
      <c r="AJ7" s="4"/>
      <c r="AK7" s="4"/>
      <c r="AL7" s="4"/>
      <c r="AM7" s="4"/>
    </row>
    <row r="8" spans="1:39" ht="15.75" customHeight="1" x14ac:dyDescent="0.35">
      <c r="A8" s="1" t="s">
        <v>43</v>
      </c>
      <c r="C8" s="4">
        <v>214.9</v>
      </c>
      <c r="D8" s="4">
        <v>228</v>
      </c>
      <c r="E8" s="4">
        <v>235.2</v>
      </c>
      <c r="F8" s="4">
        <v>233.5</v>
      </c>
      <c r="G8" s="4">
        <v>227.7</v>
      </c>
      <c r="H8" s="4">
        <v>236.6</v>
      </c>
      <c r="I8" s="4">
        <v>236.6</v>
      </c>
      <c r="J8" s="4">
        <v>252.6</v>
      </c>
      <c r="K8" s="4">
        <v>273.89999999999998</v>
      </c>
      <c r="L8" s="4">
        <v>280.89999999999998</v>
      </c>
      <c r="M8" s="4">
        <v>305.5</v>
      </c>
      <c r="N8" s="4">
        <v>313.89999999999998</v>
      </c>
      <c r="O8" s="4">
        <v>296</v>
      </c>
      <c r="P8" s="4">
        <v>302.3</v>
      </c>
      <c r="Q8" s="4">
        <v>313.5</v>
      </c>
      <c r="R8" s="4">
        <v>346.2</v>
      </c>
      <c r="S8" s="4">
        <v>339.4</v>
      </c>
      <c r="T8" s="4">
        <v>366.9</v>
      </c>
      <c r="U8" s="4">
        <v>374.3</v>
      </c>
      <c r="V8" s="4">
        <f>1452.4-U8-T8-S8</f>
        <v>371.80000000000018</v>
      </c>
      <c r="W8" s="4">
        <v>362.7</v>
      </c>
      <c r="X8" s="4">
        <v>373.5</v>
      </c>
      <c r="Y8" s="4">
        <v>388.5</v>
      </c>
      <c r="Z8" s="4">
        <f>1525.2-Y8-X8-W8</f>
        <v>400.50000000000006</v>
      </c>
      <c r="AA8" s="4">
        <v>402.4</v>
      </c>
      <c r="AB8" s="4">
        <v>405.4</v>
      </c>
      <c r="AD8" s="35" t="s">
        <v>125</v>
      </c>
      <c r="AE8" s="4"/>
      <c r="AF8" s="4"/>
      <c r="AG8" s="4"/>
      <c r="AH8" s="4"/>
      <c r="AI8" s="4"/>
      <c r="AK8" s="4"/>
      <c r="AL8" s="4"/>
      <c r="AM8" s="4"/>
    </row>
    <row r="9" spans="1:39" ht="15.75" customHeight="1" x14ac:dyDescent="0.25">
      <c r="A9" s="1" t="s">
        <v>44</v>
      </c>
      <c r="B9" s="4">
        <v>210.4</v>
      </c>
      <c r="C9" s="4">
        <f t="shared" ref="C9:AB9" si="1">C8</f>
        <v>214.9</v>
      </c>
      <c r="D9" s="4">
        <f t="shared" si="1"/>
        <v>228</v>
      </c>
      <c r="E9" s="4">
        <f t="shared" si="1"/>
        <v>235.2</v>
      </c>
      <c r="F9" s="4">
        <f t="shared" si="1"/>
        <v>233.5</v>
      </c>
      <c r="G9" s="4">
        <f t="shared" si="1"/>
        <v>227.7</v>
      </c>
      <c r="H9" s="4">
        <f t="shared" si="1"/>
        <v>236.6</v>
      </c>
      <c r="I9" s="4">
        <f t="shared" si="1"/>
        <v>236.6</v>
      </c>
      <c r="J9" s="4">
        <f t="shared" si="1"/>
        <v>252.6</v>
      </c>
      <c r="K9" s="4">
        <f t="shared" si="1"/>
        <v>273.89999999999998</v>
      </c>
      <c r="L9" s="4">
        <f t="shared" si="1"/>
        <v>280.89999999999998</v>
      </c>
      <c r="M9" s="4">
        <f t="shared" si="1"/>
        <v>305.5</v>
      </c>
      <c r="N9" s="4">
        <f t="shared" si="1"/>
        <v>313.89999999999998</v>
      </c>
      <c r="O9" s="4">
        <f t="shared" si="1"/>
        <v>296</v>
      </c>
      <c r="P9" s="4">
        <f t="shared" si="1"/>
        <v>302.3</v>
      </c>
      <c r="Q9" s="4">
        <f t="shared" si="1"/>
        <v>313.5</v>
      </c>
      <c r="R9" s="4">
        <f t="shared" si="1"/>
        <v>346.2</v>
      </c>
      <c r="S9" s="4">
        <f t="shared" si="1"/>
        <v>339.4</v>
      </c>
      <c r="T9" s="4">
        <f t="shared" si="1"/>
        <v>366.9</v>
      </c>
      <c r="U9" s="4">
        <f t="shared" si="1"/>
        <v>374.3</v>
      </c>
      <c r="V9" s="4">
        <f t="shared" si="1"/>
        <v>371.80000000000018</v>
      </c>
      <c r="W9" s="4">
        <f t="shared" si="1"/>
        <v>362.7</v>
      </c>
      <c r="X9" s="4">
        <f t="shared" si="1"/>
        <v>373.5</v>
      </c>
      <c r="Y9" s="4">
        <f t="shared" si="1"/>
        <v>388.5</v>
      </c>
      <c r="Z9" s="4">
        <f t="shared" si="1"/>
        <v>400.50000000000006</v>
      </c>
      <c r="AA9" s="4">
        <f t="shared" si="1"/>
        <v>402.4</v>
      </c>
      <c r="AB9" s="4">
        <f t="shared" si="1"/>
        <v>405.4</v>
      </c>
      <c r="AD9" s="38" t="s">
        <v>46</v>
      </c>
      <c r="AE9" s="39" t="s">
        <v>47</v>
      </c>
      <c r="AF9" s="39" t="s">
        <v>48</v>
      </c>
      <c r="AG9" s="39" t="s">
        <v>49</v>
      </c>
      <c r="AH9" s="39"/>
      <c r="AI9" s="39"/>
      <c r="AJ9" s="8"/>
      <c r="AK9" s="9"/>
      <c r="AL9" s="4"/>
      <c r="AM9" s="4"/>
    </row>
    <row r="10" spans="1:39" ht="15.75" customHeight="1" x14ac:dyDescent="0.3">
      <c r="A10" s="2" t="s">
        <v>45</v>
      </c>
      <c r="B10" s="4">
        <v>-26.8</v>
      </c>
      <c r="C10" s="4">
        <v>-16.5</v>
      </c>
      <c r="D10" s="4">
        <v>-17.399999999999999</v>
      </c>
      <c r="E10" s="4">
        <v>-18.600000000000001</v>
      </c>
      <c r="F10" s="4">
        <v>-24.8</v>
      </c>
      <c r="G10" s="4">
        <v>-20.7</v>
      </c>
      <c r="H10" s="4">
        <v>-21.4</v>
      </c>
      <c r="I10" s="4">
        <v>-28.9</v>
      </c>
      <c r="J10" s="4">
        <v>-31.5</v>
      </c>
      <c r="K10" s="4">
        <v>-28</v>
      </c>
      <c r="L10" s="4">
        <v>-27.8</v>
      </c>
      <c r="M10" s="4">
        <v>-35.799999999999997</v>
      </c>
      <c r="N10" s="4">
        <v>-44.8</v>
      </c>
      <c r="O10" s="4">
        <v>-31.5</v>
      </c>
      <c r="P10" s="4">
        <v>-31.2</v>
      </c>
      <c r="Q10" s="4">
        <v>-33.1</v>
      </c>
      <c r="R10" s="4">
        <v>-36.1</v>
      </c>
      <c r="S10" s="4">
        <v>0</v>
      </c>
      <c r="T10" s="4">
        <v>0</v>
      </c>
      <c r="U10" s="4">
        <v>0</v>
      </c>
      <c r="V10" s="4">
        <v>0</v>
      </c>
      <c r="W10" s="4">
        <v>0</v>
      </c>
      <c r="X10" s="4">
        <v>0</v>
      </c>
      <c r="Y10" s="4">
        <v>0</v>
      </c>
      <c r="Z10" s="4">
        <v>0</v>
      </c>
      <c r="AA10" s="4">
        <v>0</v>
      </c>
      <c r="AB10" s="4">
        <v>0</v>
      </c>
      <c r="AD10" s="13">
        <v>1390</v>
      </c>
      <c r="AE10" s="40">
        <f>AD10/AA11</f>
        <v>0.97128083292572154</v>
      </c>
      <c r="AF10" s="40">
        <f>AD10/X11</f>
        <v>1.0751024827906257</v>
      </c>
      <c r="AG10" s="41"/>
      <c r="AH10" s="41"/>
      <c r="AI10" s="42" t="s">
        <v>127</v>
      </c>
      <c r="AJ10" s="42" t="s">
        <v>128</v>
      </c>
      <c r="AK10" s="43"/>
      <c r="AL10" s="4"/>
      <c r="AM10" s="4"/>
    </row>
    <row r="11" spans="1:39" ht="13" x14ac:dyDescent="0.3">
      <c r="A11" s="12" t="s">
        <v>50</v>
      </c>
      <c r="B11" s="3">
        <f t="shared" ref="B11:AB11" si="2">B9+B6+B10</f>
        <v>1345.7</v>
      </c>
      <c r="C11" s="3">
        <f t="shared" si="2"/>
        <v>924.8</v>
      </c>
      <c r="D11" s="3">
        <f t="shared" si="2"/>
        <v>1012.6999999999999</v>
      </c>
      <c r="E11" s="3">
        <f t="shared" si="2"/>
        <v>1072</v>
      </c>
      <c r="F11" s="3">
        <f t="shared" si="2"/>
        <v>1320.3</v>
      </c>
      <c r="G11" s="3">
        <f t="shared" si="2"/>
        <v>972.69999999999982</v>
      </c>
      <c r="H11" s="3">
        <f t="shared" si="2"/>
        <v>953.40000000000009</v>
      </c>
      <c r="I11" s="3">
        <f t="shared" si="2"/>
        <v>1224.7999999999997</v>
      </c>
      <c r="J11" s="3">
        <f t="shared" si="2"/>
        <v>1211.2</v>
      </c>
      <c r="K11" s="3">
        <f t="shared" si="2"/>
        <v>948.5</v>
      </c>
      <c r="L11" s="3">
        <f t="shared" si="2"/>
        <v>968.6</v>
      </c>
      <c r="M11" s="3">
        <f t="shared" si="2"/>
        <v>1249.9000000000001</v>
      </c>
      <c r="N11" s="3">
        <f t="shared" si="2"/>
        <v>1361.9999999999998</v>
      </c>
      <c r="O11" s="3">
        <f t="shared" si="2"/>
        <v>1017.4000000000001</v>
      </c>
      <c r="P11" s="3">
        <f t="shared" si="2"/>
        <v>1055</v>
      </c>
      <c r="Q11" s="3">
        <f t="shared" si="2"/>
        <v>1389.8000000000002</v>
      </c>
      <c r="R11" s="3">
        <f t="shared" si="2"/>
        <v>1531.6000000000001</v>
      </c>
      <c r="S11" s="3">
        <f t="shared" si="2"/>
        <v>1192.9000000000001</v>
      </c>
      <c r="T11" s="3">
        <f t="shared" si="2"/>
        <v>1259.5</v>
      </c>
      <c r="U11" s="3">
        <f t="shared" si="2"/>
        <v>1533.7</v>
      </c>
      <c r="V11" s="3">
        <f t="shared" si="2"/>
        <v>1723.0000000000005</v>
      </c>
      <c r="W11" s="3">
        <f t="shared" si="2"/>
        <v>1283.3</v>
      </c>
      <c r="X11" s="3">
        <f t="shared" si="2"/>
        <v>1292.9000000000001</v>
      </c>
      <c r="Y11" s="3">
        <f t="shared" si="2"/>
        <v>1645.6999999999998</v>
      </c>
      <c r="Z11" s="3">
        <f t="shared" si="2"/>
        <v>1838.7999999999997</v>
      </c>
      <c r="AA11" s="3">
        <f t="shared" si="2"/>
        <v>1431.1</v>
      </c>
      <c r="AB11" s="3">
        <f t="shared" si="2"/>
        <v>1404.9</v>
      </c>
      <c r="AD11" s="10" t="s">
        <v>52</v>
      </c>
      <c r="AE11" s="2" t="s">
        <v>53</v>
      </c>
      <c r="AF11" s="4"/>
      <c r="AG11" s="4" t="s">
        <v>54</v>
      </c>
      <c r="AH11" s="4"/>
      <c r="AI11" s="3"/>
      <c r="AJ11" s="3"/>
      <c r="AK11" s="14"/>
      <c r="AL11" s="3"/>
      <c r="AM11" s="3"/>
    </row>
    <row r="12" spans="1:39" ht="15.75" customHeight="1" x14ac:dyDescent="0.3">
      <c r="A12" s="2" t="s">
        <v>51</v>
      </c>
      <c r="O12" s="4"/>
      <c r="P12" s="4"/>
      <c r="Q12" s="4"/>
      <c r="R12" s="4"/>
      <c r="S12" s="4"/>
      <c r="T12" s="4"/>
      <c r="U12" s="4"/>
      <c r="V12" s="4"/>
      <c r="W12" s="4"/>
      <c r="X12" s="4"/>
      <c r="Y12" s="4"/>
      <c r="Z12" s="4"/>
      <c r="AA12" s="4"/>
      <c r="AB12" s="4"/>
      <c r="AD12" s="13">
        <f>AA11*AE12</f>
        <v>1478.0079391973024</v>
      </c>
      <c r="AE12" s="4">
        <f>AE19</f>
        <v>1.0327775411902052</v>
      </c>
      <c r="AF12" s="4">
        <f>(AF13+AG14+AF15+AF16)/4</f>
        <v>1.0563752929615799</v>
      </c>
      <c r="AG12" s="3">
        <f>X11*AF12</f>
        <v>1365.7876162700268</v>
      </c>
      <c r="AH12" s="3">
        <f>(AD12+AG12+AD10)/3</f>
        <v>1411.2651851557764</v>
      </c>
      <c r="AI12" s="28"/>
      <c r="AJ12" s="29"/>
      <c r="AK12" s="30"/>
      <c r="AL12" s="4"/>
      <c r="AM12" s="4"/>
    </row>
    <row r="13" spans="1:39" ht="12.5" x14ac:dyDescent="0.25">
      <c r="A13" s="2" t="s">
        <v>55</v>
      </c>
      <c r="B13" s="2">
        <v>910.1</v>
      </c>
      <c r="C13" s="4">
        <v>726</v>
      </c>
      <c r="D13" s="4">
        <v>769.3</v>
      </c>
      <c r="E13" s="4">
        <v>802.5</v>
      </c>
      <c r="F13" s="4">
        <v>869.5</v>
      </c>
      <c r="G13" s="4">
        <v>739</v>
      </c>
      <c r="H13" s="4">
        <v>734</v>
      </c>
      <c r="I13" s="4">
        <v>847.3</v>
      </c>
      <c r="J13" s="4">
        <v>811.6</v>
      </c>
      <c r="K13" s="4">
        <v>727.5</v>
      </c>
      <c r="L13" s="4">
        <v>780.9</v>
      </c>
      <c r="M13" s="4">
        <v>872.5</v>
      </c>
      <c r="N13" s="4">
        <v>884.2</v>
      </c>
      <c r="O13" s="4">
        <v>787.1</v>
      </c>
      <c r="P13" s="4">
        <v>806.5</v>
      </c>
      <c r="Q13" s="4">
        <v>960.5</v>
      </c>
      <c r="R13" s="4">
        <v>1016.7</v>
      </c>
      <c r="S13" s="4">
        <v>914.1</v>
      </c>
      <c r="T13" s="4">
        <v>978.4</v>
      </c>
      <c r="U13" s="4">
        <v>1077.5999999999999</v>
      </c>
      <c r="V13" s="4">
        <f>4116.9-U13-T13-S13</f>
        <v>1146.7999999999997</v>
      </c>
      <c r="W13" s="4">
        <v>990.4</v>
      </c>
      <c r="X13" s="4">
        <v>988.2</v>
      </c>
      <c r="Y13" s="4">
        <v>1137.7</v>
      </c>
      <c r="Z13" s="4">
        <f>4275.5-Y13-X13-W13</f>
        <v>1159.2000000000003</v>
      </c>
      <c r="AA13" s="4">
        <v>1075.3</v>
      </c>
      <c r="AB13" s="4">
        <v>1057.2</v>
      </c>
      <c r="AD13" s="10">
        <v>23</v>
      </c>
      <c r="AE13" s="4">
        <f>X11/W11</f>
        <v>1.0074807137847737</v>
      </c>
      <c r="AF13" s="4">
        <f>X11/T11</f>
        <v>1.0265184597062327</v>
      </c>
      <c r="AG13" s="4">
        <f>AG12/AA11</f>
        <v>0.95436211045351604</v>
      </c>
      <c r="AH13" s="4" t="s">
        <v>57</v>
      </c>
      <c r="AI13" s="4">
        <f>AH12/AA11</f>
        <v>0.98614016152314754</v>
      </c>
      <c r="AJ13" s="4">
        <f>AH12/X11</f>
        <v>1.0915501470769404</v>
      </c>
      <c r="AK13" s="11"/>
      <c r="AL13" s="4"/>
      <c r="AM13" s="4"/>
    </row>
    <row r="14" spans="1:39" ht="15.75" customHeight="1" x14ac:dyDescent="0.25">
      <c r="A14" s="2" t="s">
        <v>56</v>
      </c>
      <c r="B14" s="2">
        <v>138.6</v>
      </c>
      <c r="C14" s="4">
        <v>113.5</v>
      </c>
      <c r="D14" s="4">
        <v>127.7</v>
      </c>
      <c r="E14" s="4">
        <v>138.6</v>
      </c>
      <c r="F14" s="4">
        <v>184.7</v>
      </c>
      <c r="G14" s="4">
        <v>133.69999999999999</v>
      </c>
      <c r="H14" s="4">
        <v>141.19999999999999</v>
      </c>
      <c r="I14" s="4">
        <v>143.9</v>
      </c>
      <c r="J14" s="4">
        <v>158.80000000000001</v>
      </c>
      <c r="K14" s="4">
        <v>148</v>
      </c>
      <c r="L14" s="4">
        <v>161</v>
      </c>
      <c r="M14" s="4">
        <v>151.1</v>
      </c>
      <c r="N14" s="4">
        <v>178.9</v>
      </c>
      <c r="O14" s="4">
        <v>151.69999999999999</v>
      </c>
      <c r="P14" s="4">
        <v>169</v>
      </c>
      <c r="Q14" s="4">
        <v>190</v>
      </c>
      <c r="R14" s="4">
        <v>233.5</v>
      </c>
      <c r="S14" s="4">
        <v>175.5</v>
      </c>
      <c r="T14" s="4">
        <v>212.3</v>
      </c>
      <c r="U14" s="4">
        <v>210.1</v>
      </c>
      <c r="V14" s="4">
        <f>832.3-U14-T14-S14</f>
        <v>234.39999999999992</v>
      </c>
      <c r="W14" s="4">
        <v>205.3</v>
      </c>
      <c r="X14" s="4">
        <v>196.8</v>
      </c>
      <c r="Y14" s="4">
        <v>221.2</v>
      </c>
      <c r="Z14" s="4">
        <f>849-Y14-X14-W14</f>
        <v>225.69999999999993</v>
      </c>
      <c r="AA14" s="4">
        <v>207.3</v>
      </c>
      <c r="AB14" s="4">
        <v>223.4</v>
      </c>
      <c r="AD14" s="10">
        <f t="shared" ref="AD14:AD19" si="3">AD13-1</f>
        <v>22</v>
      </c>
      <c r="AE14" s="4">
        <f>T11/S11</f>
        <v>1.0558303294492413</v>
      </c>
      <c r="AF14" s="4">
        <f>T11/P11</f>
        <v>1.1938388625592418</v>
      </c>
      <c r="AG14" s="4">
        <f>AF14-0.1</f>
        <v>1.0938388625592417</v>
      </c>
      <c r="AH14" s="4">
        <f>X13</f>
        <v>988.2</v>
      </c>
      <c r="AI14" s="4"/>
      <c r="AJ14" s="4"/>
      <c r="AK14" s="11"/>
      <c r="AL14" s="4"/>
      <c r="AM14" s="4"/>
    </row>
    <row r="15" spans="1:39" ht="15.75" customHeight="1" x14ac:dyDescent="0.3">
      <c r="A15" s="2" t="s">
        <v>58</v>
      </c>
      <c r="B15" s="4">
        <f t="shared" ref="B15:AB15" si="4">SUM(B13:B14)</f>
        <v>1048.7</v>
      </c>
      <c r="C15" s="4">
        <f t="shared" si="4"/>
        <v>839.5</v>
      </c>
      <c r="D15" s="4">
        <f t="shared" si="4"/>
        <v>897</v>
      </c>
      <c r="E15" s="4">
        <f t="shared" si="4"/>
        <v>941.1</v>
      </c>
      <c r="F15" s="4">
        <f t="shared" si="4"/>
        <v>1054.2</v>
      </c>
      <c r="G15" s="4">
        <f t="shared" si="4"/>
        <v>872.7</v>
      </c>
      <c r="H15" s="4">
        <f t="shared" si="4"/>
        <v>875.2</v>
      </c>
      <c r="I15" s="4">
        <f t="shared" si="4"/>
        <v>991.19999999999993</v>
      </c>
      <c r="J15" s="4">
        <f t="shared" si="4"/>
        <v>970.40000000000009</v>
      </c>
      <c r="K15" s="4">
        <f t="shared" si="4"/>
        <v>875.5</v>
      </c>
      <c r="L15" s="4">
        <f t="shared" si="4"/>
        <v>941.9</v>
      </c>
      <c r="M15" s="4">
        <f t="shared" si="4"/>
        <v>1023.6</v>
      </c>
      <c r="N15" s="4">
        <f t="shared" si="4"/>
        <v>1063.1000000000001</v>
      </c>
      <c r="O15" s="4">
        <f t="shared" si="4"/>
        <v>938.8</v>
      </c>
      <c r="P15" s="4">
        <f t="shared" si="4"/>
        <v>975.5</v>
      </c>
      <c r="Q15" s="4">
        <f t="shared" si="4"/>
        <v>1150.5</v>
      </c>
      <c r="R15" s="4">
        <f t="shared" si="4"/>
        <v>1250.2</v>
      </c>
      <c r="S15" s="4">
        <f t="shared" si="4"/>
        <v>1089.5999999999999</v>
      </c>
      <c r="T15" s="4">
        <f t="shared" si="4"/>
        <v>1190.7</v>
      </c>
      <c r="U15" s="4">
        <f t="shared" si="4"/>
        <v>1287.6999999999998</v>
      </c>
      <c r="V15" s="4">
        <f t="shared" si="4"/>
        <v>1381.1999999999996</v>
      </c>
      <c r="W15" s="4">
        <f t="shared" si="4"/>
        <v>1195.7</v>
      </c>
      <c r="X15" s="4">
        <f t="shared" si="4"/>
        <v>1185</v>
      </c>
      <c r="Y15" s="4">
        <f t="shared" si="4"/>
        <v>1358.9</v>
      </c>
      <c r="Z15" s="4">
        <f t="shared" si="4"/>
        <v>1384.9</v>
      </c>
      <c r="AA15" s="4">
        <f t="shared" si="4"/>
        <v>1282.5999999999999</v>
      </c>
      <c r="AB15" s="4">
        <f t="shared" si="4"/>
        <v>1280.6000000000001</v>
      </c>
      <c r="AD15" s="10">
        <f t="shared" si="3"/>
        <v>21</v>
      </c>
      <c r="AE15" s="4">
        <f>P11/O11</f>
        <v>1.0369569490859052</v>
      </c>
      <c r="AF15" s="4">
        <f>P11/L11</f>
        <v>1.0892009085277721</v>
      </c>
      <c r="AG15" s="4"/>
      <c r="AH15" s="4">
        <f>X14*1.01</f>
        <v>198.768</v>
      </c>
      <c r="AI15" s="4"/>
      <c r="AJ15" s="34" t="s">
        <v>121</v>
      </c>
      <c r="AK15" s="11"/>
      <c r="AL15" s="4"/>
      <c r="AM15" s="4"/>
    </row>
    <row r="16" spans="1:39" ht="15.75" customHeight="1" x14ac:dyDescent="0.25">
      <c r="A16" s="2" t="s">
        <v>59</v>
      </c>
      <c r="B16" s="4">
        <f t="shared" ref="B16:AB16" si="5">B11-B15</f>
        <v>297</v>
      </c>
      <c r="C16" s="4">
        <f t="shared" si="5"/>
        <v>85.299999999999955</v>
      </c>
      <c r="D16" s="4">
        <f t="shared" si="5"/>
        <v>115.69999999999993</v>
      </c>
      <c r="E16" s="4">
        <f t="shared" si="5"/>
        <v>130.89999999999998</v>
      </c>
      <c r="F16" s="4">
        <f t="shared" si="5"/>
        <v>266.09999999999991</v>
      </c>
      <c r="G16" s="4">
        <f t="shared" si="5"/>
        <v>99.999999999999773</v>
      </c>
      <c r="H16" s="4">
        <f t="shared" si="5"/>
        <v>78.200000000000045</v>
      </c>
      <c r="I16" s="4">
        <f t="shared" si="5"/>
        <v>233.5999999999998</v>
      </c>
      <c r="J16" s="4">
        <f t="shared" si="5"/>
        <v>240.79999999999995</v>
      </c>
      <c r="K16" s="4">
        <f t="shared" si="5"/>
        <v>73</v>
      </c>
      <c r="L16" s="4">
        <f t="shared" si="5"/>
        <v>26.700000000000045</v>
      </c>
      <c r="M16" s="4">
        <f t="shared" si="5"/>
        <v>226.30000000000007</v>
      </c>
      <c r="N16" s="4">
        <f t="shared" si="5"/>
        <v>298.89999999999964</v>
      </c>
      <c r="O16" s="4">
        <f t="shared" si="5"/>
        <v>78.600000000000136</v>
      </c>
      <c r="P16" s="4">
        <f t="shared" si="5"/>
        <v>79.5</v>
      </c>
      <c r="Q16" s="4">
        <f t="shared" si="5"/>
        <v>239.30000000000018</v>
      </c>
      <c r="R16" s="4">
        <f t="shared" si="5"/>
        <v>281.40000000000009</v>
      </c>
      <c r="S16" s="4">
        <f t="shared" si="5"/>
        <v>103.30000000000018</v>
      </c>
      <c r="T16" s="4">
        <f t="shared" si="5"/>
        <v>68.799999999999955</v>
      </c>
      <c r="U16" s="4">
        <f t="shared" si="5"/>
        <v>246.00000000000023</v>
      </c>
      <c r="V16" s="4">
        <f t="shared" si="5"/>
        <v>341.80000000000086</v>
      </c>
      <c r="W16" s="4">
        <f t="shared" si="5"/>
        <v>87.599999999999909</v>
      </c>
      <c r="X16" s="4">
        <f t="shared" si="5"/>
        <v>107.90000000000009</v>
      </c>
      <c r="Y16" s="4">
        <f t="shared" si="5"/>
        <v>286.79999999999973</v>
      </c>
      <c r="Z16" s="4">
        <f t="shared" si="5"/>
        <v>453.89999999999964</v>
      </c>
      <c r="AA16" s="4">
        <f t="shared" si="5"/>
        <v>148.5</v>
      </c>
      <c r="AB16" s="4">
        <f t="shared" si="5"/>
        <v>124.29999999999995</v>
      </c>
      <c r="AD16" s="10">
        <f t="shared" si="3"/>
        <v>20</v>
      </c>
      <c r="AE16" s="4">
        <f>L11/K11</f>
        <v>1.0211913547706906</v>
      </c>
      <c r="AF16" s="4">
        <f>L11/H11</f>
        <v>1.0159429410530731</v>
      </c>
      <c r="AG16" s="4"/>
      <c r="AH16" s="4">
        <f>AH14+AH15</f>
        <v>1186.9680000000001</v>
      </c>
      <c r="AI16" s="4"/>
      <c r="AJ16" s="33" t="s">
        <v>122</v>
      </c>
      <c r="AK16" s="11"/>
      <c r="AL16" s="4"/>
      <c r="AM16" s="4"/>
    </row>
    <row r="17" spans="1:39" ht="15.75" customHeight="1" x14ac:dyDescent="0.25">
      <c r="A17" s="2" t="s">
        <v>60</v>
      </c>
      <c r="B17" s="4">
        <v>-10.9</v>
      </c>
      <c r="C17" s="4">
        <v>-9.4</v>
      </c>
      <c r="D17" s="4">
        <v>-10.199999999999999</v>
      </c>
      <c r="E17" s="4">
        <v>-9</v>
      </c>
      <c r="F17" s="4">
        <v>-10</v>
      </c>
      <c r="G17" s="4">
        <v>-9.6</v>
      </c>
      <c r="H17" s="4">
        <v>-10.7</v>
      </c>
      <c r="I17" s="4">
        <v>-10</v>
      </c>
      <c r="J17" s="4">
        <v>-11.4</v>
      </c>
      <c r="K17" s="4">
        <v>-13.1</v>
      </c>
      <c r="L17" s="4">
        <v>-13.9</v>
      </c>
      <c r="M17" s="4">
        <v>-16.2</v>
      </c>
      <c r="N17" s="4">
        <v>-15.6</v>
      </c>
      <c r="O17" s="4">
        <v>-14.4</v>
      </c>
      <c r="P17" s="4">
        <v>-11.1</v>
      </c>
      <c r="Q17" s="4">
        <v>-11.8</v>
      </c>
      <c r="R17" s="4">
        <v>-17.899999999999999</v>
      </c>
      <c r="S17" s="4">
        <v>-22.6</v>
      </c>
      <c r="T17" s="4">
        <v>-21.4</v>
      </c>
      <c r="U17" s="4">
        <v>-20</v>
      </c>
      <c r="V17" s="4">
        <f>-84.7-U17-T17-S17</f>
        <v>-20.700000000000003</v>
      </c>
      <c r="W17" s="4">
        <v>-26.9</v>
      </c>
      <c r="X17" s="4">
        <v>-34.1</v>
      </c>
      <c r="Y17" s="4">
        <v>-38.5</v>
      </c>
      <c r="Z17" s="4">
        <f>-135.5-Y17-X17-W17</f>
        <v>-36</v>
      </c>
      <c r="AA17" s="4">
        <v>-33.4</v>
      </c>
      <c r="AB17" s="4">
        <v>-36.299999999999997</v>
      </c>
      <c r="AD17" s="10">
        <f t="shared" si="3"/>
        <v>19</v>
      </c>
      <c r="AE17" s="4">
        <f>H11/G11</f>
        <v>0.98015832219594967</v>
      </c>
      <c r="AF17" s="4">
        <f>H11/D11</f>
        <v>0.94144366544880043</v>
      </c>
      <c r="AG17" s="4"/>
      <c r="AH17" s="4">
        <f>AH12-AH16</f>
        <v>224.29718515577633</v>
      </c>
      <c r="AI17" s="4"/>
      <c r="AJ17" s="33" t="s">
        <v>123</v>
      </c>
      <c r="AK17" s="11"/>
      <c r="AL17" s="4"/>
      <c r="AM17" s="4"/>
    </row>
    <row r="18" spans="1:39" ht="15.75" customHeight="1" x14ac:dyDescent="0.25">
      <c r="A18" s="2" t="s">
        <v>61</v>
      </c>
      <c r="B18" s="4">
        <v>-1.4</v>
      </c>
      <c r="C18" s="4">
        <v>-1.5</v>
      </c>
      <c r="D18" s="4">
        <v>-2.1</v>
      </c>
      <c r="E18" s="4">
        <v>3.4</v>
      </c>
      <c r="F18" s="4">
        <v>1.8</v>
      </c>
      <c r="G18" s="4">
        <v>-1.2</v>
      </c>
      <c r="H18" s="4">
        <v>-3.2</v>
      </c>
      <c r="I18" s="4">
        <v>0</v>
      </c>
      <c r="J18" s="4">
        <v>0.7</v>
      </c>
      <c r="K18" s="4">
        <v>3.8</v>
      </c>
      <c r="L18" s="4">
        <v>-2.4</v>
      </c>
      <c r="M18" s="4">
        <v>0.4</v>
      </c>
      <c r="N18" s="4">
        <v>11.6</v>
      </c>
      <c r="O18" s="4">
        <v>9.5</v>
      </c>
      <c r="P18" s="4">
        <v>1</v>
      </c>
      <c r="Q18" s="4">
        <v>-10.6</v>
      </c>
      <c r="R18" s="4">
        <v>72.8</v>
      </c>
      <c r="S18" s="4">
        <v>-2.4</v>
      </c>
      <c r="T18" s="4">
        <v>4.4000000000000004</v>
      </c>
      <c r="U18" s="4">
        <v>-2.7</v>
      </c>
      <c r="V18" s="4">
        <f>-3-U18-T18-S18</f>
        <v>-2.3000000000000003</v>
      </c>
      <c r="W18" s="4">
        <v>-5.2</v>
      </c>
      <c r="X18" s="4">
        <v>-1.9</v>
      </c>
      <c r="Y18" s="4">
        <v>1.8</v>
      </c>
      <c r="Z18" s="4">
        <f>-6-Y18-X18-W18</f>
        <v>-0.70000000000000018</v>
      </c>
      <c r="AA18" s="4">
        <v>-2.1</v>
      </c>
      <c r="AB18" s="4">
        <v>-0.4</v>
      </c>
      <c r="AD18" s="10">
        <f t="shared" si="3"/>
        <v>18</v>
      </c>
      <c r="AE18" s="4">
        <f>D11/C11</f>
        <v>1.0950475778546713</v>
      </c>
      <c r="AF18" s="4"/>
      <c r="AG18" s="4"/>
      <c r="AH18" s="4">
        <f>X17</f>
        <v>-34.1</v>
      </c>
      <c r="AI18" s="4"/>
      <c r="AJ18" s="33" t="s">
        <v>124</v>
      </c>
      <c r="AK18" s="11"/>
      <c r="AL18" s="4"/>
      <c r="AM18" s="4"/>
    </row>
    <row r="19" spans="1:39" ht="15.75" customHeight="1" x14ac:dyDescent="0.25">
      <c r="A19" s="2" t="s">
        <v>62</v>
      </c>
      <c r="B19" s="4">
        <f t="shared" ref="B19:AB19" si="6">B16+B17+B18</f>
        <v>284.70000000000005</v>
      </c>
      <c r="C19" s="4">
        <f t="shared" si="6"/>
        <v>74.399999999999949</v>
      </c>
      <c r="D19" s="4">
        <f t="shared" si="6"/>
        <v>103.39999999999993</v>
      </c>
      <c r="E19" s="4">
        <f t="shared" si="6"/>
        <v>125.29999999999998</v>
      </c>
      <c r="F19" s="4">
        <f t="shared" si="6"/>
        <v>257.89999999999992</v>
      </c>
      <c r="G19" s="4">
        <f t="shared" si="6"/>
        <v>89.199999999999775</v>
      </c>
      <c r="H19" s="4">
        <f t="shared" si="6"/>
        <v>64.30000000000004</v>
      </c>
      <c r="I19" s="4">
        <f t="shared" si="6"/>
        <v>223.5999999999998</v>
      </c>
      <c r="J19" s="4">
        <f t="shared" si="6"/>
        <v>230.09999999999994</v>
      </c>
      <c r="K19" s="4">
        <f t="shared" si="6"/>
        <v>63.699999999999996</v>
      </c>
      <c r="L19" s="4">
        <f t="shared" si="6"/>
        <v>10.400000000000045</v>
      </c>
      <c r="M19" s="4">
        <f t="shared" si="6"/>
        <v>210.50000000000009</v>
      </c>
      <c r="N19" s="4">
        <f t="shared" si="6"/>
        <v>294.89999999999964</v>
      </c>
      <c r="O19" s="4">
        <f t="shared" si="6"/>
        <v>73.700000000000131</v>
      </c>
      <c r="P19" s="4">
        <f t="shared" si="6"/>
        <v>69.400000000000006</v>
      </c>
      <c r="Q19" s="4">
        <f t="shared" si="6"/>
        <v>216.90000000000018</v>
      </c>
      <c r="R19" s="4">
        <f t="shared" si="6"/>
        <v>336.30000000000013</v>
      </c>
      <c r="S19" s="4">
        <f t="shared" si="6"/>
        <v>78.300000000000182</v>
      </c>
      <c r="T19" s="4">
        <f t="shared" si="6"/>
        <v>51.799999999999955</v>
      </c>
      <c r="U19" s="4">
        <f t="shared" si="6"/>
        <v>223.30000000000024</v>
      </c>
      <c r="V19" s="4">
        <f t="shared" si="6"/>
        <v>318.80000000000086</v>
      </c>
      <c r="W19" s="4">
        <f t="shared" si="6"/>
        <v>55.499999999999908</v>
      </c>
      <c r="X19" s="4">
        <f t="shared" si="6"/>
        <v>71.900000000000091</v>
      </c>
      <c r="Y19" s="4">
        <f t="shared" si="6"/>
        <v>250.09999999999974</v>
      </c>
      <c r="Z19" s="4">
        <f t="shared" si="6"/>
        <v>417.19999999999965</v>
      </c>
      <c r="AA19" s="4">
        <f t="shared" si="6"/>
        <v>113</v>
      </c>
      <c r="AB19" s="4">
        <f t="shared" si="6"/>
        <v>87.599999999999952</v>
      </c>
      <c r="AD19" s="10">
        <f t="shared" si="3"/>
        <v>17</v>
      </c>
      <c r="AE19" s="4">
        <f>AVERAGE(AE13:AE18)</f>
        <v>1.0327775411902052</v>
      </c>
      <c r="AF19" s="4"/>
      <c r="AG19" s="4"/>
      <c r="AH19" s="4">
        <f>X18*1.05</f>
        <v>-1.9949999999999999</v>
      </c>
      <c r="AI19" s="4"/>
      <c r="AJ19" s="4"/>
      <c r="AK19" s="11"/>
      <c r="AL19" s="4"/>
      <c r="AM19" s="4"/>
    </row>
    <row r="20" spans="1:39" ht="15.75" customHeight="1" x14ac:dyDescent="0.25">
      <c r="A20" s="2" t="s">
        <v>63</v>
      </c>
      <c r="B20" s="4">
        <v>97.6</v>
      </c>
      <c r="C20" s="4">
        <v>24.4</v>
      </c>
      <c r="D20" s="4">
        <v>41.4</v>
      </c>
      <c r="E20" s="4">
        <v>16.2</v>
      </c>
      <c r="F20" s="4">
        <v>51.1</v>
      </c>
      <c r="G20" s="4">
        <v>12.6</v>
      </c>
      <c r="H20" s="4">
        <v>14.4</v>
      </c>
      <c r="I20" s="4">
        <v>51.4</v>
      </c>
      <c r="J20" s="4">
        <v>46.8</v>
      </c>
      <c r="K20" s="4">
        <v>7.9</v>
      </c>
      <c r="L20" s="4">
        <v>0.4</v>
      </c>
      <c r="M20" s="4">
        <v>43.6</v>
      </c>
      <c r="N20" s="4">
        <v>65.099999999999994</v>
      </c>
      <c r="O20" s="4">
        <v>7.8</v>
      </c>
      <c r="P20" s="4">
        <v>13.1</v>
      </c>
      <c r="Q20" s="4">
        <v>51.9</v>
      </c>
      <c r="R20" s="4">
        <v>75.900000000000006</v>
      </c>
      <c r="S20" s="4">
        <v>11</v>
      </c>
      <c r="T20" s="4">
        <v>4.7</v>
      </c>
      <c r="U20" s="4">
        <v>46.8</v>
      </c>
      <c r="V20" s="4">
        <f>133.1-U20-T20-S20</f>
        <v>70.599999999999994</v>
      </c>
      <c r="W20" s="4">
        <v>5</v>
      </c>
      <c r="X20" s="4">
        <v>14.4</v>
      </c>
      <c r="Y20" s="4">
        <v>51.6</v>
      </c>
      <c r="Z20" s="4">
        <f>164.3-Y20-X20-W20</f>
        <v>93.300000000000011</v>
      </c>
      <c r="AA20" s="4">
        <v>22</v>
      </c>
      <c r="AB20" s="4">
        <v>17.399999999999999</v>
      </c>
      <c r="AD20" s="37"/>
      <c r="AH20" s="4">
        <f>SUM(AH17:AH19)</f>
        <v>188.20218515577633</v>
      </c>
      <c r="AI20" s="4"/>
      <c r="AJ20" s="4"/>
      <c r="AK20" s="11"/>
      <c r="AL20" s="4"/>
      <c r="AM20" s="4"/>
    </row>
    <row r="21" spans="1:39" ht="13" x14ac:dyDescent="0.3">
      <c r="A21" s="15" t="s">
        <v>64</v>
      </c>
      <c r="B21" s="3">
        <f t="shared" ref="B21:AB21" si="7">B19-B20</f>
        <v>187.10000000000005</v>
      </c>
      <c r="C21" s="3">
        <f t="shared" si="7"/>
        <v>49.99999999999995</v>
      </c>
      <c r="D21" s="3">
        <f t="shared" si="7"/>
        <v>61.999999999999936</v>
      </c>
      <c r="E21" s="3">
        <f t="shared" si="7"/>
        <v>109.09999999999998</v>
      </c>
      <c r="F21" s="3">
        <f t="shared" si="7"/>
        <v>206.79999999999993</v>
      </c>
      <c r="G21" s="3">
        <f t="shared" si="7"/>
        <v>76.599999999999781</v>
      </c>
      <c r="H21" s="3">
        <f t="shared" si="7"/>
        <v>49.900000000000041</v>
      </c>
      <c r="I21" s="3">
        <f t="shared" si="7"/>
        <v>172.19999999999979</v>
      </c>
      <c r="J21" s="3">
        <f t="shared" si="7"/>
        <v>183.29999999999995</v>
      </c>
      <c r="K21" s="3">
        <f t="shared" si="7"/>
        <v>55.8</v>
      </c>
      <c r="L21" s="3">
        <f t="shared" si="7"/>
        <v>10.000000000000044</v>
      </c>
      <c r="M21" s="3">
        <f t="shared" si="7"/>
        <v>166.90000000000009</v>
      </c>
      <c r="N21" s="3">
        <f t="shared" si="7"/>
        <v>229.79999999999964</v>
      </c>
      <c r="O21" s="3">
        <f t="shared" si="7"/>
        <v>65.900000000000134</v>
      </c>
      <c r="P21" s="3">
        <f t="shared" si="7"/>
        <v>56.300000000000004</v>
      </c>
      <c r="Q21" s="3">
        <f t="shared" si="7"/>
        <v>165.00000000000017</v>
      </c>
      <c r="R21" s="3">
        <f t="shared" si="7"/>
        <v>260.40000000000009</v>
      </c>
      <c r="S21" s="3">
        <f t="shared" si="7"/>
        <v>67.300000000000182</v>
      </c>
      <c r="T21" s="3">
        <f t="shared" si="7"/>
        <v>47.099999999999952</v>
      </c>
      <c r="U21" s="3">
        <f t="shared" si="7"/>
        <v>176.50000000000023</v>
      </c>
      <c r="V21" s="3">
        <f t="shared" si="7"/>
        <v>248.20000000000087</v>
      </c>
      <c r="W21" s="3">
        <f t="shared" si="7"/>
        <v>50.499999999999908</v>
      </c>
      <c r="X21" s="3">
        <f t="shared" si="7"/>
        <v>57.500000000000092</v>
      </c>
      <c r="Y21" s="3">
        <f t="shared" si="7"/>
        <v>198.49999999999974</v>
      </c>
      <c r="Z21" s="3">
        <f t="shared" si="7"/>
        <v>323.89999999999964</v>
      </c>
      <c r="AA21" s="3">
        <f t="shared" si="7"/>
        <v>91</v>
      </c>
      <c r="AB21" s="3">
        <f t="shared" si="7"/>
        <v>70.19999999999996</v>
      </c>
      <c r="AD21" s="13" t="s">
        <v>119</v>
      </c>
      <c r="AE21" s="3"/>
      <c r="AF21" s="3"/>
      <c r="AG21" s="3"/>
      <c r="AH21" s="4">
        <f>85</f>
        <v>85</v>
      </c>
      <c r="AI21" s="4"/>
      <c r="AJ21" s="3" t="s">
        <v>65</v>
      </c>
      <c r="AK21" s="14"/>
      <c r="AL21" s="3"/>
      <c r="AM21" s="3"/>
    </row>
    <row r="22" spans="1:39" ht="13" x14ac:dyDescent="0.3">
      <c r="A22" s="16" t="s">
        <v>66</v>
      </c>
      <c r="B22" s="17">
        <f t="shared" ref="B22:U22" si="8">B21/B23</f>
        <v>1.5977796754910338</v>
      </c>
      <c r="C22" s="17">
        <f t="shared" si="8"/>
        <v>0.42918454935622274</v>
      </c>
      <c r="D22" s="17">
        <f t="shared" si="8"/>
        <v>0.53173241852487085</v>
      </c>
      <c r="E22" s="17">
        <f t="shared" si="8"/>
        <v>0.9332763045337894</v>
      </c>
      <c r="F22" s="17">
        <f t="shared" si="8"/>
        <v>1.7645051194539243</v>
      </c>
      <c r="G22" s="17">
        <f t="shared" si="8"/>
        <v>0.65807560137456855</v>
      </c>
      <c r="H22" s="17">
        <f t="shared" si="8"/>
        <v>0.42906276870163407</v>
      </c>
      <c r="I22" s="17">
        <f t="shared" si="8"/>
        <v>1.488331892826273</v>
      </c>
      <c r="J22" s="17">
        <f t="shared" si="8"/>
        <v>1.5897658282740672</v>
      </c>
      <c r="K22" s="17">
        <f t="shared" si="8"/>
        <v>0.4877622377622377</v>
      </c>
      <c r="L22" s="17">
        <f t="shared" si="8"/>
        <v>8.7183958151700477E-2</v>
      </c>
      <c r="M22" s="17">
        <f t="shared" si="8"/>
        <v>1.4563699825479939</v>
      </c>
      <c r="N22" s="17">
        <f t="shared" si="8"/>
        <v>1.9982608695652142</v>
      </c>
      <c r="O22" s="17">
        <f t="shared" si="8"/>
        <v>0.57155247181266378</v>
      </c>
      <c r="P22" s="17">
        <f t="shared" si="8"/>
        <v>0.48660328435609335</v>
      </c>
      <c r="Q22" s="17">
        <f t="shared" si="8"/>
        <v>1.424870466321245</v>
      </c>
      <c r="R22" s="17">
        <f t="shared" si="8"/>
        <v>2.2428940568475459</v>
      </c>
      <c r="S22" s="17">
        <f t="shared" si="8"/>
        <v>0.57917383820998436</v>
      </c>
      <c r="T22" s="17">
        <f t="shared" si="8"/>
        <v>0.40394511149228091</v>
      </c>
      <c r="U22" s="17">
        <f t="shared" si="8"/>
        <v>1.5111301369863033</v>
      </c>
      <c r="V22" s="17">
        <f>4.62-U22-T22-S22</f>
        <v>2.1257509133114314</v>
      </c>
      <c r="W22" s="17">
        <f t="shared" ref="W22:Y22" si="9">W21/W23</f>
        <v>0.42978723404255242</v>
      </c>
      <c r="X22" s="17">
        <f t="shared" si="9"/>
        <v>0.48936170212766034</v>
      </c>
      <c r="Y22" s="17">
        <f t="shared" si="9"/>
        <v>1.6864910790144414</v>
      </c>
      <c r="Z22" s="17">
        <f>5.35-Y22-X22-W22</f>
        <v>2.7443599848153455</v>
      </c>
      <c r="AA22" s="17">
        <f t="shared" ref="AA22:AB22" si="10">AA21/AA23</f>
        <v>0.77184054283290926</v>
      </c>
      <c r="AB22" s="17">
        <f t="shared" si="10"/>
        <v>0.59643160577739984</v>
      </c>
      <c r="AD22" s="10" t="s">
        <v>67</v>
      </c>
      <c r="AE22" s="4" t="s">
        <v>68</v>
      </c>
      <c r="AF22" s="4"/>
      <c r="AG22" s="4"/>
      <c r="AH22" s="4">
        <f>AH20-AH21</f>
        <v>103.20218515577633</v>
      </c>
      <c r="AI22" s="4"/>
      <c r="AJ22" s="4" t="s">
        <v>69</v>
      </c>
      <c r="AK22" s="11"/>
      <c r="AL22" s="4"/>
      <c r="AM22" s="4"/>
    </row>
    <row r="23" spans="1:39" ht="15.75" customHeight="1" x14ac:dyDescent="0.3">
      <c r="A23" s="2" t="s">
        <v>70</v>
      </c>
      <c r="B23" s="4">
        <v>117.1</v>
      </c>
      <c r="C23" s="4">
        <v>116.5</v>
      </c>
      <c r="D23" s="4">
        <v>116.6</v>
      </c>
      <c r="E23" s="4">
        <v>116.9</v>
      </c>
      <c r="F23" s="4">
        <v>117.2</v>
      </c>
      <c r="G23" s="4">
        <v>116.4</v>
      </c>
      <c r="H23" s="4">
        <v>116.3</v>
      </c>
      <c r="I23" s="4">
        <v>115.7</v>
      </c>
      <c r="J23" s="4">
        <v>115.3</v>
      </c>
      <c r="K23" s="4">
        <v>114.4</v>
      </c>
      <c r="L23" s="4">
        <v>114.7</v>
      </c>
      <c r="M23" s="4">
        <v>114.6</v>
      </c>
      <c r="N23" s="4">
        <v>115</v>
      </c>
      <c r="O23" s="4">
        <v>115.3</v>
      </c>
      <c r="P23" s="4">
        <v>115.7</v>
      </c>
      <c r="Q23" s="4">
        <v>115.8</v>
      </c>
      <c r="R23" s="4">
        <v>116.1</v>
      </c>
      <c r="S23" s="4">
        <v>116.2</v>
      </c>
      <c r="T23" s="4">
        <v>116.6</v>
      </c>
      <c r="U23" s="4">
        <v>116.8</v>
      </c>
      <c r="V23" s="4">
        <f>V21/V22</f>
        <v>116.75874085048012</v>
      </c>
      <c r="W23" s="4">
        <v>117.5</v>
      </c>
      <c r="X23" s="4">
        <v>117.5</v>
      </c>
      <c r="Y23" s="4">
        <v>117.7</v>
      </c>
      <c r="Z23" s="4">
        <f>Z21/Z22</f>
        <v>118.02387507183876</v>
      </c>
      <c r="AA23" s="4">
        <v>117.9</v>
      </c>
      <c r="AB23" s="4">
        <v>117.7</v>
      </c>
      <c r="AD23" s="31" t="s">
        <v>71</v>
      </c>
      <c r="AE23" s="4"/>
      <c r="AF23" s="4"/>
      <c r="AG23" s="4"/>
      <c r="AH23" s="4">
        <f>AH22/AA23</f>
        <v>0.87533660013381109</v>
      </c>
      <c r="AI23" s="4"/>
      <c r="AJ23" s="4" t="s">
        <v>72</v>
      </c>
      <c r="AK23" s="11"/>
      <c r="AL23" s="4"/>
      <c r="AM23" s="4"/>
    </row>
    <row r="24" spans="1:39" ht="13" x14ac:dyDescent="0.3">
      <c r="A24" s="18" t="s">
        <v>73</v>
      </c>
      <c r="B24" s="19">
        <f t="shared" ref="B24:AB24" si="11">B6/B11</f>
        <v>0.8635654306308983</v>
      </c>
      <c r="C24" s="19">
        <f t="shared" si="11"/>
        <v>0.7854671280276817</v>
      </c>
      <c r="D24" s="19">
        <f t="shared" si="11"/>
        <v>0.79204107830551984</v>
      </c>
      <c r="E24" s="19">
        <f t="shared" si="11"/>
        <v>0.79794776119402988</v>
      </c>
      <c r="F24" s="19">
        <f t="shared" si="11"/>
        <v>0.84192986442475193</v>
      </c>
      <c r="G24" s="19">
        <f t="shared" si="11"/>
        <v>0.7871902950550016</v>
      </c>
      <c r="H24" s="19">
        <f t="shared" si="11"/>
        <v>0.7742815187749108</v>
      </c>
      <c r="I24" s="19">
        <f t="shared" si="11"/>
        <v>0.83042129327237113</v>
      </c>
      <c r="J24" s="19">
        <f t="shared" si="11"/>
        <v>0.81745376486129462</v>
      </c>
      <c r="K24" s="19">
        <f t="shared" si="11"/>
        <v>0.74074855034264631</v>
      </c>
      <c r="L24" s="19">
        <f t="shared" si="11"/>
        <v>0.73869502374561224</v>
      </c>
      <c r="M24" s="19">
        <f t="shared" si="11"/>
        <v>0.78422273781902552</v>
      </c>
      <c r="N24" s="19">
        <f t="shared" si="11"/>
        <v>0.80242290748898681</v>
      </c>
      <c r="O24" s="19">
        <f t="shared" si="11"/>
        <v>0.74002358954196967</v>
      </c>
      <c r="P24" s="19">
        <f t="shared" si="11"/>
        <v>0.74303317535545021</v>
      </c>
      <c r="Q24" s="19">
        <f t="shared" si="11"/>
        <v>0.7982443517052813</v>
      </c>
      <c r="R24" s="19">
        <f t="shared" si="11"/>
        <v>0.79753199268738562</v>
      </c>
      <c r="S24" s="19">
        <f t="shared" si="11"/>
        <v>0.7154832760499622</v>
      </c>
      <c r="T24" s="19">
        <f t="shared" si="11"/>
        <v>0.70869392616117499</v>
      </c>
      <c r="U24" s="19">
        <f t="shared" si="11"/>
        <v>0.75594966421073229</v>
      </c>
      <c r="V24" s="19">
        <f t="shared" si="11"/>
        <v>0.78421358096343585</v>
      </c>
      <c r="W24" s="19">
        <f t="shared" si="11"/>
        <v>0.71736928231902131</v>
      </c>
      <c r="X24" s="19">
        <f t="shared" si="11"/>
        <v>0.71111454868899371</v>
      </c>
      <c r="Y24" s="19">
        <f t="shared" si="11"/>
        <v>0.76393024245002128</v>
      </c>
      <c r="Z24" s="19">
        <f t="shared" si="11"/>
        <v>0.78219490972373285</v>
      </c>
      <c r="AA24" s="19">
        <f t="shared" si="11"/>
        <v>0.71881769268394946</v>
      </c>
      <c r="AB24" s="19">
        <f t="shared" si="11"/>
        <v>0.71143853655064415</v>
      </c>
      <c r="AD24" s="20" t="s">
        <v>74</v>
      </c>
      <c r="AE24" s="32" t="s">
        <v>120</v>
      </c>
      <c r="AF24" s="19"/>
      <c r="AG24" s="19"/>
      <c r="AI24" s="4"/>
      <c r="AJ24" s="18" t="s">
        <v>75</v>
      </c>
      <c r="AK24" s="21"/>
      <c r="AL24" s="19"/>
      <c r="AM24" s="19"/>
    </row>
    <row r="25" spans="1:39" x14ac:dyDescent="0.3">
      <c r="A25" s="18" t="s">
        <v>76</v>
      </c>
      <c r="B25" s="19">
        <f t="shared" ref="B25:AB25" si="12">1-B24</f>
        <v>0.1364345693691017</v>
      </c>
      <c r="C25" s="19">
        <f t="shared" si="12"/>
        <v>0.2145328719723183</v>
      </c>
      <c r="D25" s="19">
        <f t="shared" si="12"/>
        <v>0.20795892169448016</v>
      </c>
      <c r="E25" s="19">
        <f t="shared" si="12"/>
        <v>0.20205223880597012</v>
      </c>
      <c r="F25" s="19">
        <f t="shared" si="12"/>
        <v>0.15807013557524807</v>
      </c>
      <c r="G25" s="19">
        <f t="shared" si="12"/>
        <v>0.2128097049449984</v>
      </c>
      <c r="H25" s="19">
        <f t="shared" si="12"/>
        <v>0.2257184812250892</v>
      </c>
      <c r="I25" s="19">
        <f t="shared" si="12"/>
        <v>0.16957870672762887</v>
      </c>
      <c r="J25" s="19">
        <f t="shared" si="12"/>
        <v>0.18254623513870538</v>
      </c>
      <c r="K25" s="19">
        <f t="shared" si="12"/>
        <v>0.25925144965735369</v>
      </c>
      <c r="L25" s="19">
        <f t="shared" si="12"/>
        <v>0.26130497625438776</v>
      </c>
      <c r="M25" s="19">
        <f t="shared" si="12"/>
        <v>0.21577726218097448</v>
      </c>
      <c r="N25" s="19">
        <f t="shared" si="12"/>
        <v>0.19757709251101319</v>
      </c>
      <c r="O25" s="19">
        <f t="shared" si="12"/>
        <v>0.25997641045803033</v>
      </c>
      <c r="P25" s="19">
        <f t="shared" si="12"/>
        <v>0.25696682464454979</v>
      </c>
      <c r="Q25" s="19">
        <f t="shared" si="12"/>
        <v>0.2017556482947187</v>
      </c>
      <c r="R25" s="19">
        <f t="shared" si="12"/>
        <v>0.20246800731261438</v>
      </c>
      <c r="S25" s="19">
        <f t="shared" si="12"/>
        <v>0.2845167239500378</v>
      </c>
      <c r="T25" s="19">
        <f t="shared" si="12"/>
        <v>0.29130607383882501</v>
      </c>
      <c r="U25" s="19">
        <f t="shared" si="12"/>
        <v>0.24405033578926771</v>
      </c>
      <c r="V25" s="19">
        <f t="shared" si="12"/>
        <v>0.21578641903656415</v>
      </c>
      <c r="W25" s="19">
        <f t="shared" si="12"/>
        <v>0.28263071768097869</v>
      </c>
      <c r="X25" s="19">
        <f t="shared" si="12"/>
        <v>0.28888545131100629</v>
      </c>
      <c r="Y25" s="19">
        <f t="shared" si="12"/>
        <v>0.23606975754997872</v>
      </c>
      <c r="Z25" s="19">
        <f t="shared" si="12"/>
        <v>0.21780509027626715</v>
      </c>
      <c r="AA25" s="19">
        <f t="shared" si="12"/>
        <v>0.28118230731605054</v>
      </c>
      <c r="AB25" s="19">
        <f t="shared" si="12"/>
        <v>0.28856146344935585</v>
      </c>
      <c r="AD25" s="20" t="s">
        <v>77</v>
      </c>
      <c r="AE25" s="19"/>
      <c r="AF25" s="19"/>
      <c r="AG25" s="19"/>
      <c r="AH25" s="19"/>
      <c r="AI25" s="19"/>
      <c r="AJ25" s="18" t="s">
        <v>78</v>
      </c>
      <c r="AK25" s="21"/>
      <c r="AL25" s="19"/>
      <c r="AM25" s="19"/>
    </row>
    <row r="26" spans="1:39" ht="13" x14ac:dyDescent="0.3">
      <c r="A26" s="18" t="s">
        <v>79</v>
      </c>
      <c r="B26" s="19">
        <f t="shared" ref="B26:AB26" si="13">B21/B11</f>
        <v>0.13903544623615965</v>
      </c>
      <c r="C26" s="19">
        <f t="shared" si="13"/>
        <v>5.4065743944636625E-2</v>
      </c>
      <c r="D26" s="19">
        <f t="shared" si="13"/>
        <v>6.1222474572923805E-2</v>
      </c>
      <c r="E26" s="19">
        <f t="shared" si="13"/>
        <v>0.10177238805970147</v>
      </c>
      <c r="F26" s="19">
        <f t="shared" si="13"/>
        <v>0.15663106869650831</v>
      </c>
      <c r="G26" s="19">
        <f t="shared" si="13"/>
        <v>7.8749871491723855E-2</v>
      </c>
      <c r="H26" s="19">
        <f t="shared" si="13"/>
        <v>5.2338997272918013E-2</v>
      </c>
      <c r="I26" s="19">
        <f t="shared" si="13"/>
        <v>0.14059438275636824</v>
      </c>
      <c r="J26" s="19">
        <f t="shared" si="13"/>
        <v>0.15133751651254951</v>
      </c>
      <c r="K26" s="19">
        <f t="shared" si="13"/>
        <v>5.8829731154454397E-2</v>
      </c>
      <c r="L26" s="19">
        <f t="shared" si="13"/>
        <v>1.0324179227751439E-2</v>
      </c>
      <c r="M26" s="19">
        <f t="shared" si="13"/>
        <v>0.13353068245459643</v>
      </c>
      <c r="N26" s="19">
        <f t="shared" si="13"/>
        <v>0.16872246696035217</v>
      </c>
      <c r="O26" s="19">
        <f t="shared" si="13"/>
        <v>6.4772950658541509E-2</v>
      </c>
      <c r="P26" s="19">
        <f t="shared" si="13"/>
        <v>5.3364928909952612E-2</v>
      </c>
      <c r="Q26" s="19">
        <f t="shared" si="13"/>
        <v>0.11872211829040161</v>
      </c>
      <c r="R26" s="19">
        <f t="shared" si="13"/>
        <v>0.17001828153564905</v>
      </c>
      <c r="S26" s="19">
        <f t="shared" si="13"/>
        <v>5.6417134713723005E-2</v>
      </c>
      <c r="T26" s="19">
        <f t="shared" si="13"/>
        <v>3.7395791980944781E-2</v>
      </c>
      <c r="U26" s="19">
        <f t="shared" si="13"/>
        <v>0.11508117624046438</v>
      </c>
      <c r="V26" s="19">
        <f t="shared" si="13"/>
        <v>0.14405107370864817</v>
      </c>
      <c r="W26" s="19">
        <f t="shared" si="13"/>
        <v>3.9351671471986212E-2</v>
      </c>
      <c r="X26" s="19">
        <f t="shared" si="13"/>
        <v>4.4473663856446813E-2</v>
      </c>
      <c r="Y26" s="19">
        <f t="shared" si="13"/>
        <v>0.12061736647019491</v>
      </c>
      <c r="Z26" s="19">
        <f t="shared" si="13"/>
        <v>0.17614748749184234</v>
      </c>
      <c r="AA26" s="19">
        <f t="shared" si="13"/>
        <v>6.3587450213122773E-2</v>
      </c>
      <c r="AB26" s="19">
        <f t="shared" si="13"/>
        <v>4.9967969250480429E-2</v>
      </c>
      <c r="AD26" s="20" t="s">
        <v>80</v>
      </c>
      <c r="AE26" s="19"/>
      <c r="AF26" s="19"/>
      <c r="AG26" s="19"/>
      <c r="AH26" s="19"/>
      <c r="AI26" s="19"/>
      <c r="AJ26" s="18" t="s">
        <v>81</v>
      </c>
      <c r="AK26" s="21"/>
      <c r="AL26" s="19"/>
      <c r="AM26" s="19"/>
    </row>
    <row r="27" spans="1:39" ht="13" x14ac:dyDescent="0.3">
      <c r="A27" s="18" t="s">
        <v>82</v>
      </c>
      <c r="B27" s="22">
        <v>0</v>
      </c>
      <c r="C27" s="19">
        <f t="shared" ref="C27:AB27" si="14">(C11/B11)-1</f>
        <v>-0.31277402095563656</v>
      </c>
      <c r="D27" s="19">
        <f t="shared" si="14"/>
        <v>9.5047577854671328E-2</v>
      </c>
      <c r="E27" s="19">
        <f t="shared" si="14"/>
        <v>5.8556334551199907E-2</v>
      </c>
      <c r="F27" s="19">
        <f t="shared" si="14"/>
        <v>0.23162313432835813</v>
      </c>
      <c r="G27" s="19">
        <f t="shared" si="14"/>
        <v>-0.26327349844732273</v>
      </c>
      <c r="H27" s="19">
        <f t="shared" si="14"/>
        <v>-1.9841677804050328E-2</v>
      </c>
      <c r="I27" s="19">
        <f t="shared" si="14"/>
        <v>0.28466540801342521</v>
      </c>
      <c r="J27" s="19">
        <f t="shared" si="14"/>
        <v>-1.1103853690398124E-2</v>
      </c>
      <c r="K27" s="19">
        <f t="shared" si="14"/>
        <v>-0.21689233817701459</v>
      </c>
      <c r="L27" s="19">
        <f t="shared" si="14"/>
        <v>2.1191354770690563E-2</v>
      </c>
      <c r="M27" s="19">
        <f t="shared" si="14"/>
        <v>0.29041916167664672</v>
      </c>
      <c r="N27" s="19">
        <f t="shared" si="14"/>
        <v>8.9687174973997585E-2</v>
      </c>
      <c r="O27" s="19">
        <f t="shared" si="14"/>
        <v>-0.25301027900146822</v>
      </c>
      <c r="P27" s="19">
        <f t="shared" si="14"/>
        <v>3.6956949085905189E-2</v>
      </c>
      <c r="Q27" s="19">
        <f t="shared" si="14"/>
        <v>0.31734597156398126</v>
      </c>
      <c r="R27" s="19">
        <f t="shared" si="14"/>
        <v>0.10202906893078145</v>
      </c>
      <c r="S27" s="19">
        <f t="shared" si="14"/>
        <v>-0.22114129015408723</v>
      </c>
      <c r="T27" s="19">
        <f t="shared" si="14"/>
        <v>5.5830329449241267E-2</v>
      </c>
      <c r="U27" s="19">
        <f t="shared" si="14"/>
        <v>0.21770543866613745</v>
      </c>
      <c r="V27" s="19">
        <f t="shared" si="14"/>
        <v>0.12342700658538197</v>
      </c>
      <c r="W27" s="19">
        <f t="shared" si="14"/>
        <v>-0.25519442832269323</v>
      </c>
      <c r="X27" s="19">
        <f t="shared" si="14"/>
        <v>7.4807137847736627E-3</v>
      </c>
      <c r="Y27" s="19">
        <f t="shared" si="14"/>
        <v>0.27287493232268512</v>
      </c>
      <c r="Z27" s="19">
        <f t="shared" si="14"/>
        <v>0.11733608798687478</v>
      </c>
      <c r="AA27" s="19">
        <f t="shared" si="14"/>
        <v>-0.2217206874048292</v>
      </c>
      <c r="AB27" s="19">
        <f t="shared" si="14"/>
        <v>-1.830759555586603E-2</v>
      </c>
      <c r="AD27" s="23" t="s">
        <v>83</v>
      </c>
      <c r="AE27" s="24" t="s">
        <v>84</v>
      </c>
      <c r="AF27" s="24"/>
      <c r="AG27" s="24"/>
      <c r="AH27" s="24"/>
      <c r="AI27" s="24"/>
      <c r="AJ27" s="24"/>
      <c r="AK27" s="25"/>
      <c r="AL27" s="22"/>
      <c r="AM27" s="22"/>
    </row>
    <row r="28" spans="1:39" ht="13" x14ac:dyDescent="0.3">
      <c r="A28" s="26" t="s">
        <v>85</v>
      </c>
      <c r="B28" s="22">
        <v>0</v>
      </c>
      <c r="C28" s="19">
        <f t="shared" ref="C28:AB28" si="15">(C21/B21)-1</f>
        <v>-0.73276322822020346</v>
      </c>
      <c r="D28" s="19">
        <f t="shared" si="15"/>
        <v>0.24</v>
      </c>
      <c r="E28" s="19">
        <f t="shared" si="15"/>
        <v>0.75967741935484012</v>
      </c>
      <c r="F28" s="19">
        <f t="shared" si="15"/>
        <v>0.89550870760769907</v>
      </c>
      <c r="G28" s="19">
        <f t="shared" si="15"/>
        <v>-0.62959381044487528</v>
      </c>
      <c r="H28" s="19">
        <f t="shared" si="15"/>
        <v>-0.34856396866840489</v>
      </c>
      <c r="I28" s="19">
        <f t="shared" si="15"/>
        <v>2.4509018036072074</v>
      </c>
      <c r="J28" s="19">
        <f t="shared" si="15"/>
        <v>6.4459930313589986E-2</v>
      </c>
      <c r="K28" s="19">
        <f t="shared" si="15"/>
        <v>-0.69558101472995082</v>
      </c>
      <c r="L28" s="19">
        <f t="shared" si="15"/>
        <v>-0.82078853046594902</v>
      </c>
      <c r="M28" s="19">
        <f t="shared" si="15"/>
        <v>15.689999999999934</v>
      </c>
      <c r="N28" s="19">
        <f t="shared" si="15"/>
        <v>0.37687237866985934</v>
      </c>
      <c r="O28" s="19">
        <f t="shared" si="15"/>
        <v>-0.71322889469103468</v>
      </c>
      <c r="P28" s="19">
        <f t="shared" si="15"/>
        <v>-0.14567526555387111</v>
      </c>
      <c r="Q28" s="19">
        <f t="shared" si="15"/>
        <v>1.9307282415630578</v>
      </c>
      <c r="R28" s="19">
        <f t="shared" si="15"/>
        <v>0.57818181818181702</v>
      </c>
      <c r="S28" s="19">
        <f t="shared" si="15"/>
        <v>-0.74155145929339417</v>
      </c>
      <c r="T28" s="19">
        <f t="shared" si="15"/>
        <v>-0.30014858841010661</v>
      </c>
      <c r="U28" s="19">
        <f t="shared" si="15"/>
        <v>2.7473460721868452</v>
      </c>
      <c r="V28" s="19">
        <f t="shared" si="15"/>
        <v>0.40623229461756694</v>
      </c>
      <c r="W28" s="19">
        <f t="shared" si="15"/>
        <v>-0.7965350523771163</v>
      </c>
      <c r="X28" s="19">
        <f t="shared" si="15"/>
        <v>0.13861386138614251</v>
      </c>
      <c r="Y28" s="19">
        <f t="shared" si="15"/>
        <v>2.4521739130434681</v>
      </c>
      <c r="Z28" s="19">
        <f t="shared" si="15"/>
        <v>0.63173803526448391</v>
      </c>
      <c r="AA28" s="19">
        <f t="shared" si="15"/>
        <v>-0.71904908922506916</v>
      </c>
      <c r="AB28" s="19">
        <f t="shared" si="15"/>
        <v>-0.22857142857142898</v>
      </c>
      <c r="AD28" s="22"/>
      <c r="AE28" s="22"/>
      <c r="AF28" s="22"/>
      <c r="AG28" s="22"/>
      <c r="AH28" s="22"/>
      <c r="AI28" s="22"/>
      <c r="AJ28" s="22"/>
      <c r="AK28" s="22"/>
      <c r="AL28" s="22"/>
      <c r="AM28" s="22"/>
    </row>
    <row r="29" spans="1:39" ht="13" x14ac:dyDescent="0.3">
      <c r="A29" s="18" t="s">
        <v>86</v>
      </c>
      <c r="B29" s="22">
        <v>0</v>
      </c>
      <c r="C29" s="19">
        <f t="shared" ref="C29:AB29" si="16">(C6/B6)-1</f>
        <v>-0.37492470527493327</v>
      </c>
      <c r="D29" s="19">
        <f t="shared" si="16"/>
        <v>0.10421255506607929</v>
      </c>
      <c r="E29" s="19">
        <f t="shared" si="16"/>
        <v>6.6450567260940119E-2</v>
      </c>
      <c r="F29" s="19">
        <f t="shared" si="16"/>
        <v>0.29950900163666105</v>
      </c>
      <c r="G29" s="19">
        <f t="shared" si="16"/>
        <v>-0.31117308384310904</v>
      </c>
      <c r="H29" s="19">
        <f t="shared" si="16"/>
        <v>-3.5914849157633433E-2</v>
      </c>
      <c r="I29" s="19">
        <f t="shared" si="16"/>
        <v>0.37781089135735546</v>
      </c>
      <c r="J29" s="19">
        <f t="shared" si="16"/>
        <v>-2.6546062334086962E-2</v>
      </c>
      <c r="K29" s="19">
        <f t="shared" si="16"/>
        <v>-0.29037470962529033</v>
      </c>
      <c r="L29" s="19">
        <f t="shared" si="16"/>
        <v>1.83603757472246E-2</v>
      </c>
      <c r="M29" s="19">
        <f t="shared" si="16"/>
        <v>0.36995108315863034</v>
      </c>
      <c r="N29" s="19">
        <f t="shared" si="16"/>
        <v>0.11497653540093844</v>
      </c>
      <c r="O29" s="19">
        <f t="shared" si="16"/>
        <v>-0.31109891115381094</v>
      </c>
      <c r="P29" s="19">
        <f t="shared" si="16"/>
        <v>4.1174126710054493E-2</v>
      </c>
      <c r="Q29" s="19">
        <f t="shared" si="16"/>
        <v>0.41523153463451989</v>
      </c>
      <c r="R29" s="19">
        <f t="shared" si="16"/>
        <v>0.10104561023976921</v>
      </c>
      <c r="S29" s="19">
        <f t="shared" si="16"/>
        <v>-0.30126893164142443</v>
      </c>
      <c r="T29" s="19">
        <f t="shared" si="16"/>
        <v>4.58113649677796E-2</v>
      </c>
      <c r="U29" s="19">
        <f t="shared" si="16"/>
        <v>0.29890208380013461</v>
      </c>
      <c r="V29" s="19">
        <f t="shared" si="16"/>
        <v>0.16543039503191315</v>
      </c>
      <c r="W29" s="19">
        <f t="shared" si="16"/>
        <v>-0.31867969212551817</v>
      </c>
      <c r="X29" s="19">
        <f t="shared" si="16"/>
        <v>-1.3034977188790542E-3</v>
      </c>
      <c r="Y29" s="19">
        <f t="shared" si="16"/>
        <v>0.36741353056341075</v>
      </c>
      <c r="Z29" s="19">
        <f t="shared" si="16"/>
        <v>0.1440502704422526</v>
      </c>
      <c r="AA29" s="19">
        <f t="shared" si="16"/>
        <v>-0.28478064381561552</v>
      </c>
      <c r="AB29" s="19">
        <f t="shared" si="16"/>
        <v>-2.8385340721298724E-2</v>
      </c>
    </row>
    <row r="30" spans="1:39" ht="13" x14ac:dyDescent="0.3">
      <c r="A30" s="18" t="s">
        <v>87</v>
      </c>
      <c r="B30" s="22">
        <v>0</v>
      </c>
      <c r="C30" s="19">
        <f t="shared" ref="C30:AB30" si="17">(C9/B9)-1</f>
        <v>2.1387832699619747E-2</v>
      </c>
      <c r="D30" s="19">
        <f t="shared" si="17"/>
        <v>6.0958585388552811E-2</v>
      </c>
      <c r="E30" s="19">
        <f t="shared" si="17"/>
        <v>3.1578947368420929E-2</v>
      </c>
      <c r="F30" s="19">
        <f t="shared" si="17"/>
        <v>-7.2278911564624959E-3</v>
      </c>
      <c r="G30" s="19">
        <f t="shared" si="17"/>
        <v>-2.4839400428265601E-2</v>
      </c>
      <c r="H30" s="19">
        <f t="shared" si="17"/>
        <v>3.9086517347386884E-2</v>
      </c>
      <c r="I30" s="19">
        <f t="shared" si="17"/>
        <v>0</v>
      </c>
      <c r="J30" s="19">
        <f t="shared" si="17"/>
        <v>6.7624683009298359E-2</v>
      </c>
      <c r="K30" s="19">
        <f t="shared" si="17"/>
        <v>8.4323040380047454E-2</v>
      </c>
      <c r="L30" s="19">
        <f t="shared" si="17"/>
        <v>2.5556772544724327E-2</v>
      </c>
      <c r="M30" s="19">
        <f t="shared" si="17"/>
        <v>8.7575649697401392E-2</v>
      </c>
      <c r="N30" s="19">
        <f t="shared" si="17"/>
        <v>2.7495908346972131E-2</v>
      </c>
      <c r="O30" s="19">
        <f t="shared" si="17"/>
        <v>-5.7024530105128979E-2</v>
      </c>
      <c r="P30" s="19">
        <f t="shared" si="17"/>
        <v>2.1283783783783816E-2</v>
      </c>
      <c r="Q30" s="19">
        <f t="shared" si="17"/>
        <v>3.7049288785974133E-2</v>
      </c>
      <c r="R30" s="19">
        <f t="shared" si="17"/>
        <v>0.10430622009569368</v>
      </c>
      <c r="S30" s="19">
        <f t="shared" si="17"/>
        <v>-1.9641825534373214E-2</v>
      </c>
      <c r="T30" s="19">
        <f t="shared" si="17"/>
        <v>8.102533883323515E-2</v>
      </c>
      <c r="U30" s="19">
        <f t="shared" si="17"/>
        <v>2.0168983374216465E-2</v>
      </c>
      <c r="V30" s="19">
        <f t="shared" si="17"/>
        <v>-6.6791343841833273E-3</v>
      </c>
      <c r="W30" s="19">
        <f t="shared" si="17"/>
        <v>-2.4475524475525035E-2</v>
      </c>
      <c r="X30" s="19">
        <f t="shared" si="17"/>
        <v>2.977667493796532E-2</v>
      </c>
      <c r="Y30" s="19">
        <f t="shared" si="17"/>
        <v>4.016064257028118E-2</v>
      </c>
      <c r="Z30" s="19">
        <f t="shared" si="17"/>
        <v>3.0888030888031048E-2</v>
      </c>
      <c r="AA30" s="19">
        <f t="shared" si="17"/>
        <v>4.7440699126091168E-3</v>
      </c>
      <c r="AB30" s="19">
        <f t="shared" si="17"/>
        <v>7.4552683896620398E-3</v>
      </c>
    </row>
    <row r="31" spans="1:39" ht="13" x14ac:dyDescent="0.3">
      <c r="A31" s="15" t="s">
        <v>88</v>
      </c>
      <c r="C31" s="4"/>
      <c r="D31" s="4"/>
      <c r="E31" s="4"/>
      <c r="F31" s="4"/>
      <c r="G31" s="4"/>
      <c r="H31" s="4"/>
      <c r="I31" s="4"/>
      <c r="J31" s="4"/>
      <c r="K31" s="4"/>
      <c r="L31" s="4"/>
      <c r="M31" s="4"/>
      <c r="N31" s="4"/>
      <c r="O31" s="4"/>
    </row>
    <row r="32" spans="1:39" ht="13" x14ac:dyDescent="0.3">
      <c r="A32" s="18" t="s">
        <v>89</v>
      </c>
      <c r="C32" s="4"/>
      <c r="D32" s="4"/>
      <c r="E32" s="4"/>
      <c r="F32" s="4"/>
      <c r="G32" s="4"/>
      <c r="H32" s="4"/>
      <c r="I32" s="4"/>
      <c r="J32" s="4"/>
      <c r="K32" s="4"/>
      <c r="L32" s="4"/>
      <c r="M32" s="4"/>
      <c r="N32" s="4"/>
      <c r="O32" s="4"/>
    </row>
    <row r="33" spans="1:39" ht="13" x14ac:dyDescent="0.3">
      <c r="A33" s="15" t="s">
        <v>1</v>
      </c>
      <c r="B33" s="15">
        <v>271.10000000000002</v>
      </c>
      <c r="C33" s="3">
        <v>288.8</v>
      </c>
      <c r="D33" s="3">
        <v>366.5</v>
      </c>
      <c r="E33" s="3">
        <v>352.1</v>
      </c>
      <c r="F33" s="3">
        <v>263.89999999999998</v>
      </c>
      <c r="G33" s="3">
        <v>204.7</v>
      </c>
      <c r="H33" s="3">
        <v>249.8</v>
      </c>
      <c r="I33" s="3">
        <v>292.10000000000002</v>
      </c>
      <c r="J33" s="3">
        <v>273.2</v>
      </c>
      <c r="K33" s="3">
        <v>358.3</v>
      </c>
      <c r="L33" s="3">
        <v>234</v>
      </c>
      <c r="M33" s="3">
        <v>402.1</v>
      </c>
      <c r="N33" s="3">
        <v>476.6</v>
      </c>
      <c r="O33" s="3">
        <v>356.6</v>
      </c>
      <c r="P33" s="3">
        <v>365.6</v>
      </c>
      <c r="Q33" s="3">
        <v>355.8</v>
      </c>
      <c r="R33" s="3">
        <v>274.5</v>
      </c>
      <c r="S33" s="3">
        <v>316.7</v>
      </c>
      <c r="T33" s="3">
        <v>281.2</v>
      </c>
      <c r="U33" s="3">
        <v>277.2</v>
      </c>
      <c r="V33" s="3">
        <v>224.7</v>
      </c>
      <c r="W33" s="3">
        <v>227.1</v>
      </c>
      <c r="X33" s="3">
        <v>280</v>
      </c>
      <c r="Y33" s="3">
        <v>331.6</v>
      </c>
      <c r="Z33" s="3">
        <v>252.3</v>
      </c>
      <c r="AA33" s="3">
        <v>234</v>
      </c>
      <c r="AB33" s="3">
        <v>277</v>
      </c>
      <c r="AC33" s="3"/>
      <c r="AD33" s="3"/>
      <c r="AE33" s="3"/>
      <c r="AF33" s="3"/>
      <c r="AG33" s="3"/>
      <c r="AH33" s="3"/>
      <c r="AI33" s="3"/>
      <c r="AJ33" s="3"/>
      <c r="AK33" s="3"/>
      <c r="AL33" s="3"/>
      <c r="AM33" s="3"/>
    </row>
    <row r="34" spans="1:39" ht="12.5" x14ac:dyDescent="0.25">
      <c r="A34" s="2" t="s">
        <v>90</v>
      </c>
      <c r="B34" s="2">
        <v>589.5</v>
      </c>
      <c r="C34" s="4">
        <v>624.4</v>
      </c>
      <c r="D34" s="4">
        <v>575.1</v>
      </c>
      <c r="E34" s="4">
        <v>714.1</v>
      </c>
      <c r="F34" s="4">
        <v>615</v>
      </c>
      <c r="G34" s="4">
        <v>650.1</v>
      </c>
      <c r="H34" s="4">
        <v>607.4</v>
      </c>
      <c r="I34" s="4">
        <v>792.8</v>
      </c>
      <c r="J34" s="4">
        <v>664</v>
      </c>
      <c r="K34" s="4">
        <v>600.70000000000005</v>
      </c>
      <c r="L34" s="4">
        <v>616</v>
      </c>
      <c r="M34" s="4">
        <v>814.7</v>
      </c>
      <c r="N34" s="4">
        <v>711.3</v>
      </c>
      <c r="O34" s="4">
        <v>619.1</v>
      </c>
      <c r="P34" s="4">
        <v>625</v>
      </c>
      <c r="Q34" s="4">
        <v>871</v>
      </c>
      <c r="R34" s="4">
        <v>820.3</v>
      </c>
      <c r="S34" s="4">
        <v>730</v>
      </c>
      <c r="T34" s="4">
        <v>779.5</v>
      </c>
      <c r="U34" s="4">
        <v>988</v>
      </c>
      <c r="V34" s="4">
        <v>946.9</v>
      </c>
      <c r="W34" s="4">
        <v>840.1</v>
      </c>
      <c r="X34" s="4">
        <v>860.2</v>
      </c>
      <c r="Y34" s="4">
        <v>1096.2</v>
      </c>
      <c r="Z34" s="4">
        <v>974</v>
      </c>
      <c r="AA34" s="4">
        <v>916.2</v>
      </c>
      <c r="AB34" s="4">
        <v>892.2</v>
      </c>
      <c r="AC34" s="4"/>
      <c r="AD34" s="4"/>
      <c r="AE34" s="4"/>
      <c r="AF34" s="4"/>
      <c r="AG34" s="4"/>
      <c r="AH34" s="4"/>
      <c r="AI34" s="4"/>
      <c r="AJ34" s="4"/>
      <c r="AK34" s="4"/>
      <c r="AL34" s="4"/>
      <c r="AM34" s="4"/>
    </row>
    <row r="35" spans="1:39" ht="12.5" x14ac:dyDescent="0.25">
      <c r="A35" s="2" t="s">
        <v>61</v>
      </c>
      <c r="B35" s="2">
        <v>129</v>
      </c>
      <c r="C35" s="4">
        <v>121.2</v>
      </c>
      <c r="D35" s="4">
        <v>109.6</v>
      </c>
      <c r="E35" s="4">
        <v>136.9</v>
      </c>
      <c r="F35" s="4">
        <v>112.2</v>
      </c>
      <c r="G35" s="4">
        <v>113.1</v>
      </c>
      <c r="H35" s="4">
        <v>109.3</v>
      </c>
      <c r="I35" s="4">
        <v>110.5</v>
      </c>
      <c r="J35" s="4">
        <v>105.2</v>
      </c>
      <c r="K35" s="4">
        <v>136.19999999999999</v>
      </c>
      <c r="L35" s="4">
        <v>160.69999999999999</v>
      </c>
      <c r="M35" s="4">
        <v>144.19999999999999</v>
      </c>
      <c r="N35" s="4">
        <v>140.1</v>
      </c>
      <c r="O35" s="4">
        <v>144.30000000000001</v>
      </c>
      <c r="P35" s="4">
        <v>157.9</v>
      </c>
      <c r="Q35" s="4">
        <v>151.80000000000001</v>
      </c>
      <c r="R35" s="4">
        <v>166.4</v>
      </c>
      <c r="S35" s="4">
        <v>164.4</v>
      </c>
      <c r="T35" s="4">
        <v>205.9</v>
      </c>
      <c r="U35" s="4">
        <v>229.9</v>
      </c>
      <c r="V35" s="4">
        <v>156.80000000000001</v>
      </c>
      <c r="W35" s="4">
        <v>154.9</v>
      </c>
      <c r="X35" s="4">
        <v>142.5</v>
      </c>
      <c r="Y35" s="4">
        <v>140.4</v>
      </c>
      <c r="Z35" s="4">
        <v>166.2</v>
      </c>
      <c r="AA35" s="4">
        <v>176.7</v>
      </c>
      <c r="AB35" s="4">
        <v>194.4</v>
      </c>
      <c r="AC35" s="4"/>
      <c r="AD35" s="4"/>
      <c r="AE35" s="4"/>
      <c r="AF35" s="4"/>
      <c r="AG35" s="4"/>
      <c r="AH35" s="4"/>
      <c r="AI35" s="4"/>
      <c r="AJ35" s="4"/>
      <c r="AK35" s="4"/>
      <c r="AL35" s="4"/>
      <c r="AM35" s="4"/>
    </row>
    <row r="36" spans="1:39" ht="12.5" x14ac:dyDescent="0.25">
      <c r="A36" s="2" t="s">
        <v>91</v>
      </c>
      <c r="B36" s="4">
        <f t="shared" ref="B36:AB36" si="18">SUM(B33:B35)</f>
        <v>989.6</v>
      </c>
      <c r="C36" s="4">
        <f t="shared" si="18"/>
        <v>1034.4000000000001</v>
      </c>
      <c r="D36" s="4">
        <f t="shared" si="18"/>
        <v>1051.2</v>
      </c>
      <c r="E36" s="4">
        <f t="shared" si="18"/>
        <v>1203.1000000000001</v>
      </c>
      <c r="F36" s="4">
        <f t="shared" si="18"/>
        <v>991.1</v>
      </c>
      <c r="G36" s="4">
        <f t="shared" si="18"/>
        <v>967.9</v>
      </c>
      <c r="H36" s="4">
        <f t="shared" si="18"/>
        <v>966.5</v>
      </c>
      <c r="I36" s="4">
        <f t="shared" si="18"/>
        <v>1195.4000000000001</v>
      </c>
      <c r="J36" s="4">
        <f t="shared" si="18"/>
        <v>1042.4000000000001</v>
      </c>
      <c r="K36" s="4">
        <f t="shared" si="18"/>
        <v>1095.2</v>
      </c>
      <c r="L36" s="4">
        <f t="shared" si="18"/>
        <v>1010.7</v>
      </c>
      <c r="M36" s="4">
        <f t="shared" si="18"/>
        <v>1361.0000000000002</v>
      </c>
      <c r="N36" s="4">
        <f t="shared" si="18"/>
        <v>1328</v>
      </c>
      <c r="O36" s="4">
        <f t="shared" si="18"/>
        <v>1120</v>
      </c>
      <c r="P36" s="4">
        <f t="shared" si="18"/>
        <v>1148.5</v>
      </c>
      <c r="Q36" s="4">
        <f t="shared" si="18"/>
        <v>1378.6</v>
      </c>
      <c r="R36" s="4">
        <f t="shared" si="18"/>
        <v>1261.2</v>
      </c>
      <c r="S36" s="4">
        <f t="shared" si="18"/>
        <v>1211.1000000000001</v>
      </c>
      <c r="T36" s="4">
        <f t="shared" si="18"/>
        <v>1266.6000000000001</v>
      </c>
      <c r="U36" s="4">
        <f t="shared" si="18"/>
        <v>1495.1000000000001</v>
      </c>
      <c r="V36" s="4">
        <f t="shared" si="18"/>
        <v>1328.3999999999999</v>
      </c>
      <c r="W36" s="4">
        <f t="shared" si="18"/>
        <v>1222.1000000000001</v>
      </c>
      <c r="X36" s="4">
        <f t="shared" si="18"/>
        <v>1282.7</v>
      </c>
      <c r="Y36" s="4">
        <f t="shared" si="18"/>
        <v>1568.2000000000003</v>
      </c>
      <c r="Z36" s="4">
        <f t="shared" si="18"/>
        <v>1392.5</v>
      </c>
      <c r="AA36" s="4">
        <f t="shared" si="18"/>
        <v>1326.9</v>
      </c>
      <c r="AB36" s="4">
        <f t="shared" si="18"/>
        <v>1363.6000000000001</v>
      </c>
      <c r="AC36" s="4"/>
      <c r="AD36" s="4"/>
      <c r="AE36" s="4"/>
      <c r="AF36" s="4"/>
      <c r="AG36" s="4"/>
      <c r="AH36" s="4"/>
      <c r="AI36" s="4"/>
      <c r="AJ36" s="4"/>
      <c r="AK36" s="4"/>
      <c r="AL36" s="4"/>
      <c r="AM36" s="4"/>
    </row>
    <row r="37" spans="1:39" ht="13" x14ac:dyDescent="0.3">
      <c r="A37" s="18" t="s">
        <v>92</v>
      </c>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row>
    <row r="38" spans="1:39" ht="12.5" x14ac:dyDescent="0.25">
      <c r="A38" s="2" t="s">
        <v>93</v>
      </c>
      <c r="B38" s="2">
        <v>198.1</v>
      </c>
      <c r="C38" s="4">
        <v>207.6</v>
      </c>
      <c r="D38" s="4">
        <v>202.5</v>
      </c>
      <c r="E38" s="4">
        <v>197.9</v>
      </c>
      <c r="F38" s="4">
        <v>204.1</v>
      </c>
      <c r="G38" s="4">
        <v>192.5</v>
      </c>
      <c r="H38" s="4">
        <v>187.9</v>
      </c>
      <c r="I38" s="4">
        <v>183.4</v>
      </c>
      <c r="J38" s="4">
        <v>189</v>
      </c>
      <c r="K38" s="4">
        <v>186.2</v>
      </c>
      <c r="L38" s="4">
        <v>137.5</v>
      </c>
      <c r="M38" s="4">
        <v>153.9</v>
      </c>
      <c r="N38" s="4">
        <v>161.6</v>
      </c>
      <c r="O38" s="4">
        <v>161.69999999999999</v>
      </c>
      <c r="P38" s="4">
        <v>167.1</v>
      </c>
      <c r="Q38" s="4">
        <v>167.2</v>
      </c>
      <c r="R38" s="4">
        <v>177.2</v>
      </c>
      <c r="S38" s="4">
        <v>167.2</v>
      </c>
      <c r="T38" s="4">
        <v>169.7</v>
      </c>
      <c r="U38" s="4">
        <v>164.7</v>
      </c>
      <c r="V38" s="4">
        <v>150.9</v>
      </c>
      <c r="W38" s="4">
        <v>145.1</v>
      </c>
      <c r="X38" s="4">
        <v>143.30000000000001</v>
      </c>
      <c r="Y38" s="4">
        <v>138.1</v>
      </c>
      <c r="Z38" s="4">
        <v>145.69999999999999</v>
      </c>
      <c r="AA38" s="4">
        <v>144</v>
      </c>
      <c r="AB38" s="4">
        <v>143.19999999999999</v>
      </c>
      <c r="AC38" s="4"/>
      <c r="AD38" s="4"/>
      <c r="AE38" s="4"/>
      <c r="AF38" s="4"/>
      <c r="AG38" s="4"/>
      <c r="AH38" s="4"/>
      <c r="AI38" s="4"/>
      <c r="AJ38" s="4"/>
      <c r="AK38" s="4"/>
      <c r="AL38" s="4"/>
      <c r="AM38" s="4"/>
    </row>
    <row r="39" spans="1:39" ht="12.5" x14ac:dyDescent="0.25">
      <c r="A39" s="2" t="s">
        <v>94</v>
      </c>
      <c r="B39" s="2">
        <v>1159.3</v>
      </c>
      <c r="C39" s="4">
        <v>1177.3</v>
      </c>
      <c r="D39" s="4">
        <v>1193.0999999999999</v>
      </c>
      <c r="E39" s="4">
        <v>1231.3</v>
      </c>
      <c r="F39" s="4">
        <v>1254.9000000000001</v>
      </c>
      <c r="G39" s="4">
        <v>1258</v>
      </c>
      <c r="H39" s="4">
        <v>1254.3</v>
      </c>
      <c r="I39" s="4">
        <v>1256.5999999999999</v>
      </c>
      <c r="J39" s="4">
        <v>1500</v>
      </c>
      <c r="K39" s="4">
        <v>1495.1</v>
      </c>
      <c r="L39" s="4">
        <v>1660.8</v>
      </c>
      <c r="M39" s="4">
        <v>1704.5</v>
      </c>
      <c r="N39" s="4">
        <v>1674.5</v>
      </c>
      <c r="O39" s="4">
        <v>1701.4</v>
      </c>
      <c r="P39" s="4">
        <v>1705.6</v>
      </c>
      <c r="Q39" s="4">
        <v>1723.3</v>
      </c>
      <c r="R39" s="4">
        <v>3720.1</v>
      </c>
      <c r="S39" s="4">
        <v>3677.3</v>
      </c>
      <c r="T39" s="4">
        <v>3663.8</v>
      </c>
      <c r="U39" s="4">
        <v>3578.4</v>
      </c>
      <c r="V39" s="4">
        <v>3484.9</v>
      </c>
      <c r="W39" s="4">
        <v>3434</v>
      </c>
      <c r="X39" s="4">
        <v>3388.2</v>
      </c>
      <c r="Y39" s="4">
        <v>3447.2</v>
      </c>
      <c r="Z39" s="4">
        <v>3461.6</v>
      </c>
      <c r="AA39" s="4">
        <v>3444.5</v>
      </c>
      <c r="AB39" s="4">
        <v>3429.3</v>
      </c>
      <c r="AC39" s="4"/>
      <c r="AD39" s="4"/>
      <c r="AE39" s="4"/>
      <c r="AF39" s="4"/>
      <c r="AG39" s="4"/>
      <c r="AH39" s="4"/>
      <c r="AI39" s="4"/>
      <c r="AJ39" s="4"/>
      <c r="AK39" s="4"/>
      <c r="AL39" s="4"/>
      <c r="AM39" s="4"/>
    </row>
    <row r="40" spans="1:39" ht="12.5" x14ac:dyDescent="0.25">
      <c r="A40" s="2" t="s">
        <v>95</v>
      </c>
      <c r="B40" s="2">
        <v>486.4</v>
      </c>
      <c r="C40" s="4">
        <v>469.9</v>
      </c>
      <c r="D40" s="4">
        <v>464.1</v>
      </c>
      <c r="E40" s="4">
        <v>490.2</v>
      </c>
      <c r="F40" s="4">
        <v>494.1</v>
      </c>
      <c r="G40" s="4">
        <v>470.8</v>
      </c>
      <c r="H40" s="4">
        <v>445.4</v>
      </c>
      <c r="I40" s="4">
        <v>427.1</v>
      </c>
      <c r="J40" s="4">
        <v>556.20000000000005</v>
      </c>
      <c r="K40" s="4">
        <v>546.79999999999995</v>
      </c>
      <c r="L40" s="4">
        <v>611.20000000000005</v>
      </c>
      <c r="M40" s="4">
        <v>611.4</v>
      </c>
      <c r="N40" s="4">
        <v>583.79999999999995</v>
      </c>
      <c r="O40" s="4">
        <v>560.5</v>
      </c>
      <c r="P40" s="4">
        <v>543</v>
      </c>
      <c r="Q40" s="4">
        <v>546.79999999999995</v>
      </c>
      <c r="R40" s="4">
        <v>1425</v>
      </c>
      <c r="S40" s="4">
        <v>1346.2</v>
      </c>
      <c r="T40" s="4">
        <v>1253</v>
      </c>
      <c r="U40" s="4">
        <v>1170.5</v>
      </c>
      <c r="V40" s="4">
        <v>1077.0999999999999</v>
      </c>
      <c r="W40" s="4">
        <v>1003.3</v>
      </c>
      <c r="X40" s="4">
        <v>931.2</v>
      </c>
      <c r="Y40" s="4">
        <v>892.9</v>
      </c>
      <c r="Z40" s="4">
        <v>1467.2</v>
      </c>
      <c r="AA40" s="4">
        <v>1403.7</v>
      </c>
      <c r="AB40" s="4">
        <v>1347.6</v>
      </c>
      <c r="AC40" s="4"/>
      <c r="AD40" s="4"/>
      <c r="AE40" s="4"/>
      <c r="AF40" s="4"/>
      <c r="AG40" s="4"/>
      <c r="AH40" s="4"/>
      <c r="AI40" s="4"/>
      <c r="AJ40" s="4"/>
      <c r="AK40" s="4"/>
      <c r="AL40" s="4"/>
      <c r="AM40" s="4"/>
    </row>
    <row r="41" spans="1:39" ht="12.5" x14ac:dyDescent="0.25">
      <c r="A41" s="2" t="s">
        <v>96</v>
      </c>
      <c r="B41" s="4">
        <v>0</v>
      </c>
      <c r="C41" s="4">
        <v>0</v>
      </c>
      <c r="D41" s="4">
        <v>0</v>
      </c>
      <c r="E41" s="4">
        <v>0</v>
      </c>
      <c r="F41" s="4">
        <v>0</v>
      </c>
      <c r="G41" s="4">
        <v>0</v>
      </c>
      <c r="H41" s="4">
        <v>0</v>
      </c>
      <c r="I41" s="4">
        <v>0</v>
      </c>
      <c r="J41" s="4">
        <v>0</v>
      </c>
      <c r="K41" s="4">
        <v>0</v>
      </c>
      <c r="L41" s="4">
        <v>0</v>
      </c>
      <c r="M41" s="4">
        <v>0</v>
      </c>
      <c r="N41" s="4">
        <v>0</v>
      </c>
      <c r="O41" s="4">
        <v>0</v>
      </c>
      <c r="P41" s="4">
        <v>0</v>
      </c>
      <c r="Q41" s="4">
        <v>0</v>
      </c>
      <c r="R41" s="4">
        <v>773.7</v>
      </c>
      <c r="S41" s="4">
        <v>870.8</v>
      </c>
      <c r="T41" s="4">
        <v>994.8</v>
      </c>
      <c r="U41" s="4">
        <v>1122.3</v>
      </c>
      <c r="V41" s="4">
        <v>1232.3</v>
      </c>
      <c r="W41" s="4">
        <v>1359.7</v>
      </c>
      <c r="X41" s="4">
        <v>1437.9</v>
      </c>
      <c r="Y41" s="4">
        <v>1519.6</v>
      </c>
      <c r="Z41" s="4">
        <v>937</v>
      </c>
      <c r="AA41" s="4">
        <v>934.6</v>
      </c>
      <c r="AB41" s="4">
        <v>930.6</v>
      </c>
      <c r="AC41" s="4"/>
      <c r="AD41" s="4"/>
      <c r="AE41" s="4"/>
      <c r="AF41" s="4"/>
      <c r="AG41" s="4"/>
      <c r="AH41" s="4"/>
      <c r="AI41" s="4"/>
      <c r="AJ41" s="4"/>
      <c r="AK41" s="4"/>
      <c r="AL41" s="4"/>
      <c r="AM41" s="4"/>
    </row>
    <row r="42" spans="1:39" ht="12.5" x14ac:dyDescent="0.25">
      <c r="A42" s="2" t="s">
        <v>61</v>
      </c>
      <c r="B42" s="2">
        <v>316.39999999999998</v>
      </c>
      <c r="C42" s="4">
        <v>335.4</v>
      </c>
      <c r="D42" s="4">
        <v>339</v>
      </c>
      <c r="E42" s="4">
        <v>362.4</v>
      </c>
      <c r="F42" s="4">
        <v>360.5</v>
      </c>
      <c r="G42" s="4">
        <v>492.5</v>
      </c>
      <c r="H42" s="4">
        <v>503.5</v>
      </c>
      <c r="I42" s="4">
        <v>539.6</v>
      </c>
      <c r="J42" s="4">
        <v>593.1</v>
      </c>
      <c r="K42" s="4">
        <v>896.8</v>
      </c>
      <c r="L42" s="4">
        <v>964.4</v>
      </c>
      <c r="M42" s="4">
        <v>1082.7</v>
      </c>
      <c r="N42" s="4">
        <v>1141.9000000000001</v>
      </c>
      <c r="O42" s="4">
        <v>1206.0999999999999</v>
      </c>
      <c r="P42" s="4">
        <v>1294.0999999999999</v>
      </c>
      <c r="Q42" s="4">
        <v>1370.9</v>
      </c>
      <c r="R42" s="4">
        <v>762.5</v>
      </c>
      <c r="S42" s="4">
        <v>755.6</v>
      </c>
      <c r="T42" s="4">
        <v>768</v>
      </c>
      <c r="U42" s="4">
        <v>818.4</v>
      </c>
      <c r="V42" s="4">
        <v>895.3</v>
      </c>
      <c r="W42" s="4">
        <v>926.5</v>
      </c>
      <c r="X42" s="4">
        <v>868</v>
      </c>
      <c r="Y42" s="4">
        <v>866.4</v>
      </c>
      <c r="Z42" s="4">
        <v>829.2</v>
      </c>
      <c r="AA42" s="4">
        <v>817.5</v>
      </c>
      <c r="AB42" s="4">
        <v>785.5</v>
      </c>
      <c r="AC42" s="4"/>
      <c r="AD42" s="4"/>
      <c r="AE42" s="4"/>
      <c r="AF42" s="4"/>
      <c r="AG42" s="4"/>
      <c r="AH42" s="4"/>
      <c r="AI42" s="4"/>
      <c r="AJ42" s="4"/>
      <c r="AK42" s="4"/>
      <c r="AL42" s="4"/>
      <c r="AM42" s="4"/>
    </row>
    <row r="43" spans="1:39" ht="12.5" x14ac:dyDescent="0.25">
      <c r="A43" s="2" t="s">
        <v>97</v>
      </c>
      <c r="B43" s="4">
        <f t="shared" ref="B43:AB43" si="19">SUM(B38:B42)</f>
        <v>2160.1999999999998</v>
      </c>
      <c r="C43" s="4">
        <f t="shared" si="19"/>
        <v>2190.1999999999998</v>
      </c>
      <c r="D43" s="4">
        <f t="shared" si="19"/>
        <v>2198.6999999999998</v>
      </c>
      <c r="E43" s="4">
        <f t="shared" si="19"/>
        <v>2281.8000000000002</v>
      </c>
      <c r="F43" s="4">
        <f t="shared" si="19"/>
        <v>2313.6</v>
      </c>
      <c r="G43" s="4">
        <f t="shared" si="19"/>
        <v>2413.8000000000002</v>
      </c>
      <c r="H43" s="4">
        <f t="shared" si="19"/>
        <v>2391.1</v>
      </c>
      <c r="I43" s="4">
        <f t="shared" si="19"/>
        <v>2406.6999999999998</v>
      </c>
      <c r="J43" s="4">
        <f t="shared" si="19"/>
        <v>2838.2999999999997</v>
      </c>
      <c r="K43" s="4">
        <f t="shared" si="19"/>
        <v>3124.8999999999996</v>
      </c>
      <c r="L43" s="4">
        <f t="shared" si="19"/>
        <v>3373.9</v>
      </c>
      <c r="M43" s="4">
        <f t="shared" si="19"/>
        <v>3552.5</v>
      </c>
      <c r="N43" s="4">
        <f t="shared" si="19"/>
        <v>3561.7999999999997</v>
      </c>
      <c r="O43" s="4">
        <f t="shared" si="19"/>
        <v>3629.7000000000003</v>
      </c>
      <c r="P43" s="4">
        <f t="shared" si="19"/>
        <v>3709.7999999999997</v>
      </c>
      <c r="Q43" s="4">
        <f t="shared" si="19"/>
        <v>3808.2000000000003</v>
      </c>
      <c r="R43" s="4">
        <f t="shared" si="19"/>
        <v>6858.4999999999991</v>
      </c>
      <c r="S43" s="4">
        <f t="shared" si="19"/>
        <v>6817.1</v>
      </c>
      <c r="T43" s="4">
        <f t="shared" si="19"/>
        <v>6849.3</v>
      </c>
      <c r="U43" s="4">
        <f t="shared" si="19"/>
        <v>6854.3</v>
      </c>
      <c r="V43" s="4">
        <f t="shared" si="19"/>
        <v>6840.5</v>
      </c>
      <c r="W43" s="4">
        <f t="shared" si="19"/>
        <v>6868.5999999999995</v>
      </c>
      <c r="X43" s="4">
        <f t="shared" si="19"/>
        <v>6768.6</v>
      </c>
      <c r="Y43" s="4">
        <f t="shared" si="19"/>
        <v>6864.1999999999989</v>
      </c>
      <c r="Z43" s="4">
        <f t="shared" si="19"/>
        <v>6840.7</v>
      </c>
      <c r="AA43" s="4">
        <f t="shared" si="19"/>
        <v>6744.3</v>
      </c>
      <c r="AB43" s="4">
        <f t="shared" si="19"/>
        <v>6636.2000000000007</v>
      </c>
      <c r="AC43" s="4"/>
      <c r="AD43" s="4"/>
      <c r="AE43" s="4"/>
      <c r="AF43" s="4"/>
      <c r="AG43" s="4"/>
      <c r="AH43" s="4"/>
      <c r="AI43" s="4"/>
      <c r="AJ43" s="4"/>
      <c r="AK43" s="4"/>
      <c r="AL43" s="4"/>
      <c r="AM43" s="4"/>
    </row>
    <row r="44" spans="1:39" ht="13" x14ac:dyDescent="0.3">
      <c r="A44" s="15" t="s">
        <v>98</v>
      </c>
      <c r="B44" s="3">
        <f t="shared" ref="B44:AB44" si="20">B43+B36</f>
        <v>3149.7999999999997</v>
      </c>
      <c r="C44" s="3">
        <f t="shared" si="20"/>
        <v>3224.6</v>
      </c>
      <c r="D44" s="3">
        <f t="shared" si="20"/>
        <v>3249.8999999999996</v>
      </c>
      <c r="E44" s="3">
        <f t="shared" si="20"/>
        <v>3484.9000000000005</v>
      </c>
      <c r="F44" s="3">
        <f t="shared" si="20"/>
        <v>3304.7</v>
      </c>
      <c r="G44" s="3">
        <f t="shared" si="20"/>
        <v>3381.7000000000003</v>
      </c>
      <c r="H44" s="3">
        <f t="shared" si="20"/>
        <v>3357.6</v>
      </c>
      <c r="I44" s="3">
        <f t="shared" si="20"/>
        <v>3602.1</v>
      </c>
      <c r="J44" s="3">
        <f t="shared" si="20"/>
        <v>3880.7</v>
      </c>
      <c r="K44" s="3">
        <f t="shared" si="20"/>
        <v>4220.0999999999995</v>
      </c>
      <c r="L44" s="3">
        <f t="shared" si="20"/>
        <v>4384.6000000000004</v>
      </c>
      <c r="M44" s="3">
        <f t="shared" si="20"/>
        <v>4913.5</v>
      </c>
      <c r="N44" s="3">
        <f t="shared" si="20"/>
        <v>4889.7999999999993</v>
      </c>
      <c r="O44" s="3">
        <f t="shared" si="20"/>
        <v>4749.7000000000007</v>
      </c>
      <c r="P44" s="3">
        <f t="shared" si="20"/>
        <v>4858.2999999999993</v>
      </c>
      <c r="Q44" s="3">
        <f t="shared" si="20"/>
        <v>5186.8</v>
      </c>
      <c r="R44" s="3">
        <f t="shared" si="20"/>
        <v>8119.6999999999989</v>
      </c>
      <c r="S44" s="3">
        <f t="shared" si="20"/>
        <v>8028.2000000000007</v>
      </c>
      <c r="T44" s="3">
        <f t="shared" si="20"/>
        <v>8115.9000000000005</v>
      </c>
      <c r="U44" s="3">
        <f t="shared" si="20"/>
        <v>8349.4</v>
      </c>
      <c r="V44" s="3">
        <f t="shared" si="20"/>
        <v>8168.9</v>
      </c>
      <c r="W44" s="3">
        <f t="shared" si="20"/>
        <v>8090.7</v>
      </c>
      <c r="X44" s="3">
        <f t="shared" si="20"/>
        <v>8051.3</v>
      </c>
      <c r="Y44" s="3">
        <f t="shared" si="20"/>
        <v>8432.4</v>
      </c>
      <c r="Z44" s="3">
        <f t="shared" si="20"/>
        <v>8233.2000000000007</v>
      </c>
      <c r="AA44" s="3">
        <f t="shared" si="20"/>
        <v>8071.2000000000007</v>
      </c>
      <c r="AB44" s="3">
        <f t="shared" si="20"/>
        <v>7999.8000000000011</v>
      </c>
      <c r="AC44" s="22"/>
      <c r="AD44" s="22"/>
      <c r="AE44" s="22"/>
      <c r="AF44" s="22"/>
      <c r="AG44" s="22"/>
      <c r="AH44" s="22"/>
      <c r="AI44" s="22"/>
      <c r="AJ44" s="22"/>
      <c r="AK44" s="22"/>
      <c r="AL44" s="22"/>
      <c r="AM44" s="22"/>
    </row>
    <row r="45" spans="1:39" ht="13" x14ac:dyDescent="0.3">
      <c r="A45" s="15" t="s">
        <v>99</v>
      </c>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row>
    <row r="46" spans="1:39" ht="13" x14ac:dyDescent="0.3">
      <c r="A46" s="18" t="s">
        <v>89</v>
      </c>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39" ht="12.5" x14ac:dyDescent="0.25">
      <c r="A47" s="2" t="s">
        <v>100</v>
      </c>
      <c r="B47" s="2">
        <v>167.2</v>
      </c>
      <c r="C47" s="4">
        <v>157.30000000000001</v>
      </c>
      <c r="D47" s="4">
        <v>134.30000000000001</v>
      </c>
      <c r="E47" s="4">
        <v>147.4</v>
      </c>
      <c r="F47" s="4">
        <v>671</v>
      </c>
      <c r="G47" s="4">
        <v>471.8</v>
      </c>
      <c r="H47" s="4">
        <v>509.1</v>
      </c>
      <c r="I47" s="4">
        <v>610.5</v>
      </c>
      <c r="J47" s="4">
        <v>711.7</v>
      </c>
      <c r="K47" s="4">
        <v>547.9</v>
      </c>
      <c r="L47" s="4">
        <v>615.4</v>
      </c>
      <c r="M47" s="4">
        <v>737.2</v>
      </c>
      <c r="N47" s="4">
        <v>829.9</v>
      </c>
      <c r="O47" s="4">
        <v>632.29999999999995</v>
      </c>
      <c r="P47" s="4">
        <v>719</v>
      </c>
      <c r="Q47" s="4">
        <v>876.1</v>
      </c>
      <c r="R47" s="4">
        <v>1102.7</v>
      </c>
      <c r="S47" s="4">
        <v>790.1</v>
      </c>
      <c r="T47" s="4">
        <v>878.6</v>
      </c>
      <c r="U47" s="4">
        <v>965.8</v>
      </c>
      <c r="V47" s="4">
        <v>1114.9000000000001</v>
      </c>
      <c r="W47" s="4">
        <v>816</v>
      </c>
      <c r="X47" s="4">
        <v>824.2</v>
      </c>
      <c r="Y47" s="4">
        <v>958.8</v>
      </c>
      <c r="Z47" s="4">
        <v>1019.5</v>
      </c>
      <c r="AA47" s="4">
        <v>743.7</v>
      </c>
      <c r="AB47" s="4">
        <v>778.3</v>
      </c>
      <c r="AC47" s="4"/>
      <c r="AD47" s="4"/>
      <c r="AE47" s="4"/>
      <c r="AF47" s="4"/>
      <c r="AG47" s="4"/>
      <c r="AH47" s="4"/>
      <c r="AI47" s="4"/>
      <c r="AJ47" s="4"/>
      <c r="AK47" s="4"/>
      <c r="AL47" s="4"/>
      <c r="AM47" s="4"/>
    </row>
    <row r="48" spans="1:39" ht="12.5" x14ac:dyDescent="0.25">
      <c r="A48" s="2" t="s">
        <v>101</v>
      </c>
      <c r="B48" s="2">
        <v>0</v>
      </c>
      <c r="C48" s="4">
        <v>0</v>
      </c>
      <c r="D48" s="4">
        <v>0</v>
      </c>
      <c r="E48" s="4">
        <v>0</v>
      </c>
      <c r="F48" s="4">
        <v>106.3</v>
      </c>
      <c r="G48" s="4">
        <v>101.5</v>
      </c>
      <c r="H48" s="4">
        <v>88.8</v>
      </c>
      <c r="I48" s="4">
        <v>94.7</v>
      </c>
      <c r="J48" s="4">
        <v>90.9</v>
      </c>
      <c r="K48" s="4">
        <v>93.5</v>
      </c>
      <c r="L48" s="4">
        <v>109.9</v>
      </c>
      <c r="M48" s="4">
        <v>118</v>
      </c>
      <c r="N48" s="4">
        <v>111.2</v>
      </c>
      <c r="O48" s="4">
        <v>111.6</v>
      </c>
      <c r="P48" s="4">
        <v>118.9</v>
      </c>
      <c r="Q48" s="4">
        <v>126.5</v>
      </c>
      <c r="R48" s="4">
        <v>185.3</v>
      </c>
      <c r="S48" s="4">
        <v>176.7</v>
      </c>
      <c r="T48" s="4">
        <v>209.2</v>
      </c>
      <c r="U48" s="4">
        <v>211.1</v>
      </c>
      <c r="V48" s="4">
        <v>198.5</v>
      </c>
      <c r="W48" s="4">
        <v>175.7</v>
      </c>
      <c r="X48" s="4">
        <v>194.7</v>
      </c>
      <c r="Y48" s="4">
        <v>204.2</v>
      </c>
      <c r="Z48" s="4">
        <v>199.8</v>
      </c>
      <c r="AA48" s="4">
        <v>180.3</v>
      </c>
      <c r="AB48" s="4">
        <v>192.8</v>
      </c>
      <c r="AC48" s="4"/>
      <c r="AD48" s="4"/>
      <c r="AE48" s="4"/>
      <c r="AF48" s="4"/>
      <c r="AG48" s="4"/>
      <c r="AH48" s="4"/>
      <c r="AI48" s="4"/>
      <c r="AJ48" s="4"/>
      <c r="AK48" s="4"/>
      <c r="AL48" s="4"/>
      <c r="AM48" s="4"/>
    </row>
    <row r="49" spans="1:39" ht="12.5" x14ac:dyDescent="0.25">
      <c r="A49" s="2" t="s">
        <v>102</v>
      </c>
      <c r="B49" s="4">
        <v>0</v>
      </c>
      <c r="C49" s="4">
        <v>0</v>
      </c>
      <c r="D49" s="4">
        <v>0</v>
      </c>
      <c r="E49" s="4">
        <v>0</v>
      </c>
      <c r="F49" s="4">
        <v>0</v>
      </c>
      <c r="G49" s="4">
        <v>0</v>
      </c>
      <c r="H49" s="4">
        <v>0</v>
      </c>
      <c r="I49" s="4">
        <v>0</v>
      </c>
      <c r="J49" s="4">
        <v>0</v>
      </c>
      <c r="K49" s="4">
        <v>399.4</v>
      </c>
      <c r="L49" s="4">
        <v>399.4</v>
      </c>
      <c r="M49" s="4">
        <v>399.8</v>
      </c>
      <c r="N49" s="4">
        <v>399.9</v>
      </c>
      <c r="O49" s="4">
        <v>0</v>
      </c>
      <c r="P49" s="4">
        <v>0</v>
      </c>
      <c r="Q49" s="4">
        <v>0</v>
      </c>
      <c r="R49" s="4">
        <v>0</v>
      </c>
      <c r="S49" s="4">
        <v>0</v>
      </c>
      <c r="T49" s="4">
        <v>0</v>
      </c>
      <c r="U49" s="4">
        <v>0</v>
      </c>
      <c r="V49" s="4">
        <v>0</v>
      </c>
      <c r="W49" s="4">
        <v>0</v>
      </c>
      <c r="X49" s="4">
        <v>0</v>
      </c>
      <c r="Y49" s="4">
        <v>0</v>
      </c>
      <c r="Z49" s="4">
        <v>1178.5</v>
      </c>
      <c r="AA49" s="4">
        <v>0</v>
      </c>
      <c r="AB49" s="4">
        <v>0</v>
      </c>
      <c r="AC49" s="4"/>
      <c r="AD49" s="4"/>
      <c r="AE49" s="4"/>
      <c r="AF49" s="4"/>
      <c r="AG49" s="4"/>
      <c r="AH49" s="4"/>
      <c r="AI49" s="4"/>
      <c r="AJ49" s="4"/>
      <c r="AK49" s="4"/>
      <c r="AL49" s="4"/>
      <c r="AM49" s="4"/>
    </row>
    <row r="50" spans="1:39" ht="12.5" x14ac:dyDescent="0.25">
      <c r="A50" s="2" t="s">
        <v>103</v>
      </c>
      <c r="B50" s="4">
        <v>82.4</v>
      </c>
      <c r="C50" s="4">
        <v>121</v>
      </c>
      <c r="D50" s="4">
        <v>79.2</v>
      </c>
      <c r="E50" s="4">
        <v>185.4</v>
      </c>
      <c r="F50" s="4">
        <v>0</v>
      </c>
      <c r="G50" s="4">
        <v>0</v>
      </c>
      <c r="H50" s="4">
        <v>0</v>
      </c>
      <c r="I50" s="4">
        <v>0</v>
      </c>
      <c r="J50" s="4">
        <v>0</v>
      </c>
      <c r="K50" s="4">
        <v>0</v>
      </c>
      <c r="L50" s="4">
        <v>0</v>
      </c>
      <c r="M50" s="4">
        <v>0</v>
      </c>
      <c r="N50" s="4">
        <v>0</v>
      </c>
      <c r="O50" s="4">
        <v>0</v>
      </c>
      <c r="P50" s="4">
        <v>0</v>
      </c>
      <c r="Q50" s="4">
        <v>0</v>
      </c>
      <c r="R50" s="4">
        <v>0</v>
      </c>
      <c r="S50" s="4">
        <v>0</v>
      </c>
      <c r="T50" s="4">
        <v>0</v>
      </c>
      <c r="U50" s="4">
        <v>0</v>
      </c>
      <c r="V50" s="4">
        <v>0</v>
      </c>
      <c r="W50" s="4">
        <v>0</v>
      </c>
      <c r="X50" s="4">
        <v>0</v>
      </c>
      <c r="Y50" s="4">
        <v>0</v>
      </c>
      <c r="Z50" s="4">
        <v>0</v>
      </c>
      <c r="AA50" s="4">
        <v>0</v>
      </c>
      <c r="AB50" s="4">
        <v>0</v>
      </c>
      <c r="AC50" s="4"/>
      <c r="AD50" s="4"/>
      <c r="AE50" s="4"/>
      <c r="AF50" s="4"/>
      <c r="AG50" s="4"/>
      <c r="AH50" s="4"/>
      <c r="AI50" s="4"/>
      <c r="AJ50" s="4"/>
      <c r="AK50" s="4"/>
      <c r="AL50" s="4"/>
      <c r="AM50" s="4"/>
    </row>
    <row r="51" spans="1:39" ht="12.5" x14ac:dyDescent="0.25">
      <c r="A51" s="2" t="s">
        <v>104</v>
      </c>
      <c r="B51" s="4">
        <v>495.3</v>
      </c>
      <c r="C51" s="4">
        <v>331.1</v>
      </c>
      <c r="D51" s="4">
        <v>372.5</v>
      </c>
      <c r="E51" s="4">
        <v>434.5</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c r="AD51" s="4"/>
      <c r="AE51" s="4"/>
      <c r="AF51" s="4"/>
      <c r="AG51" s="4"/>
      <c r="AH51" s="4"/>
      <c r="AI51" s="4"/>
      <c r="AJ51" s="4"/>
      <c r="AK51" s="4"/>
      <c r="AL51" s="4"/>
      <c r="AM51" s="4"/>
    </row>
    <row r="52" spans="1:39" ht="12.5" x14ac:dyDescent="0.25">
      <c r="A52" s="2" t="s">
        <v>91</v>
      </c>
      <c r="B52" s="4">
        <f t="shared" ref="B52:AB52" si="21">SUM(B47:B51)</f>
        <v>744.9</v>
      </c>
      <c r="C52" s="4">
        <f t="shared" si="21"/>
        <v>609.40000000000009</v>
      </c>
      <c r="D52" s="4">
        <f t="shared" si="21"/>
        <v>586</v>
      </c>
      <c r="E52" s="4">
        <f t="shared" si="21"/>
        <v>767.3</v>
      </c>
      <c r="F52" s="4">
        <f t="shared" si="21"/>
        <v>777.3</v>
      </c>
      <c r="G52" s="4">
        <f t="shared" si="21"/>
        <v>573.29999999999995</v>
      </c>
      <c r="H52" s="4">
        <f t="shared" si="21"/>
        <v>597.9</v>
      </c>
      <c r="I52" s="4">
        <f t="shared" si="21"/>
        <v>705.2</v>
      </c>
      <c r="J52" s="4">
        <f t="shared" si="21"/>
        <v>802.6</v>
      </c>
      <c r="K52" s="4">
        <f t="shared" si="21"/>
        <v>1040.8</v>
      </c>
      <c r="L52" s="4">
        <f t="shared" si="21"/>
        <v>1124.6999999999998</v>
      </c>
      <c r="M52" s="4">
        <f t="shared" si="21"/>
        <v>1255</v>
      </c>
      <c r="N52" s="4">
        <f t="shared" si="21"/>
        <v>1341</v>
      </c>
      <c r="O52" s="4">
        <f t="shared" si="21"/>
        <v>743.9</v>
      </c>
      <c r="P52" s="4">
        <f t="shared" si="21"/>
        <v>837.9</v>
      </c>
      <c r="Q52" s="4">
        <f t="shared" si="21"/>
        <v>1002.6</v>
      </c>
      <c r="R52" s="4">
        <f t="shared" si="21"/>
        <v>1288</v>
      </c>
      <c r="S52" s="4">
        <f t="shared" si="21"/>
        <v>966.8</v>
      </c>
      <c r="T52" s="4">
        <f t="shared" si="21"/>
        <v>1087.8</v>
      </c>
      <c r="U52" s="4">
        <f t="shared" si="21"/>
        <v>1176.8999999999999</v>
      </c>
      <c r="V52" s="4">
        <f t="shared" si="21"/>
        <v>1313.4</v>
      </c>
      <c r="W52" s="4">
        <f t="shared" si="21"/>
        <v>991.7</v>
      </c>
      <c r="X52" s="4">
        <f t="shared" si="21"/>
        <v>1018.9000000000001</v>
      </c>
      <c r="Y52" s="4">
        <f t="shared" si="21"/>
        <v>1163</v>
      </c>
      <c r="Z52" s="4">
        <f t="shared" si="21"/>
        <v>2397.8000000000002</v>
      </c>
      <c r="AA52" s="4">
        <f t="shared" si="21"/>
        <v>924</v>
      </c>
      <c r="AB52" s="4">
        <f t="shared" si="21"/>
        <v>971.09999999999991</v>
      </c>
      <c r="AC52" s="4"/>
      <c r="AD52" s="4"/>
      <c r="AE52" s="4"/>
      <c r="AF52" s="4"/>
      <c r="AG52" s="4"/>
      <c r="AH52" s="4"/>
      <c r="AI52" s="4"/>
      <c r="AJ52" s="4"/>
      <c r="AK52" s="4"/>
      <c r="AL52" s="4"/>
      <c r="AM52" s="4"/>
    </row>
    <row r="53" spans="1:39" ht="13" x14ac:dyDescent="0.3">
      <c r="A53" s="18" t="s">
        <v>92</v>
      </c>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row>
    <row r="54" spans="1:39" ht="12.5" x14ac:dyDescent="0.25">
      <c r="A54" s="2" t="s">
        <v>105</v>
      </c>
      <c r="B54" s="2">
        <v>1102.0999999999999</v>
      </c>
      <c r="C54" s="4">
        <v>1292.4000000000001</v>
      </c>
      <c r="D54" s="4">
        <v>1222.7</v>
      </c>
      <c r="E54" s="4">
        <v>1203.0999999999999</v>
      </c>
      <c r="F54" s="4">
        <v>1053.4000000000001</v>
      </c>
      <c r="G54" s="4">
        <v>1143.7</v>
      </c>
      <c r="H54" s="4">
        <v>1194.0999999999999</v>
      </c>
      <c r="I54" s="4">
        <v>1174.4000000000001</v>
      </c>
      <c r="J54" s="4">
        <v>1470.4</v>
      </c>
      <c r="K54" s="4">
        <v>1368.8</v>
      </c>
      <c r="L54" s="4">
        <v>1449.3</v>
      </c>
      <c r="M54" s="4">
        <v>1679.9</v>
      </c>
      <c r="N54" s="4">
        <v>1387.6</v>
      </c>
      <c r="O54" s="4">
        <v>1776.1</v>
      </c>
      <c r="P54" s="4">
        <v>1770.6</v>
      </c>
      <c r="Q54" s="4">
        <v>1737.7</v>
      </c>
      <c r="R54" s="4">
        <v>3887.6</v>
      </c>
      <c r="S54" s="4">
        <v>4165.8999999999996</v>
      </c>
      <c r="T54" s="4">
        <v>4156.6000000000004</v>
      </c>
      <c r="U54" s="4">
        <v>4167</v>
      </c>
      <c r="V54" s="4">
        <v>3793</v>
      </c>
      <c r="W54" s="4">
        <v>4064.2</v>
      </c>
      <c r="X54" s="4">
        <v>4105.3999999999996</v>
      </c>
      <c r="Y54" s="4">
        <v>4076.6</v>
      </c>
      <c r="Z54" s="4">
        <v>2234.6999999999998</v>
      </c>
      <c r="AA54" s="4">
        <v>3682</v>
      </c>
      <c r="AB54" s="4">
        <v>3652.9</v>
      </c>
      <c r="AC54" s="4"/>
      <c r="AD54" s="4"/>
      <c r="AE54" s="4"/>
      <c r="AF54" s="4"/>
      <c r="AG54" s="4"/>
      <c r="AH54" s="4"/>
      <c r="AI54" s="4"/>
      <c r="AJ54" s="4"/>
      <c r="AK54" s="4"/>
      <c r="AL54" s="4"/>
      <c r="AM54" s="4"/>
    </row>
    <row r="55" spans="1:39" ht="12.5" x14ac:dyDescent="0.25">
      <c r="A55" s="2" t="s">
        <v>101</v>
      </c>
      <c r="B55" s="4">
        <v>74.3</v>
      </c>
      <c r="C55" s="4">
        <v>75.400000000000006</v>
      </c>
      <c r="D55" s="4">
        <v>83.4</v>
      </c>
      <c r="E55" s="4">
        <v>77.5</v>
      </c>
      <c r="F55" s="4">
        <v>75.2</v>
      </c>
      <c r="G55" s="4">
        <v>138.6</v>
      </c>
      <c r="H55" s="4">
        <v>169.2</v>
      </c>
      <c r="I55" s="4">
        <v>158.6</v>
      </c>
      <c r="J55" s="4">
        <v>160.69999999999999</v>
      </c>
      <c r="K55" s="4">
        <v>154.69999999999999</v>
      </c>
      <c r="L55" s="4">
        <v>150.30000000000001</v>
      </c>
      <c r="M55" s="4">
        <v>159.69999999999999</v>
      </c>
      <c r="N55" s="4">
        <v>175.4</v>
      </c>
      <c r="O55" s="4">
        <v>172.5</v>
      </c>
      <c r="P55" s="4">
        <v>176</v>
      </c>
      <c r="Q55" s="4">
        <v>187.7</v>
      </c>
      <c r="R55" s="4">
        <v>197.2</v>
      </c>
      <c r="S55" s="4">
        <v>199.9</v>
      </c>
      <c r="T55" s="4">
        <v>200.1</v>
      </c>
      <c r="U55" s="4">
        <v>219.9</v>
      </c>
      <c r="V55" s="4">
        <v>215.8</v>
      </c>
      <c r="W55" s="4">
        <v>213.4</v>
      </c>
      <c r="X55" s="4">
        <v>261.10000000000002</v>
      </c>
      <c r="Y55" s="4">
        <v>314</v>
      </c>
      <c r="Z55" s="4">
        <v>492.8</v>
      </c>
      <c r="AA55" s="4">
        <v>487.4</v>
      </c>
      <c r="AB55" s="4">
        <v>482.3</v>
      </c>
      <c r="AC55" s="4"/>
      <c r="AD55" s="4"/>
      <c r="AE55" s="4"/>
      <c r="AF55" s="4"/>
      <c r="AG55" s="4"/>
      <c r="AH55" s="4"/>
      <c r="AI55" s="4"/>
      <c r="AJ55" s="4"/>
      <c r="AK55" s="4"/>
      <c r="AL55" s="4"/>
      <c r="AM55" s="4"/>
    </row>
    <row r="56" spans="1:39" ht="12.5" x14ac:dyDescent="0.25">
      <c r="A56" s="2" t="s">
        <v>106</v>
      </c>
      <c r="B56" s="4">
        <v>82</v>
      </c>
      <c r="C56" s="4">
        <v>58.2</v>
      </c>
      <c r="D56" s="4">
        <v>52.5</v>
      </c>
      <c r="E56" s="4">
        <v>42.8</v>
      </c>
      <c r="F56" s="4">
        <v>57.9</v>
      </c>
      <c r="G56" s="4">
        <v>84.2</v>
      </c>
      <c r="H56" s="4">
        <v>74</v>
      </c>
      <c r="I56" s="4">
        <v>100.9</v>
      </c>
      <c r="J56" s="4">
        <v>86.7</v>
      </c>
      <c r="K56" s="4">
        <v>96</v>
      </c>
      <c r="L56" s="4">
        <v>98.9</v>
      </c>
      <c r="M56" s="4">
        <v>112.8</v>
      </c>
      <c r="N56" s="4">
        <v>126.8</v>
      </c>
      <c r="O56" s="4">
        <v>134.80000000000001</v>
      </c>
      <c r="P56" s="4">
        <v>140.69999999999999</v>
      </c>
      <c r="Q56" s="4">
        <v>157.4</v>
      </c>
      <c r="R56" s="4">
        <v>400.7</v>
      </c>
      <c r="S56" s="4">
        <v>392.7</v>
      </c>
      <c r="T56" s="4">
        <v>399.2</v>
      </c>
      <c r="U56" s="4">
        <v>428.3</v>
      </c>
      <c r="V56" s="4">
        <v>446.1</v>
      </c>
      <c r="W56" s="4">
        <v>447.3</v>
      </c>
      <c r="X56" s="4">
        <v>404.4</v>
      </c>
      <c r="Y56" s="4">
        <v>396.6</v>
      </c>
      <c r="Z56" s="4">
        <v>391.3</v>
      </c>
      <c r="AA56" s="4">
        <v>395.1</v>
      </c>
      <c r="AB56" s="4">
        <v>346.4</v>
      </c>
      <c r="AC56" s="4"/>
      <c r="AD56" s="4"/>
      <c r="AE56" s="4"/>
      <c r="AF56" s="4"/>
      <c r="AG56" s="4"/>
      <c r="AH56" s="4"/>
      <c r="AI56" s="4"/>
      <c r="AJ56" s="4"/>
      <c r="AK56" s="4"/>
      <c r="AL56" s="4"/>
      <c r="AM56" s="4"/>
    </row>
    <row r="57" spans="1:39" ht="12.5" x14ac:dyDescent="0.25">
      <c r="A57" s="2" t="s">
        <v>61</v>
      </c>
      <c r="B57" s="2">
        <v>142.69999999999999</v>
      </c>
      <c r="C57" s="4">
        <v>151.1</v>
      </c>
      <c r="D57" s="4">
        <v>231.3</v>
      </c>
      <c r="E57" s="4">
        <v>232.3</v>
      </c>
      <c r="F57" s="4">
        <v>246.6</v>
      </c>
      <c r="G57" s="4">
        <v>207.9</v>
      </c>
      <c r="H57" s="4">
        <v>199.7</v>
      </c>
      <c r="I57" s="4">
        <v>197.4</v>
      </c>
      <c r="J57" s="4">
        <v>232.8</v>
      </c>
      <c r="K57" s="4">
        <v>416.3</v>
      </c>
      <c r="L57" s="4">
        <v>436</v>
      </c>
      <c r="M57" s="4">
        <v>503.6</v>
      </c>
      <c r="N57" s="4">
        <v>512.29999999999995</v>
      </c>
      <c r="O57" s="4">
        <v>508.6</v>
      </c>
      <c r="P57" s="4">
        <v>499.1</v>
      </c>
      <c r="Q57" s="4">
        <v>512</v>
      </c>
      <c r="R57" s="4">
        <v>537.1</v>
      </c>
      <c r="S57" s="4">
        <v>549.20000000000005</v>
      </c>
      <c r="T57" s="4">
        <v>524.20000000000005</v>
      </c>
      <c r="U57" s="4">
        <v>536.29999999999995</v>
      </c>
      <c r="V57" s="4">
        <v>481.5</v>
      </c>
      <c r="W57" s="4">
        <v>470.3</v>
      </c>
      <c r="X57" s="4">
        <v>474.9</v>
      </c>
      <c r="Y57" s="4">
        <v>483.3</v>
      </c>
      <c r="Z57" s="4">
        <v>476</v>
      </c>
      <c r="AA57" s="4">
        <v>469.9</v>
      </c>
      <c r="AB57" s="4">
        <v>479.4</v>
      </c>
      <c r="AC57" s="4"/>
      <c r="AD57" s="4"/>
      <c r="AE57" s="4"/>
      <c r="AF57" s="4"/>
      <c r="AG57" s="4"/>
      <c r="AH57" s="4"/>
      <c r="AI57" s="4"/>
      <c r="AJ57" s="4"/>
      <c r="AK57" s="4"/>
      <c r="AL57" s="4"/>
      <c r="AM57" s="4"/>
    </row>
    <row r="58" spans="1:39" ht="12.5" x14ac:dyDescent="0.25">
      <c r="A58" s="2" t="s">
        <v>97</v>
      </c>
      <c r="B58" s="4">
        <f t="shared" ref="B58:AB58" si="22">SUM(B54:B57)</f>
        <v>1401.1</v>
      </c>
      <c r="C58" s="4">
        <f t="shared" si="22"/>
        <v>1577.1000000000001</v>
      </c>
      <c r="D58" s="4">
        <f t="shared" si="22"/>
        <v>1589.9</v>
      </c>
      <c r="E58" s="4">
        <f t="shared" si="22"/>
        <v>1555.6999999999998</v>
      </c>
      <c r="F58" s="4">
        <f t="shared" si="22"/>
        <v>1433.1000000000001</v>
      </c>
      <c r="G58" s="4">
        <f t="shared" si="22"/>
        <v>1574.4</v>
      </c>
      <c r="H58" s="4">
        <f t="shared" si="22"/>
        <v>1637</v>
      </c>
      <c r="I58" s="4">
        <f t="shared" si="22"/>
        <v>1631.3000000000002</v>
      </c>
      <c r="J58" s="4">
        <f t="shared" si="22"/>
        <v>1950.6000000000001</v>
      </c>
      <c r="K58" s="4">
        <f t="shared" si="22"/>
        <v>2035.8</v>
      </c>
      <c r="L58" s="4">
        <f t="shared" si="22"/>
        <v>2134.5</v>
      </c>
      <c r="M58" s="4">
        <f t="shared" si="22"/>
        <v>2456</v>
      </c>
      <c r="N58" s="4">
        <f t="shared" si="22"/>
        <v>2202.1</v>
      </c>
      <c r="O58" s="4">
        <f t="shared" si="22"/>
        <v>2592</v>
      </c>
      <c r="P58" s="4">
        <f t="shared" si="22"/>
        <v>2586.3999999999996</v>
      </c>
      <c r="Q58" s="4">
        <f t="shared" si="22"/>
        <v>2594.8000000000002</v>
      </c>
      <c r="R58" s="4">
        <f t="shared" si="22"/>
        <v>5022.6000000000004</v>
      </c>
      <c r="S58" s="4">
        <f t="shared" si="22"/>
        <v>5307.6999999999989</v>
      </c>
      <c r="T58" s="4">
        <f t="shared" si="22"/>
        <v>5280.1</v>
      </c>
      <c r="U58" s="4">
        <f t="shared" si="22"/>
        <v>5351.5</v>
      </c>
      <c r="V58" s="4">
        <f t="shared" si="22"/>
        <v>4936.4000000000005</v>
      </c>
      <c r="W58" s="4">
        <f t="shared" si="22"/>
        <v>5195.2</v>
      </c>
      <c r="X58" s="4">
        <f t="shared" si="22"/>
        <v>5245.7999999999993</v>
      </c>
      <c r="Y58" s="4">
        <f t="shared" si="22"/>
        <v>5270.5000000000009</v>
      </c>
      <c r="Z58" s="4">
        <f t="shared" si="22"/>
        <v>3594.8</v>
      </c>
      <c r="AA58" s="4">
        <f t="shared" si="22"/>
        <v>5034.3999999999996</v>
      </c>
      <c r="AB58" s="4">
        <f t="shared" si="22"/>
        <v>4960.9999999999991</v>
      </c>
      <c r="AC58" s="4"/>
      <c r="AD58" s="4"/>
      <c r="AE58" s="4"/>
      <c r="AF58" s="4"/>
      <c r="AG58" s="4"/>
      <c r="AH58" s="4"/>
      <c r="AI58" s="4"/>
      <c r="AJ58" s="4"/>
      <c r="AK58" s="4"/>
      <c r="AL58" s="4"/>
      <c r="AM58" s="4"/>
    </row>
    <row r="59" spans="1:39" ht="13" x14ac:dyDescent="0.3">
      <c r="A59" s="15" t="s">
        <v>107</v>
      </c>
      <c r="B59" s="3">
        <f t="shared" ref="B59:AB59" si="23">B58+B52</f>
        <v>2146</v>
      </c>
      <c r="C59" s="3">
        <f t="shared" si="23"/>
        <v>2186.5</v>
      </c>
      <c r="D59" s="3">
        <f t="shared" si="23"/>
        <v>2175.9</v>
      </c>
      <c r="E59" s="3">
        <f t="shared" si="23"/>
        <v>2323</v>
      </c>
      <c r="F59" s="3">
        <f t="shared" si="23"/>
        <v>2210.4</v>
      </c>
      <c r="G59" s="3">
        <f t="shared" si="23"/>
        <v>2147.6999999999998</v>
      </c>
      <c r="H59" s="3">
        <f t="shared" si="23"/>
        <v>2234.9</v>
      </c>
      <c r="I59" s="3">
        <f t="shared" si="23"/>
        <v>2336.5</v>
      </c>
      <c r="J59" s="3">
        <f t="shared" si="23"/>
        <v>2753.2000000000003</v>
      </c>
      <c r="K59" s="3">
        <f t="shared" si="23"/>
        <v>3076.6</v>
      </c>
      <c r="L59" s="3">
        <f t="shared" si="23"/>
        <v>3259.2</v>
      </c>
      <c r="M59" s="3">
        <f t="shared" si="23"/>
        <v>3711</v>
      </c>
      <c r="N59" s="3">
        <f t="shared" si="23"/>
        <v>3543.1</v>
      </c>
      <c r="O59" s="3">
        <f t="shared" si="23"/>
        <v>3335.9</v>
      </c>
      <c r="P59" s="3">
        <f t="shared" si="23"/>
        <v>3424.2999999999997</v>
      </c>
      <c r="Q59" s="3">
        <f t="shared" si="23"/>
        <v>3597.4</v>
      </c>
      <c r="R59" s="3">
        <f t="shared" si="23"/>
        <v>6310.6</v>
      </c>
      <c r="S59" s="3">
        <f t="shared" si="23"/>
        <v>6274.4999999999991</v>
      </c>
      <c r="T59" s="3">
        <f t="shared" si="23"/>
        <v>6367.9000000000005</v>
      </c>
      <c r="U59" s="3">
        <f t="shared" si="23"/>
        <v>6528.4</v>
      </c>
      <c r="V59" s="3">
        <f t="shared" si="23"/>
        <v>6249.8000000000011</v>
      </c>
      <c r="W59" s="3">
        <f t="shared" si="23"/>
        <v>6186.9</v>
      </c>
      <c r="X59" s="3">
        <f t="shared" si="23"/>
        <v>6264.6999999999989</v>
      </c>
      <c r="Y59" s="3">
        <f t="shared" si="23"/>
        <v>6433.5000000000009</v>
      </c>
      <c r="Z59" s="3">
        <f t="shared" si="23"/>
        <v>5992.6</v>
      </c>
      <c r="AA59" s="3">
        <f t="shared" si="23"/>
        <v>5958.4</v>
      </c>
      <c r="AB59" s="3">
        <f t="shared" si="23"/>
        <v>5932.0999999999985</v>
      </c>
      <c r="AC59" s="4"/>
      <c r="AD59" s="4"/>
      <c r="AE59" s="4"/>
      <c r="AF59" s="4"/>
      <c r="AG59" s="4"/>
      <c r="AH59" s="4"/>
      <c r="AI59" s="4"/>
      <c r="AJ59" s="4"/>
      <c r="AK59" s="4"/>
      <c r="AL59" s="4"/>
      <c r="AM59" s="4"/>
    </row>
    <row r="60" spans="1:39" ht="13" x14ac:dyDescent="0.3">
      <c r="A60" s="15" t="s">
        <v>108</v>
      </c>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row>
    <row r="61" spans="1:39" ht="13" x14ac:dyDescent="0.3">
      <c r="A61" s="18" t="s">
        <v>109</v>
      </c>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row>
    <row r="62" spans="1:39" ht="12.5" x14ac:dyDescent="0.25">
      <c r="A62" s="2" t="s">
        <v>110</v>
      </c>
      <c r="B62" s="27">
        <v>1.6</v>
      </c>
      <c r="C62" s="27">
        <v>1.6</v>
      </c>
      <c r="D62" s="27">
        <v>1.6</v>
      </c>
      <c r="E62" s="27">
        <v>1.6</v>
      </c>
      <c r="F62" s="27">
        <v>1.6</v>
      </c>
      <c r="G62" s="27">
        <v>1.6</v>
      </c>
      <c r="H62" s="27">
        <v>1.6</v>
      </c>
      <c r="I62" s="27">
        <v>1.6</v>
      </c>
      <c r="J62" s="27">
        <v>1.6</v>
      </c>
      <c r="K62" s="27">
        <v>1.6</v>
      </c>
      <c r="L62" s="27">
        <v>1.6</v>
      </c>
      <c r="M62" s="27">
        <v>1.6</v>
      </c>
      <c r="N62" s="27">
        <v>1.6</v>
      </c>
      <c r="O62" s="27">
        <v>1.6</v>
      </c>
      <c r="P62" s="27">
        <v>1.6</v>
      </c>
      <c r="Q62" s="27">
        <v>1.6</v>
      </c>
      <c r="R62" s="27">
        <v>1.6</v>
      </c>
      <c r="S62" s="27">
        <v>1.6</v>
      </c>
      <c r="T62" s="27">
        <v>1.6</v>
      </c>
      <c r="U62" s="27">
        <v>1.6</v>
      </c>
      <c r="V62" s="27">
        <v>1.6</v>
      </c>
      <c r="W62" s="27">
        <v>1.6</v>
      </c>
      <c r="X62" s="27">
        <v>1.6</v>
      </c>
      <c r="Y62" s="27">
        <v>1.6</v>
      </c>
      <c r="Z62" s="27">
        <v>1.6</v>
      </c>
      <c r="AA62" s="27">
        <v>1.6</v>
      </c>
      <c r="AB62" s="27">
        <v>1.6</v>
      </c>
      <c r="AC62" s="27"/>
      <c r="AD62" s="27"/>
      <c r="AE62" s="27"/>
      <c r="AF62" s="27"/>
      <c r="AG62" s="27"/>
      <c r="AH62" s="27"/>
      <c r="AI62" s="27"/>
      <c r="AJ62" s="27"/>
      <c r="AK62" s="27"/>
      <c r="AL62" s="27"/>
      <c r="AM62" s="27"/>
    </row>
    <row r="63" spans="1:39" ht="12.5" x14ac:dyDescent="0.25">
      <c r="A63" s="2" t="s">
        <v>111</v>
      </c>
      <c r="B63" s="4">
        <v>-1398.9</v>
      </c>
      <c r="C63" s="4">
        <v>-1399.3</v>
      </c>
      <c r="D63" s="4">
        <v>-1398</v>
      </c>
      <c r="E63" s="4">
        <v>-1406.6</v>
      </c>
      <c r="F63" s="4">
        <v>-1630.8</v>
      </c>
      <c r="G63" s="4">
        <v>-1623.2</v>
      </c>
      <c r="H63" s="4">
        <v>-1741.4</v>
      </c>
      <c r="I63" s="4">
        <v>-1739.2</v>
      </c>
      <c r="J63" s="4">
        <v>-1999.8</v>
      </c>
      <c r="K63" s="4">
        <v>-1991.7</v>
      </c>
      <c r="L63" s="4">
        <v>-1988.7</v>
      </c>
      <c r="M63" s="4">
        <v>-2036.2</v>
      </c>
      <c r="N63" s="4">
        <v>-2035.7</v>
      </c>
      <c r="O63" s="4">
        <v>-2025.5</v>
      </c>
      <c r="P63" s="4">
        <v>-2021.8</v>
      </c>
      <c r="Q63" s="4">
        <v>-2019.6</v>
      </c>
      <c r="R63" s="4">
        <v>-2030.9</v>
      </c>
      <c r="S63" s="4">
        <v>-2027</v>
      </c>
      <c r="T63" s="4">
        <v>-2018.4</v>
      </c>
      <c r="U63" s="4">
        <v>-2015.3</v>
      </c>
      <c r="V63" s="4">
        <v>-2024.8</v>
      </c>
      <c r="W63" s="4">
        <v>-2017.7</v>
      </c>
      <c r="X63" s="4">
        <v>-2017.2</v>
      </c>
      <c r="Y63" s="4">
        <v>-2017</v>
      </c>
      <c r="Z63" s="4">
        <v>-2026.1</v>
      </c>
      <c r="AA63" s="4">
        <v>-2178.6</v>
      </c>
      <c r="AB63" s="4">
        <v>-2176.6</v>
      </c>
      <c r="AC63" s="4"/>
      <c r="AD63" s="4"/>
      <c r="AE63" s="4"/>
      <c r="AF63" s="4"/>
      <c r="AG63" s="4"/>
      <c r="AH63" s="4"/>
      <c r="AI63" s="4"/>
      <c r="AJ63" s="4"/>
      <c r="AK63" s="4"/>
      <c r="AL63" s="4"/>
      <c r="AM63" s="4"/>
    </row>
    <row r="64" spans="1:39" ht="12.5" x14ac:dyDescent="0.25">
      <c r="A64" s="2" t="s">
        <v>112</v>
      </c>
      <c r="B64" s="4">
        <v>987.6</v>
      </c>
      <c r="C64" s="4">
        <v>995.7</v>
      </c>
      <c r="D64" s="4">
        <v>1012.6</v>
      </c>
      <c r="E64" s="4">
        <v>1038.9000000000001</v>
      </c>
      <c r="F64" s="4">
        <v>1048.5</v>
      </c>
      <c r="G64" s="4">
        <v>1069.0999999999999</v>
      </c>
      <c r="H64" s="4">
        <v>1087.8</v>
      </c>
      <c r="I64" s="4">
        <v>1107.5999999999999</v>
      </c>
      <c r="J64" s="4">
        <v>1109.3</v>
      </c>
      <c r="K64" s="4">
        <v>1131.0999999999999</v>
      </c>
      <c r="L64" s="4">
        <v>1150.0999999999999</v>
      </c>
      <c r="M64" s="4">
        <v>1169.3</v>
      </c>
      <c r="N64" s="4">
        <v>1178.5</v>
      </c>
      <c r="O64" s="4">
        <v>1198.5</v>
      </c>
      <c r="P64" s="4">
        <v>1219.5999999999999</v>
      </c>
      <c r="Q64" s="4">
        <v>1241.2</v>
      </c>
      <c r="R64" s="4">
        <v>1245.5</v>
      </c>
      <c r="S64" s="4">
        <v>1263.5999999999999</v>
      </c>
      <c r="T64" s="4">
        <v>1307.7</v>
      </c>
      <c r="U64" s="4">
        <v>1333.4</v>
      </c>
      <c r="V64" s="4">
        <v>1344.7</v>
      </c>
      <c r="W64" s="4">
        <v>1379.8</v>
      </c>
      <c r="X64" s="4">
        <v>1401.9</v>
      </c>
      <c r="Y64" s="4">
        <v>1424</v>
      </c>
      <c r="Z64" s="4">
        <v>1436.8</v>
      </c>
      <c r="AA64" s="4">
        <v>1481</v>
      </c>
      <c r="AB64" s="4">
        <v>1506.8</v>
      </c>
      <c r="AC64" s="4"/>
      <c r="AD64" s="4"/>
      <c r="AE64" s="4"/>
      <c r="AF64" s="4"/>
      <c r="AG64" s="4"/>
      <c r="AH64" s="4"/>
      <c r="AI64" s="4"/>
      <c r="AJ64" s="4"/>
      <c r="AK64" s="4"/>
      <c r="AL64" s="4"/>
      <c r="AM64" s="4"/>
    </row>
    <row r="65" spans="1:39" ht="12.5" x14ac:dyDescent="0.25">
      <c r="A65" s="2" t="s">
        <v>113</v>
      </c>
      <c r="B65" s="4">
        <v>1469.4</v>
      </c>
      <c r="C65" s="4">
        <v>1477</v>
      </c>
      <c r="D65" s="4">
        <v>1496.3</v>
      </c>
      <c r="E65" s="4">
        <v>1562.6</v>
      </c>
      <c r="F65" s="4">
        <v>1727</v>
      </c>
      <c r="G65" s="4">
        <v>1850</v>
      </c>
      <c r="H65" s="4">
        <v>1843.8</v>
      </c>
      <c r="I65" s="4">
        <v>1959.9</v>
      </c>
      <c r="J65" s="4">
        <v>2087.6999999999998</v>
      </c>
      <c r="K65" s="4">
        <v>2082</v>
      </c>
      <c r="L65" s="4">
        <v>2030.1</v>
      </c>
      <c r="M65" s="4">
        <v>2135.1</v>
      </c>
      <c r="N65" s="4">
        <v>2302.6</v>
      </c>
      <c r="O65" s="4">
        <v>2302.1</v>
      </c>
      <c r="P65" s="4">
        <v>2291.8000000000002</v>
      </c>
      <c r="Q65" s="4">
        <v>2390.1999999999998</v>
      </c>
      <c r="R65" s="4">
        <v>2583.8000000000002</v>
      </c>
      <c r="S65" s="4">
        <v>2576.6</v>
      </c>
      <c r="T65" s="4">
        <v>2549.1</v>
      </c>
      <c r="U65" s="4">
        <v>2650.9</v>
      </c>
      <c r="V65" s="4">
        <v>2823.9</v>
      </c>
      <c r="W65" s="4">
        <v>2789.1</v>
      </c>
      <c r="X65" s="4">
        <v>2761.3</v>
      </c>
      <c r="Y65" s="4">
        <v>2874.5</v>
      </c>
      <c r="Z65" s="4">
        <v>3113</v>
      </c>
      <c r="AA65" s="4">
        <v>3109.8</v>
      </c>
      <c r="AB65" s="4">
        <v>3085.9</v>
      </c>
      <c r="AC65" s="4"/>
      <c r="AD65" s="4"/>
      <c r="AE65" s="4"/>
      <c r="AF65" s="4"/>
      <c r="AG65" s="4"/>
      <c r="AH65" s="4"/>
      <c r="AI65" s="4"/>
      <c r="AJ65" s="4"/>
      <c r="AK65" s="4"/>
      <c r="AL65" s="4"/>
      <c r="AM65" s="4"/>
    </row>
    <row r="66" spans="1:39" ht="12.5" x14ac:dyDescent="0.25">
      <c r="A66" s="2" t="s">
        <v>61</v>
      </c>
      <c r="B66" s="4">
        <v>-55.8</v>
      </c>
      <c r="C66" s="4">
        <v>-37.1</v>
      </c>
      <c r="D66" s="4">
        <v>-38.5</v>
      </c>
      <c r="E66" s="4">
        <v>-34.700000000000003</v>
      </c>
      <c r="F66" s="4">
        <v>-51.9</v>
      </c>
      <c r="G66" s="4">
        <v>-63.5</v>
      </c>
      <c r="H66" s="4">
        <v>-69.2</v>
      </c>
      <c r="I66" s="4">
        <v>-64.2</v>
      </c>
      <c r="J66" s="4">
        <v>-71.3</v>
      </c>
      <c r="K66" s="4">
        <v>-79.599999999999994</v>
      </c>
      <c r="L66" s="4">
        <v>-67.7</v>
      </c>
      <c r="M66" s="4">
        <v>-67.2</v>
      </c>
      <c r="N66" s="4">
        <v>-100.4</v>
      </c>
      <c r="O66" s="4">
        <v>-62.9</v>
      </c>
      <c r="P66" s="4">
        <v>-57.1</v>
      </c>
      <c r="Q66" s="4">
        <v>-24</v>
      </c>
      <c r="R66" s="4">
        <v>9.1</v>
      </c>
      <c r="S66" s="4">
        <v>-60.9</v>
      </c>
      <c r="T66" s="4">
        <v>-92</v>
      </c>
      <c r="U66" s="4">
        <v>-149.5</v>
      </c>
      <c r="V66" s="4">
        <v>-226.3</v>
      </c>
      <c r="W66" s="4">
        <v>-249.2</v>
      </c>
      <c r="X66" s="4">
        <v>-361</v>
      </c>
      <c r="Y66" s="4">
        <v>-284.2</v>
      </c>
      <c r="Z66" s="4">
        <v>-284.7</v>
      </c>
      <c r="AA66" s="4">
        <v>-301</v>
      </c>
      <c r="AB66" s="4">
        <v>-350</v>
      </c>
      <c r="AC66" s="4"/>
      <c r="AD66" s="4"/>
      <c r="AE66" s="4"/>
      <c r="AF66" s="4"/>
      <c r="AG66" s="4"/>
      <c r="AH66" s="4"/>
      <c r="AI66" s="4"/>
      <c r="AJ66" s="4"/>
      <c r="AK66" s="4"/>
      <c r="AL66" s="4"/>
      <c r="AM66" s="4"/>
    </row>
    <row r="67" spans="1:39" ht="13" x14ac:dyDescent="0.3">
      <c r="A67" s="15" t="s">
        <v>114</v>
      </c>
      <c r="B67" s="3">
        <f t="shared" ref="B67:AB67" si="24">SUM(B62:B66)</f>
        <v>1003.8999999999999</v>
      </c>
      <c r="C67" s="3">
        <f t="shared" si="24"/>
        <v>1037.9000000000001</v>
      </c>
      <c r="D67" s="3">
        <f t="shared" si="24"/>
        <v>1074</v>
      </c>
      <c r="E67" s="3">
        <f t="shared" si="24"/>
        <v>1161.8</v>
      </c>
      <c r="F67" s="3">
        <f t="shared" si="24"/>
        <v>1094.3999999999999</v>
      </c>
      <c r="G67" s="3">
        <f t="shared" si="24"/>
        <v>1233.9999999999998</v>
      </c>
      <c r="H67" s="3">
        <f t="shared" si="24"/>
        <v>1122.5999999999997</v>
      </c>
      <c r="I67" s="3">
        <f t="shared" si="24"/>
        <v>1265.6999999999998</v>
      </c>
      <c r="J67" s="3">
        <f t="shared" si="24"/>
        <v>1127.4999999999998</v>
      </c>
      <c r="K67" s="3">
        <f t="shared" si="24"/>
        <v>1143.3999999999999</v>
      </c>
      <c r="L67" s="3">
        <f t="shared" si="24"/>
        <v>1125.3999999999996</v>
      </c>
      <c r="M67" s="3">
        <f t="shared" si="24"/>
        <v>1202.5999999999997</v>
      </c>
      <c r="N67" s="3">
        <f t="shared" si="24"/>
        <v>1346.5999999999997</v>
      </c>
      <c r="O67" s="3">
        <f t="shared" si="24"/>
        <v>1413.7999999999997</v>
      </c>
      <c r="P67" s="3">
        <f t="shared" si="24"/>
        <v>1434.1000000000001</v>
      </c>
      <c r="Q67" s="3">
        <f t="shared" si="24"/>
        <v>1589.3999999999999</v>
      </c>
      <c r="R67" s="3">
        <f t="shared" si="24"/>
        <v>1809.1</v>
      </c>
      <c r="S67" s="3">
        <f t="shared" si="24"/>
        <v>1753.8999999999996</v>
      </c>
      <c r="T67" s="3">
        <f t="shared" si="24"/>
        <v>1747.9999999999998</v>
      </c>
      <c r="U67" s="3">
        <f t="shared" si="24"/>
        <v>1821.1000000000001</v>
      </c>
      <c r="V67" s="3">
        <f t="shared" si="24"/>
        <v>1919.1000000000001</v>
      </c>
      <c r="W67" s="3">
        <f t="shared" si="24"/>
        <v>1903.5999999999997</v>
      </c>
      <c r="X67" s="3">
        <f t="shared" si="24"/>
        <v>1786.6000000000004</v>
      </c>
      <c r="Y67" s="3">
        <f t="shared" si="24"/>
        <v>1998.8999999999999</v>
      </c>
      <c r="Z67" s="3">
        <f t="shared" si="24"/>
        <v>2240.6000000000004</v>
      </c>
      <c r="AA67" s="3">
        <f t="shared" si="24"/>
        <v>2112.8000000000002</v>
      </c>
      <c r="AB67" s="3">
        <f t="shared" si="24"/>
        <v>2067.6999999999998</v>
      </c>
      <c r="AC67" s="4"/>
      <c r="AD67" s="4"/>
      <c r="AE67" s="4"/>
      <c r="AF67" s="4"/>
      <c r="AG67" s="4"/>
      <c r="AH67" s="4"/>
      <c r="AI67" s="4"/>
      <c r="AJ67" s="4"/>
      <c r="AK67" s="4"/>
      <c r="AL67" s="4"/>
      <c r="AM67" s="4"/>
    </row>
    <row r="68" spans="1:39" ht="13" x14ac:dyDescent="0.3">
      <c r="A68" s="15" t="s">
        <v>115</v>
      </c>
      <c r="B68" s="3">
        <f t="shared" ref="B68:AB68" si="25">B67+B59</f>
        <v>3149.8999999999996</v>
      </c>
      <c r="C68" s="3">
        <f t="shared" si="25"/>
        <v>3224.4</v>
      </c>
      <c r="D68" s="3">
        <f t="shared" si="25"/>
        <v>3249.9</v>
      </c>
      <c r="E68" s="3">
        <f t="shared" si="25"/>
        <v>3484.8</v>
      </c>
      <c r="F68" s="3">
        <f t="shared" si="25"/>
        <v>3304.8</v>
      </c>
      <c r="G68" s="3">
        <f t="shared" si="25"/>
        <v>3381.7</v>
      </c>
      <c r="H68" s="3">
        <f t="shared" si="25"/>
        <v>3357.5</v>
      </c>
      <c r="I68" s="3">
        <f t="shared" si="25"/>
        <v>3602.2</v>
      </c>
      <c r="J68" s="3">
        <f t="shared" si="25"/>
        <v>3880.7</v>
      </c>
      <c r="K68" s="3">
        <f t="shared" si="25"/>
        <v>4220</v>
      </c>
      <c r="L68" s="3">
        <f t="shared" si="25"/>
        <v>4384.5999999999995</v>
      </c>
      <c r="M68" s="3">
        <f t="shared" si="25"/>
        <v>4913.5999999999995</v>
      </c>
      <c r="N68" s="3">
        <f t="shared" si="25"/>
        <v>4889.7</v>
      </c>
      <c r="O68" s="3">
        <f t="shared" si="25"/>
        <v>4749.7</v>
      </c>
      <c r="P68" s="3">
        <f t="shared" si="25"/>
        <v>4858.3999999999996</v>
      </c>
      <c r="Q68" s="3">
        <f t="shared" si="25"/>
        <v>5186.8</v>
      </c>
      <c r="R68" s="3">
        <f t="shared" si="25"/>
        <v>8119.7000000000007</v>
      </c>
      <c r="S68" s="3">
        <f t="shared" si="25"/>
        <v>8028.3999999999987</v>
      </c>
      <c r="T68" s="3">
        <f t="shared" si="25"/>
        <v>8115.9000000000005</v>
      </c>
      <c r="U68" s="3">
        <f t="shared" si="25"/>
        <v>8349.5</v>
      </c>
      <c r="V68" s="3">
        <f t="shared" si="25"/>
        <v>8168.9000000000015</v>
      </c>
      <c r="W68" s="3">
        <f t="shared" si="25"/>
        <v>8090.4999999999991</v>
      </c>
      <c r="X68" s="3">
        <f t="shared" si="25"/>
        <v>8051.2999999999993</v>
      </c>
      <c r="Y68" s="3">
        <f t="shared" si="25"/>
        <v>8432.4000000000015</v>
      </c>
      <c r="Z68" s="3">
        <f t="shared" si="25"/>
        <v>8233.2000000000007</v>
      </c>
      <c r="AA68" s="3">
        <f t="shared" si="25"/>
        <v>8071.2</v>
      </c>
      <c r="AB68" s="3">
        <f t="shared" si="25"/>
        <v>7999.7999999999984</v>
      </c>
      <c r="AC68" s="4"/>
      <c r="AD68" s="4"/>
      <c r="AE68" s="4"/>
      <c r="AF68" s="4"/>
      <c r="AG68" s="4"/>
      <c r="AH68" s="4"/>
      <c r="AI68" s="4"/>
      <c r="AJ68" s="4"/>
      <c r="AK68" s="4"/>
      <c r="AL68" s="4"/>
      <c r="AM68" s="4"/>
    </row>
    <row r="70" spans="1:39" ht="12.5" x14ac:dyDescent="0.25">
      <c r="A70" s="2" t="s">
        <v>116</v>
      </c>
      <c r="B70" s="2" t="s">
        <v>117</v>
      </c>
      <c r="C70" s="5">
        <f t="shared" ref="C70:AB70" si="26">C54/B54-1</f>
        <v>0.17267035659196095</v>
      </c>
      <c r="D70" s="5">
        <f t="shared" si="26"/>
        <v>-5.3930671618693915E-2</v>
      </c>
      <c r="E70" s="5">
        <f t="shared" si="26"/>
        <v>-1.603009732559102E-2</v>
      </c>
      <c r="F70" s="5">
        <f t="shared" si="26"/>
        <v>-0.12442855955448406</v>
      </c>
      <c r="G70" s="5">
        <f t="shared" si="26"/>
        <v>8.5722422631479001E-2</v>
      </c>
      <c r="H70" s="5">
        <f t="shared" si="26"/>
        <v>4.4067500218588629E-2</v>
      </c>
      <c r="I70" s="5">
        <f t="shared" si="26"/>
        <v>-1.6497780755380442E-2</v>
      </c>
      <c r="J70" s="5">
        <f t="shared" si="26"/>
        <v>0.25204359673024523</v>
      </c>
      <c r="K70" s="5">
        <f t="shared" si="26"/>
        <v>-6.9096844396082768E-2</v>
      </c>
      <c r="L70" s="5">
        <f t="shared" si="26"/>
        <v>5.8810637054354187E-2</v>
      </c>
      <c r="M70" s="5">
        <f t="shared" si="26"/>
        <v>0.15911129510798316</v>
      </c>
      <c r="N70" s="5">
        <f t="shared" si="26"/>
        <v>-0.17399845228882682</v>
      </c>
      <c r="O70" s="5">
        <f t="shared" si="26"/>
        <v>0.27997982127414245</v>
      </c>
      <c r="P70" s="5">
        <f t="shared" si="26"/>
        <v>-3.0966724846573923E-3</v>
      </c>
      <c r="Q70" s="5">
        <f t="shared" si="26"/>
        <v>-1.8581271885236617E-2</v>
      </c>
      <c r="R70" s="5">
        <f t="shared" si="26"/>
        <v>1.2372101053116187</v>
      </c>
      <c r="S70" s="5">
        <f t="shared" si="26"/>
        <v>7.1586582981788105E-2</v>
      </c>
      <c r="T70" s="5">
        <f>T54/S54-1</f>
        <v>-2.2324107635802726E-3</v>
      </c>
      <c r="U70" s="5">
        <f t="shared" si="26"/>
        <v>2.5020449405763756E-3</v>
      </c>
      <c r="V70" s="5">
        <f t="shared" si="26"/>
        <v>-8.9752819774418069E-2</v>
      </c>
      <c r="W70" s="5">
        <f t="shared" si="26"/>
        <v>7.1500131821776947E-2</v>
      </c>
      <c r="X70" s="5">
        <f t="shared" si="26"/>
        <v>1.0137296392894068E-2</v>
      </c>
      <c r="Y70" s="5">
        <f t="shared" si="26"/>
        <v>-7.015150777025303E-3</v>
      </c>
      <c r="Z70" s="5">
        <f t="shared" si="26"/>
        <v>-0.45182259726242457</v>
      </c>
      <c r="AA70" s="5">
        <f t="shared" si="26"/>
        <v>0.64764845393117665</v>
      </c>
      <c r="AB70" s="5">
        <f t="shared" si="26"/>
        <v>-7.9033134166214269E-3</v>
      </c>
    </row>
    <row r="71" spans="1:39" ht="12.5" x14ac:dyDescent="0.25">
      <c r="A71" s="2" t="s">
        <v>118</v>
      </c>
      <c r="B71" s="5">
        <f t="shared" ref="B71:AB71" si="27">B59/B67</f>
        <v>2.1376631138559619</v>
      </c>
      <c r="C71" s="5">
        <f t="shared" si="27"/>
        <v>2.1066576741497252</v>
      </c>
      <c r="D71" s="5">
        <f t="shared" si="27"/>
        <v>2.0259776536312848</v>
      </c>
      <c r="E71" s="5">
        <f t="shared" si="27"/>
        <v>1.9994835599931142</v>
      </c>
      <c r="F71" s="5">
        <f t="shared" si="27"/>
        <v>2.0197368421052633</v>
      </c>
      <c r="G71" s="5">
        <f t="shared" si="27"/>
        <v>1.7404376012965965</v>
      </c>
      <c r="H71" s="5">
        <f t="shared" si="27"/>
        <v>1.9908248708355609</v>
      </c>
      <c r="I71" s="5">
        <f t="shared" si="27"/>
        <v>1.8460140633641466</v>
      </c>
      <c r="J71" s="5">
        <f t="shared" si="27"/>
        <v>2.4418625277161872</v>
      </c>
      <c r="K71" s="5">
        <f t="shared" si="27"/>
        <v>2.6907468952247684</v>
      </c>
      <c r="L71" s="5">
        <f t="shared" si="27"/>
        <v>2.8960369646347974</v>
      </c>
      <c r="M71" s="5">
        <f t="shared" si="27"/>
        <v>3.0858140695160494</v>
      </c>
      <c r="N71" s="5">
        <f t="shared" si="27"/>
        <v>2.6311451061933764</v>
      </c>
      <c r="O71" s="5">
        <f t="shared" si="27"/>
        <v>2.3595275144999297</v>
      </c>
      <c r="P71" s="5">
        <f t="shared" si="27"/>
        <v>2.3877693326825185</v>
      </c>
      <c r="Q71" s="5">
        <f t="shared" si="27"/>
        <v>2.2633698250912295</v>
      </c>
      <c r="R71" s="5">
        <f t="shared" si="27"/>
        <v>3.4882538278702122</v>
      </c>
      <c r="S71" s="5">
        <f t="shared" si="27"/>
        <v>3.5774559552996181</v>
      </c>
      <c r="T71" s="5">
        <f t="shared" si="27"/>
        <v>3.6429633867276894</v>
      </c>
      <c r="U71" s="5">
        <f t="shared" si="27"/>
        <v>3.5848662896051833</v>
      </c>
      <c r="V71" s="5">
        <f t="shared" si="27"/>
        <v>3.2566307123130636</v>
      </c>
      <c r="W71" s="5">
        <f t="shared" si="27"/>
        <v>3.2501050640890945</v>
      </c>
      <c r="X71" s="5">
        <f t="shared" si="27"/>
        <v>3.5064927795813263</v>
      </c>
      <c r="Y71" s="5">
        <f t="shared" si="27"/>
        <v>3.2185201861023569</v>
      </c>
      <c r="Z71" s="5">
        <f t="shared" si="27"/>
        <v>2.6745514594305093</v>
      </c>
      <c r="AA71" s="5">
        <f t="shared" si="27"/>
        <v>2.8201438848920861</v>
      </c>
      <c r="AB71" s="5">
        <f t="shared" si="27"/>
        <v>2.8689364994921891</v>
      </c>
    </row>
  </sheetData>
  <mergeCells count="1">
    <mergeCell ref="AI12:AK12"/>
  </mergeCells>
  <conditionalFormatting sqref="C70:AB70">
    <cfRule type="cellIs" dxfId="1" priority="1" operator="greaterThan">
      <formula>0</formula>
    </cfRule>
    <cfRule type="cellIs" dxfId="0" priority="2" operator="lessThanOrEqual">
      <formula>0</formula>
    </cfRule>
  </conditionalFormatting>
  <printOptions horizontalCentered="1" gridLines="1"/>
  <pageMargins left="0.7" right="0.7" top="0.75" bottom="0.75" header="0" footer="0"/>
  <pageSetup paperSize="9"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BR</vt:lpstr>
      <vt:lpstr>FS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 Thuc Tuong</cp:lastModifiedBy>
  <dcterms:modified xsi:type="dcterms:W3CDTF">2024-03-10T21:56:38Z</dcterms:modified>
</cp:coreProperties>
</file>