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gay\Downloads\"/>
    </mc:Choice>
  </mc:AlternateContent>
  <xr:revisionPtr revIDLastSave="0" documentId="8_{5BD979B7-7C1D-4B72-B9C5-A381D8B3FDFC}" xr6:coauthVersionLast="47" xr6:coauthVersionMax="47" xr10:uidLastSave="{00000000-0000-0000-0000-000000000000}"/>
  <bookViews>
    <workbookView xWindow="-110" yWindow="-110" windowWidth="19420" windowHeight="11500" xr2:uid="{A8ED44CA-1236-41CB-891E-18A5288894F7}"/>
  </bookViews>
  <sheets>
    <sheet name="DCF TV Method" sheetId="1" r:id="rId1"/>
    <sheet name="Financ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I8" i="1"/>
  <c r="J4" i="1"/>
  <c r="J5" i="1"/>
  <c r="J3" i="1"/>
  <c r="C19" i="1"/>
  <c r="F4" i="1"/>
  <c r="C4" i="1"/>
  <c r="D4" i="1" s="1"/>
  <c r="E4" i="1" s="1"/>
  <c r="G10" i="1"/>
  <c r="F10" i="1"/>
  <c r="E10" i="1"/>
  <c r="D10" i="1"/>
  <c r="C43" i="2"/>
  <c r="C10" i="1" s="1"/>
  <c r="J13" i="1"/>
  <c r="J18" i="1" s="1"/>
  <c r="C15" i="1" s="1"/>
  <c r="C13" i="1" s="1"/>
  <c r="D13" i="1" s="1"/>
  <c r="E13" i="1" s="1"/>
  <c r="F13" i="1" s="1"/>
  <c r="G13" i="1" s="1"/>
  <c r="G9" i="1"/>
  <c r="F9" i="1"/>
  <c r="E9" i="1"/>
  <c r="D9" i="1"/>
  <c r="C3" i="1" a="1"/>
  <c r="C3" i="1" s="1"/>
  <c r="C9" i="1"/>
  <c r="L34" i="2"/>
  <c r="M34" i="2" s="1"/>
  <c r="N34" i="2" s="1"/>
  <c r="K34" i="2"/>
  <c r="J34" i="2"/>
  <c r="N30" i="2"/>
  <c r="M30" i="2"/>
  <c r="L30" i="2"/>
  <c r="K30" i="2"/>
  <c r="I34" i="2"/>
  <c r="J33" i="2" a="1"/>
  <c r="J33" i="2" s="1"/>
  <c r="J28" i="2" a="1"/>
  <c r="J28" i="2" s="1"/>
  <c r="G36" i="2"/>
  <c r="F36" i="2"/>
  <c r="E36" i="2"/>
  <c r="D36" i="2"/>
  <c r="G31" i="2"/>
  <c r="F31" i="2"/>
  <c r="E31" i="2"/>
  <c r="D31" i="2"/>
  <c r="C36" i="2"/>
  <c r="C31" i="2"/>
  <c r="C28" i="2" a="1"/>
  <c r="C28" i="2" s="1"/>
  <c r="C42" i="2" a="1"/>
  <c r="C42" i="2" s="1"/>
  <c r="C8" i="1"/>
  <c r="D8" i="1" s="1"/>
  <c r="E8" i="1" s="1"/>
  <c r="F8" i="1" s="1"/>
  <c r="G8" i="1" s="1"/>
  <c r="E5" i="1"/>
  <c r="J15" i="2"/>
  <c r="J13" i="2" s="1"/>
  <c r="K15" i="2"/>
  <c r="K13" i="2" s="1"/>
  <c r="C8" i="2"/>
  <c r="I13" i="2"/>
  <c r="H13" i="2"/>
  <c r="G13" i="2"/>
  <c r="F13" i="2"/>
  <c r="E13" i="2"/>
  <c r="D13" i="2"/>
  <c r="C13" i="2"/>
  <c r="K8" i="2"/>
  <c r="J8" i="2"/>
  <c r="I8" i="2"/>
  <c r="H8" i="2"/>
  <c r="G8" i="2"/>
  <c r="F8" i="2"/>
  <c r="E8" i="2"/>
  <c r="D8" i="2"/>
  <c r="K7" i="2"/>
  <c r="J7" i="2"/>
  <c r="I7" i="2"/>
  <c r="H7" i="2"/>
  <c r="G7" i="2"/>
  <c r="F7" i="2"/>
  <c r="E7" i="2"/>
  <c r="D7" i="2"/>
  <c r="C7" i="2"/>
  <c r="K5" i="2"/>
  <c r="J5" i="2"/>
  <c r="I5" i="2"/>
  <c r="H5" i="2"/>
  <c r="G5" i="2"/>
  <c r="F5" i="2"/>
  <c r="E5" i="2"/>
  <c r="D5" i="2"/>
  <c r="C3" i="2" a="1"/>
  <c r="C3" i="2" s="1"/>
  <c r="G4" i="1" l="1"/>
  <c r="F29" i="2"/>
  <c r="G29" i="2"/>
  <c r="E29" i="2"/>
  <c r="D29" i="2"/>
  <c r="C29" i="2"/>
  <c r="C11" i="2"/>
  <c r="C16" i="2" s="1"/>
  <c r="C18" i="2" s="1"/>
  <c r="C20" i="2" s="1"/>
  <c r="K11" i="2"/>
  <c r="H11" i="2"/>
  <c r="H16" i="2" s="1"/>
  <c r="H18" i="2" s="1"/>
  <c r="D6" i="1"/>
  <c r="I11" i="2"/>
  <c r="I16" i="2" s="1"/>
  <c r="I18" i="2" s="1"/>
  <c r="I20" i="2" s="1"/>
  <c r="E6" i="1"/>
  <c r="J11" i="2"/>
  <c r="J12" i="2" s="1"/>
  <c r="C6" i="1"/>
  <c r="F5" i="1"/>
  <c r="F11" i="2"/>
  <c r="F16" i="2" s="1"/>
  <c r="F18" i="2" s="1"/>
  <c r="F20" i="2" s="1"/>
  <c r="D11" i="2"/>
  <c r="D16" i="2" s="1"/>
  <c r="D18" i="2" s="1"/>
  <c r="D20" i="2" s="1"/>
  <c r="E11" i="2"/>
  <c r="G11" i="2"/>
  <c r="D7" i="1" l="1"/>
  <c r="D11" i="1"/>
  <c r="D12" i="1" s="1"/>
  <c r="D14" i="1" s="1"/>
  <c r="E7" i="1"/>
  <c r="E11" i="1"/>
  <c r="E12" i="1" s="1"/>
  <c r="E14" i="1" s="1"/>
  <c r="D43" i="2"/>
  <c r="E43" i="2" s="1"/>
  <c r="F43" i="2" s="1"/>
  <c r="G43" i="2" s="1"/>
  <c r="E12" i="2"/>
  <c r="C7" i="1"/>
  <c r="C11" i="1" s="1"/>
  <c r="C12" i="1" s="1"/>
  <c r="C14" i="1" s="1"/>
  <c r="G30" i="2"/>
  <c r="E30" i="2"/>
  <c r="D30" i="2"/>
  <c r="F30" i="2"/>
  <c r="E16" i="2"/>
  <c r="E18" i="2" s="1"/>
  <c r="E20" i="2" s="1"/>
  <c r="E21" i="2" s="1"/>
  <c r="J16" i="2"/>
  <c r="J18" i="2" s="1"/>
  <c r="J19" i="2" s="1"/>
  <c r="I12" i="2"/>
  <c r="K12" i="2"/>
  <c r="F12" i="2"/>
  <c r="I19" i="2"/>
  <c r="H20" i="2"/>
  <c r="D21" i="2"/>
  <c r="H12" i="2"/>
  <c r="K16" i="2"/>
  <c r="K18" i="2" s="1"/>
  <c r="K20" i="2" s="1"/>
  <c r="G12" i="2"/>
  <c r="G16" i="2"/>
  <c r="G18" i="2" s="1"/>
  <c r="G20" i="2" s="1"/>
  <c r="G21" i="2" s="1"/>
  <c r="G5" i="1"/>
  <c r="G6" i="1" s="1"/>
  <c r="F6" i="1"/>
  <c r="D12" i="2"/>
  <c r="D19" i="2"/>
  <c r="F7" i="1" l="1"/>
  <c r="F11" i="1" s="1"/>
  <c r="F12" i="1" s="1"/>
  <c r="F14" i="1" s="1"/>
  <c r="G7" i="1"/>
  <c r="G11" i="1" s="1"/>
  <c r="G12" i="1" s="1"/>
  <c r="G14" i="1" s="1"/>
  <c r="E19" i="2"/>
  <c r="J20" i="2"/>
  <c r="J21" i="2" s="1"/>
  <c r="F21" i="2"/>
  <c r="F19" i="2"/>
  <c r="G19" i="2"/>
  <c r="H19" i="2"/>
  <c r="H21" i="2"/>
  <c r="K19" i="2"/>
  <c r="I21" i="2"/>
  <c r="C20" i="1" l="1"/>
  <c r="C21" i="1" s="1"/>
  <c r="J6" i="1" s="1"/>
  <c r="K2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<sst xmlns="http://schemas.openxmlformats.org/spreadsheetml/2006/main" count="98" uniqueCount="63">
  <si>
    <t>Year</t>
  </si>
  <si>
    <t>Revenue</t>
  </si>
  <si>
    <t>EBIT Margin</t>
  </si>
  <si>
    <t xml:space="preserve">EBIT </t>
  </si>
  <si>
    <t>Taxes</t>
  </si>
  <si>
    <t>NWC</t>
  </si>
  <si>
    <t>FCFF</t>
  </si>
  <si>
    <t>FCF</t>
  </si>
  <si>
    <t>Discount Factor</t>
  </si>
  <si>
    <t>PV of FCF</t>
  </si>
  <si>
    <t>Discount Rate</t>
  </si>
  <si>
    <t>Actuals</t>
  </si>
  <si>
    <t>NWC ($M)</t>
  </si>
  <si>
    <t>Expected</t>
  </si>
  <si>
    <t>Terminal Multiple</t>
  </si>
  <si>
    <t>Terminal Value</t>
  </si>
  <si>
    <t>Total PV of CF</t>
  </si>
  <si>
    <t>Shares Outstanding</t>
  </si>
  <si>
    <t>Price/Share</t>
  </si>
  <si>
    <t>Debt Weight</t>
  </si>
  <si>
    <t>COD</t>
  </si>
  <si>
    <t>COE</t>
  </si>
  <si>
    <t xml:space="preserve">        RFR</t>
  </si>
  <si>
    <t xml:space="preserve">        ERP</t>
  </si>
  <si>
    <t xml:space="preserve">        Beta</t>
  </si>
  <si>
    <t>Equity Weight</t>
  </si>
  <si>
    <t>WACC</t>
  </si>
  <si>
    <t>+</t>
  </si>
  <si>
    <t>x</t>
  </si>
  <si>
    <t>Enterprise Value</t>
  </si>
  <si>
    <t>Shares Outstanding (M)</t>
  </si>
  <si>
    <t>Operating Expenses</t>
  </si>
  <si>
    <t xml:space="preserve">       change %</t>
  </si>
  <si>
    <t xml:space="preserve">       Other</t>
  </si>
  <si>
    <t xml:space="preserve">       SG&amp;A</t>
  </si>
  <si>
    <t>Operating Income</t>
  </si>
  <si>
    <t>Other Exp/Inc</t>
  </si>
  <si>
    <t xml:space="preserve">       Interest</t>
  </si>
  <si>
    <t>Pre Tax Income</t>
  </si>
  <si>
    <t xml:space="preserve">       Taxes</t>
  </si>
  <si>
    <t>Net Income</t>
  </si>
  <si>
    <t>EPS (Diluted)</t>
  </si>
  <si>
    <t xml:space="preserve">DCF </t>
  </si>
  <si>
    <t>-</t>
  </si>
  <si>
    <t>COGS</t>
  </si>
  <si>
    <t>Gross Income</t>
  </si>
  <si>
    <t xml:space="preserve">       PP&amp;E</t>
  </si>
  <si>
    <t>CapEx</t>
  </si>
  <si>
    <t>Income Statement</t>
  </si>
  <si>
    <t>Current Assets</t>
  </si>
  <si>
    <t>Current Liabilities</t>
  </si>
  <si>
    <t xml:space="preserve">       Trade AR</t>
  </si>
  <si>
    <t xml:space="preserve">       Other AR</t>
  </si>
  <si>
    <t xml:space="preserve">       Tax Obl.</t>
  </si>
  <si>
    <t xml:space="preserve">       Prepaid Exp.</t>
  </si>
  <si>
    <t xml:space="preserve">       AP</t>
  </si>
  <si>
    <t xml:space="preserve">       Inventory</t>
  </si>
  <si>
    <t>D&amp;A</t>
  </si>
  <si>
    <t>EV ($M)</t>
  </si>
  <si>
    <t>Price</t>
  </si>
  <si>
    <t>Cash (Ending 2024)</t>
  </si>
  <si>
    <t>Debt (Ending 2024)</t>
  </si>
  <si>
    <t>Current 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</si>
</sst>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[$$-409]* #,##0.00_);_([$$-409]* \(#,##0.00\);_([$$-409]* &quot;-&quot;??_);_(@_)"/>
    <numFmt numFmtId="171" formatCode="_(&quot;$&quot;* #,##0_);_(&quot;$&quot;* \(#,##0\);_(&quot;$&quot;* &quot;-&quot;??_);_(@_)"/>
    <numFmt numFmtId="173" formatCode="_([$$-409]* #,##0_);_([$$-409]* \(#,##0\);_([$$-409]* &quot;-&quot;??_);_(@_)"/>
    <numFmt numFmtId="175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u val="singleAccounting"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1" xfId="0" applyFont="1" applyBorder="1"/>
    <xf numFmtId="0" fontId="0" fillId="0" borderId="1" xfId="0" applyBorder="1"/>
    <xf numFmtId="0" fontId="5" fillId="0" borderId="3" xfId="0" applyFont="1" applyBorder="1"/>
    <xf numFmtId="0" fontId="4" fillId="0" borderId="1" xfId="0" applyFont="1" applyBorder="1"/>
    <xf numFmtId="0" fontId="0" fillId="0" borderId="0" xfId="0" quotePrefix="1" applyAlignment="1">
      <alignment horizontal="right"/>
    </xf>
    <xf numFmtId="0" fontId="0" fillId="0" borderId="3" xfId="0" applyBorder="1"/>
    <xf numFmtId="0" fontId="4" fillId="3" borderId="4" xfId="0" applyFont="1" applyFill="1" applyBorder="1"/>
    <xf numFmtId="0" fontId="0" fillId="3" borderId="4" xfId="0" applyFill="1" applyBorder="1"/>
    <xf numFmtId="0" fontId="5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/>
    <xf numFmtId="0" fontId="4" fillId="0" borderId="1" xfId="0" quotePrefix="1" applyFont="1" applyBorder="1"/>
    <xf numFmtId="0" fontId="0" fillId="0" borderId="1" xfId="0" applyFont="1" applyBorder="1"/>
    <xf numFmtId="0" fontId="3" fillId="3" borderId="0" xfId="0" applyFont="1" applyFill="1"/>
    <xf numFmtId="0" fontId="0" fillId="3" borderId="0" xfId="0" applyFill="1"/>
    <xf numFmtId="0" fontId="5" fillId="3" borderId="3" xfId="0" applyFont="1" applyFill="1" applyBorder="1"/>
    <xf numFmtId="0" fontId="5" fillId="3" borderId="2" xfId="0" applyFont="1" applyFill="1" applyBorder="1"/>
    <xf numFmtId="0" fontId="2" fillId="0" borderId="1" xfId="0" quotePrefix="1" applyFont="1" applyBorder="1"/>
    <xf numFmtId="0" fontId="2" fillId="0" borderId="0" xfId="0" quotePrefix="1" applyFont="1" applyAlignment="1">
      <alignment horizontal="right"/>
    </xf>
    <xf numFmtId="44" fontId="2" fillId="0" borderId="0" xfId="2" applyFont="1"/>
    <xf numFmtId="10" fontId="0" fillId="0" borderId="0" xfId="3" applyNumberFormat="1" applyFont="1"/>
    <xf numFmtId="0" fontId="0" fillId="0" borderId="1" xfId="0" quotePrefix="1" applyFont="1" applyBorder="1"/>
    <xf numFmtId="169" fontId="0" fillId="0" borderId="0" xfId="0" applyNumberFormat="1"/>
    <xf numFmtId="171" fontId="2" fillId="0" borderId="0" xfId="2" applyNumberFormat="1" applyFont="1"/>
    <xf numFmtId="173" fontId="0" fillId="0" borderId="0" xfId="3" applyNumberFormat="1" applyFont="1"/>
    <xf numFmtId="44" fontId="0" fillId="0" borderId="0" xfId="2" applyFont="1"/>
    <xf numFmtId="171" fontId="0" fillId="0" borderId="0" xfId="2" applyNumberFormat="1" applyFont="1"/>
    <xf numFmtId="175" fontId="0" fillId="0" borderId="0" xfId="1" applyNumberFormat="1" applyFont="1"/>
    <xf numFmtId="169" fontId="2" fillId="0" borderId="0" xfId="0" applyNumberFormat="1" applyFont="1"/>
    <xf numFmtId="0" fontId="0" fillId="2" borderId="0" xfId="0" quotePrefix="1" applyFill="1" applyAlignment="1">
      <alignment horizontal="right"/>
    </xf>
    <xf numFmtId="10" fontId="0" fillId="2" borderId="0" xfId="3" applyNumberFormat="1" applyFont="1" applyFill="1"/>
    <xf numFmtId="173" fontId="0" fillId="2" borderId="0" xfId="3" applyNumberFormat="1" applyFont="1" applyFill="1"/>
    <xf numFmtId="173" fontId="0" fillId="2" borderId="0" xfId="0" applyNumberFormat="1" applyFill="1"/>
    <xf numFmtId="171" fontId="0" fillId="2" borderId="0" xfId="2" applyNumberFormat="1" applyFont="1" applyFill="1"/>
    <xf numFmtId="10" fontId="0" fillId="0" borderId="0" xfId="0" applyNumberFormat="1"/>
    <xf numFmtId="171" fontId="0" fillId="0" borderId="0" xfId="0" applyNumberFormat="1"/>
    <xf numFmtId="44" fontId="0" fillId="0" borderId="0" xfId="0" applyNumberFormat="1"/>
    <xf numFmtId="44" fontId="0" fillId="2" borderId="0" xfId="0" applyNumberFormat="1" applyFill="1"/>
    <xf numFmtId="0" fontId="3" fillId="4" borderId="0" xfId="0" applyFont="1" applyFill="1"/>
    <xf numFmtId="0" fontId="0" fillId="0" borderId="6" xfId="0" applyBorder="1"/>
    <xf numFmtId="44" fontId="6" fillId="0" borderId="0" xfId="2" applyFont="1"/>
    <xf numFmtId="10" fontId="2" fillId="2" borderId="0" xfId="0" applyNumberFormat="1" applyFont="1" applyFill="1"/>
    <xf numFmtId="9" fontId="0" fillId="2" borderId="0" xfId="0" applyNumberFormat="1" applyFill="1"/>
    <xf numFmtId="9" fontId="0" fillId="0" borderId="0" xfId="0" applyNumberFormat="1"/>
    <xf numFmtId="10" fontId="0" fillId="3" borderId="5" xfId="0" applyNumberFormat="1" applyFill="1" applyBorder="1"/>
    <xf numFmtId="10" fontId="4" fillId="2" borderId="0" xfId="3" applyNumberFormat="1" applyFont="1" applyFill="1"/>
    <xf numFmtId="44" fontId="0" fillId="3" borderId="5" xfId="0" applyNumberFormat="1" applyFill="1" applyBorder="1"/>
    <xf numFmtId="0" fontId="0" fillId="0" borderId="0" xfId="0" applyFill="1" applyBorder="1"/>
    <xf numFmtId="44" fontId="0" fillId="0" borderId="0" xfId="2" applyNumberFormat="1" applyFont="1"/>
    <xf numFmtId="0" fontId="4" fillId="0" borderId="0" xfId="0" applyFont="1" applyFill="1" applyBorder="1"/>
    <xf numFmtId="9" fontId="4" fillId="0" borderId="0" xfId="3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E28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14</xdr:row>
      <xdr:rowOff>177801</xdr:rowOff>
    </xdr:from>
    <xdr:to>
      <xdr:col>6</xdr:col>
      <xdr:colOff>1123950</xdr:colOff>
      <xdr:row>21</xdr:row>
      <xdr:rowOff>146050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8BF399B-8486-4F5D-95B6-364BFEC69ABD}"/>
            </a:ext>
          </a:extLst>
        </xdr:cNvPr>
        <xdr:cNvSpPr txBox="1"/>
      </xdr:nvSpPr>
      <xdr:spPr>
        <a:xfrm>
          <a:off x="4146550" y="2774951"/>
          <a:ext cx="3136900" cy="1257299"/>
        </a:xfrm>
        <a:prstGeom prst="rect">
          <a:avLst/>
        </a:prstGeom>
        <a:solidFill>
          <a:srgbClr val="0E284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="1" i="1"/>
        </a:p>
        <a:p>
          <a:endParaRPr lang="en-US" sz="1100" b="1" i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156507</xdr:colOff>
      <xdr:row>15</xdr:row>
      <xdr:rowOff>2426</xdr:rowOff>
    </xdr:from>
    <xdr:to>
      <xdr:col>4</xdr:col>
      <xdr:colOff>254000</xdr:colOff>
      <xdr:row>21</xdr:row>
      <xdr:rowOff>148291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E5B3E2-7C20-27B7-4108-951FEF19E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957" y="2783726"/>
          <a:ext cx="1246843" cy="1250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373528</xdr:colOff>
      <xdr:row>15</xdr:row>
      <xdr:rowOff>25400</xdr:rowOff>
    </xdr:from>
    <xdr:to>
      <xdr:col>7</xdr:col>
      <xdr:colOff>76200</xdr:colOff>
      <xdr:row>21</xdr:row>
      <xdr:rowOff>169957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85CFCF-11B6-D16E-D38A-B4646B7A2223}"/>
            </a:ext>
          </a:extLst>
        </xdr:cNvPr>
        <xdr:cNvSpPr txBox="1"/>
      </xdr:nvSpPr>
      <xdr:spPr>
        <a:xfrm>
          <a:off x="4234328" y="2806700"/>
          <a:ext cx="3150722" cy="1249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="1" i="1"/>
        </a:p>
        <a:p>
          <a:r>
            <a:rPr lang="en-US" sz="1100" b="1" i="1">
              <a:solidFill>
                <a:schemeClr val="bg1"/>
              </a:solidFill>
            </a:rPr>
            <a:t>Please make sure to like, share,</a:t>
          </a:r>
          <a:r>
            <a:rPr lang="en-US" sz="1100" b="1" i="1" baseline="0">
              <a:solidFill>
                <a:schemeClr val="bg1"/>
              </a:solidFill>
            </a:rPr>
            <a:t> and comment on our posts for more stock updates!</a:t>
          </a:r>
        </a:p>
        <a:p>
          <a:endParaRPr lang="en-US" sz="1100" b="1" i="1" baseline="0">
            <a:solidFill>
              <a:schemeClr val="bg1"/>
            </a:solidFill>
          </a:endParaRPr>
        </a:p>
        <a:p>
          <a:r>
            <a:rPr lang="en-US" sz="1100" b="1" i="1" baseline="0">
              <a:solidFill>
                <a:schemeClr val="bg1"/>
              </a:solidFill>
            </a:rPr>
            <a:t>This financial model template is available in the attatched Github repository.</a:t>
          </a:r>
          <a:endParaRPr lang="en-US" sz="1100" b="1" i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5AB5-20F7-4476-88F6-76001C15DF8E}">
  <dimension ref="A2:J21"/>
  <sheetViews>
    <sheetView showGridLines="0" tabSelected="1" zoomScaleNormal="100" workbookViewId="0">
      <selection activeCell="J20" sqref="J20"/>
    </sheetView>
  </sheetViews>
  <sheetFormatPr defaultRowHeight="14.5" x14ac:dyDescent="0.35"/>
  <cols>
    <col min="1" max="1" width="5.453125" customWidth="1"/>
    <col min="2" max="2" width="16.90625" customWidth="1"/>
    <col min="3" max="7" width="16.453125" customWidth="1"/>
    <col min="8" max="8" width="5.6328125" customWidth="1"/>
    <col min="9" max="9" width="20.81640625" customWidth="1"/>
    <col min="10" max="10" width="16.7265625" bestFit="1" customWidth="1"/>
  </cols>
  <sheetData>
    <row r="2" spans="1:10" x14ac:dyDescent="0.35">
      <c r="B2" s="18" t="s">
        <v>42</v>
      </c>
      <c r="C2" s="19"/>
      <c r="D2" s="19"/>
      <c r="E2" s="19"/>
      <c r="F2" s="19"/>
      <c r="G2" s="19"/>
      <c r="I2" s="18" t="s">
        <v>18</v>
      </c>
      <c r="J2" s="19"/>
    </row>
    <row r="3" spans="1:10" x14ac:dyDescent="0.35">
      <c r="B3" s="5" t="s">
        <v>0</v>
      </c>
      <c r="C3" s="11" t="str" cm="1">
        <f t="array" ref="C3:G3">_xlfn.SEQUENCE(1,5,2025)&amp;"E"</f>
        <v>2025E</v>
      </c>
      <c r="D3" s="11" t="str">
        <v>2026E</v>
      </c>
      <c r="E3" s="11" t="str">
        <v>2027E</v>
      </c>
      <c r="F3" s="11" t="str">
        <v>2028E</v>
      </c>
      <c r="G3" s="11" t="str">
        <v>2029E</v>
      </c>
      <c r="I3" s="4" t="s">
        <v>30</v>
      </c>
      <c r="J3" s="32">
        <f>Financials!K22*1.03</f>
        <v>16879.64</v>
      </c>
    </row>
    <row r="4" spans="1:10" x14ac:dyDescent="0.35">
      <c r="B4" s="6" t="s">
        <v>1</v>
      </c>
      <c r="C4" s="31">
        <f>Financials!K4*102%</f>
        <v>274499.34000000003</v>
      </c>
      <c r="D4" s="40">
        <f>C4*104%</f>
        <v>285479.31360000005</v>
      </c>
      <c r="E4" s="40">
        <f>D4*103.5%</f>
        <v>295471.08957600006</v>
      </c>
      <c r="F4" s="40">
        <f>E4*102.5%</f>
        <v>302857.86681540002</v>
      </c>
      <c r="G4" s="40">
        <f>F4*102.5%</f>
        <v>310429.31348578498</v>
      </c>
      <c r="I4" s="4" t="s">
        <v>61</v>
      </c>
      <c r="J4" s="32">
        <f>4136+248</f>
        <v>4384</v>
      </c>
    </row>
    <row r="5" spans="1:10" x14ac:dyDescent="0.35">
      <c r="B5" s="6" t="s">
        <v>2</v>
      </c>
      <c r="C5" s="35">
        <v>2.1000000000000001E-2</v>
      </c>
      <c r="D5" s="35">
        <v>2.2700000000000001E-2</v>
      </c>
      <c r="E5" s="35">
        <f>D5*102%</f>
        <v>2.3154000000000001E-2</v>
      </c>
      <c r="F5" s="35">
        <f t="shared" ref="F5:G5" si="0">E5*102%</f>
        <v>2.3617080000000002E-2</v>
      </c>
      <c r="G5" s="35">
        <f t="shared" si="0"/>
        <v>2.4089421600000004E-2</v>
      </c>
      <c r="I5" s="8" t="s">
        <v>60</v>
      </c>
      <c r="J5" s="32">
        <f>5286</f>
        <v>5286</v>
      </c>
    </row>
    <row r="6" spans="1:10" x14ac:dyDescent="0.35">
      <c r="B6" s="6" t="s">
        <v>3</v>
      </c>
      <c r="C6" s="41">
        <f>C4*(C5)</f>
        <v>5764.4861400000009</v>
      </c>
      <c r="D6" s="41">
        <f t="shared" ref="D6:G6" si="1">D4*(D5)</f>
        <v>6480.3804187200012</v>
      </c>
      <c r="E6" s="41">
        <f t="shared" si="1"/>
        <v>6841.3376080427061</v>
      </c>
      <c r="F6" s="41">
        <f t="shared" si="1"/>
        <v>7152.6184692086481</v>
      </c>
      <c r="G6" s="41">
        <f t="shared" si="1"/>
        <v>7478.0626095576417</v>
      </c>
      <c r="I6" s="10" t="s">
        <v>59</v>
      </c>
      <c r="J6" s="51">
        <f>(J5+C21-J4)/J3</f>
        <v>2.3643249256994814</v>
      </c>
    </row>
    <row r="7" spans="1:10" x14ac:dyDescent="0.35">
      <c r="A7" s="13" t="s">
        <v>43</v>
      </c>
      <c r="B7" s="6" t="s">
        <v>4</v>
      </c>
      <c r="C7" s="42">
        <f>C6*0.33</f>
        <v>1902.2804262000004</v>
      </c>
      <c r="D7" s="42">
        <f t="shared" ref="D7:G7" si="2">D6*0.33</f>
        <v>2138.5255381776005</v>
      </c>
      <c r="E7" s="42">
        <f t="shared" si="2"/>
        <v>2257.6414106540933</v>
      </c>
      <c r="F7" s="42">
        <f t="shared" si="2"/>
        <v>2360.3640948388538</v>
      </c>
      <c r="G7" s="42">
        <f t="shared" si="2"/>
        <v>2467.7606611540218</v>
      </c>
      <c r="I7" s="52" t="s">
        <v>62</v>
      </c>
      <c r="J7" s="53">
        <v>13.83</v>
      </c>
    </row>
    <row r="8" spans="1:10" x14ac:dyDescent="0.35">
      <c r="A8" s="13" t="s">
        <v>43</v>
      </c>
      <c r="B8" s="6" t="s">
        <v>47</v>
      </c>
      <c r="C8" s="30">
        <f>Financials!K23*(1+0.079395)</f>
        <v>-5664.6649599999992</v>
      </c>
      <c r="D8" s="41">
        <f>C8*1.01</f>
        <v>-5721.3116095999994</v>
      </c>
      <c r="E8" s="41">
        <f>D8*1.005</f>
        <v>-5749.9181676479984</v>
      </c>
      <c r="F8" s="41">
        <f t="shared" ref="F8:G8" si="3">E8*1.005</f>
        <v>-5778.6677584862382</v>
      </c>
      <c r="G8" s="41">
        <f t="shared" si="3"/>
        <v>-5807.561097278669</v>
      </c>
      <c r="I8" s="54" t="str">
        <f>IF(J7&lt;J6,"Upside","Downside")</f>
        <v>Downside</v>
      </c>
      <c r="J8" s="55">
        <f>(J6-J7)/J6</f>
        <v>-4.8494498153245242</v>
      </c>
    </row>
    <row r="9" spans="1:10" x14ac:dyDescent="0.35">
      <c r="A9" s="13" t="s">
        <v>27</v>
      </c>
      <c r="B9" s="6" t="s">
        <v>57</v>
      </c>
      <c r="C9" s="42">
        <f>Financials!J34</f>
        <v>5051.8</v>
      </c>
      <c r="D9" s="42">
        <f>Financials!K34</f>
        <v>5152.8360000000002</v>
      </c>
      <c r="E9" s="42">
        <f>Financials!L34</f>
        <v>5255.8927200000007</v>
      </c>
      <c r="F9" s="42">
        <f>Financials!M34</f>
        <v>5361.0105744000011</v>
      </c>
      <c r="G9" s="42">
        <f>Financials!N34</f>
        <v>5468.2307858880013</v>
      </c>
    </row>
    <row r="10" spans="1:10" x14ac:dyDescent="0.35">
      <c r="A10" s="13" t="s">
        <v>43</v>
      </c>
      <c r="B10" s="6" t="s">
        <v>5</v>
      </c>
      <c r="C10" s="30">
        <f>Financials!C43</f>
        <v>7387.33</v>
      </c>
      <c r="D10" s="30">
        <f>Financials!D43</f>
        <v>8495.4294999999984</v>
      </c>
      <c r="E10" s="30">
        <f>Financials!E43</f>
        <v>8920.2009749999979</v>
      </c>
      <c r="F10" s="30">
        <f>Financials!F43</f>
        <v>9366.2110237499983</v>
      </c>
      <c r="G10" s="30">
        <f>Financials!G43</f>
        <v>9834.5215749374984</v>
      </c>
      <c r="I10" s="18" t="s">
        <v>26</v>
      </c>
      <c r="J10" s="19"/>
    </row>
    <row r="11" spans="1:10" x14ac:dyDescent="0.35">
      <c r="B11" s="6" t="s">
        <v>6</v>
      </c>
      <c r="C11" s="42">
        <f>C6-C7-C8+C9</f>
        <v>14578.670673799999</v>
      </c>
      <c r="D11" s="42">
        <f t="shared" ref="D11:G11" si="4">D6-D7-D8+D9</f>
        <v>15216.0024901424</v>
      </c>
      <c r="E11" s="42">
        <f t="shared" si="4"/>
        <v>15589.50708503661</v>
      </c>
      <c r="F11" s="42">
        <f t="shared" si="4"/>
        <v>15931.932707256034</v>
      </c>
      <c r="G11" s="42">
        <f t="shared" si="4"/>
        <v>16286.09383157029</v>
      </c>
      <c r="I11" s="4" t="s">
        <v>19</v>
      </c>
      <c r="J11" s="39">
        <v>1.7500000000000002E-2</v>
      </c>
    </row>
    <row r="12" spans="1:10" ht="16" x14ac:dyDescent="0.5">
      <c r="B12" s="3" t="s">
        <v>7</v>
      </c>
      <c r="C12" s="45">
        <f>C11-C10</f>
        <v>7191.3406737999994</v>
      </c>
      <c r="D12" s="45">
        <f t="shared" ref="D12:G12" si="5">D11-D10</f>
        <v>6720.572990142402</v>
      </c>
      <c r="E12" s="45">
        <f t="shared" si="5"/>
        <v>6669.3061100366122</v>
      </c>
      <c r="F12" s="45">
        <f t="shared" si="5"/>
        <v>6565.7216835060353</v>
      </c>
      <c r="G12" s="45">
        <f t="shared" si="5"/>
        <v>6451.5722566327913</v>
      </c>
      <c r="I12" s="4" t="s">
        <v>20</v>
      </c>
      <c r="J12" s="47">
        <v>0.4</v>
      </c>
    </row>
    <row r="13" spans="1:10" x14ac:dyDescent="0.35">
      <c r="B13" s="6" t="s">
        <v>8</v>
      </c>
      <c r="C13" s="50">
        <f>1*(1-C15)</f>
        <v>0.92728120000000003</v>
      </c>
      <c r="D13" s="50">
        <f>C13*(1-$C$15)</f>
        <v>0.85985042387344002</v>
      </c>
      <c r="E13" s="50">
        <f t="shared" ref="E13:G13" si="6">D13*(1-$C$15)</f>
        <v>0.79732313286987211</v>
      </c>
      <c r="F13" s="50">
        <f t="shared" si="6"/>
        <v>0.73934275143533446</v>
      </c>
      <c r="G13" s="50">
        <f t="shared" si="6"/>
        <v>0.68557863376225869</v>
      </c>
      <c r="I13" s="4" t="s">
        <v>21</v>
      </c>
      <c r="J13" s="39">
        <f>J14+J15*J16</f>
        <v>6.7059999999999995E-2</v>
      </c>
    </row>
    <row r="14" spans="1:10" x14ac:dyDescent="0.35">
      <c r="B14" s="6" t="s">
        <v>9</v>
      </c>
      <c r="C14" s="30">
        <f>C13*C12</f>
        <v>6668.3950096100725</v>
      </c>
      <c r="D14" s="30">
        <f t="shared" ref="D14:G14" si="7">D13*D12</f>
        <v>5778.6875342463363</v>
      </c>
      <c r="E14" s="30">
        <f t="shared" si="7"/>
        <v>5317.5920417225716</v>
      </c>
      <c r="F14" s="30">
        <f t="shared" si="7"/>
        <v>4854.3187346419882</v>
      </c>
      <c r="G14" s="30">
        <f t="shared" si="7"/>
        <v>4423.0600933208016</v>
      </c>
      <c r="H14" s="1"/>
      <c r="I14" s="22" t="s">
        <v>22</v>
      </c>
      <c r="J14" s="46">
        <v>4.0669999999999998E-2</v>
      </c>
    </row>
    <row r="15" spans="1:10" x14ac:dyDescent="0.35">
      <c r="B15" s="9" t="s">
        <v>10</v>
      </c>
      <c r="C15" s="49">
        <f>J18</f>
        <v>7.27188E-2</v>
      </c>
      <c r="H15" s="23" t="s">
        <v>27</v>
      </c>
      <c r="I15" s="22" t="s">
        <v>24</v>
      </c>
      <c r="J15" s="1">
        <v>0.65</v>
      </c>
    </row>
    <row r="16" spans="1:10" x14ac:dyDescent="0.35">
      <c r="H16" s="23" t="s">
        <v>28</v>
      </c>
      <c r="I16" s="22" t="s">
        <v>23</v>
      </c>
      <c r="J16" s="46">
        <v>4.0599999999999997E-2</v>
      </c>
    </row>
    <row r="17" spans="2:10" x14ac:dyDescent="0.35">
      <c r="B17" s="18" t="s">
        <v>29</v>
      </c>
      <c r="C17" s="19"/>
      <c r="I17" s="4" t="s">
        <v>25</v>
      </c>
      <c r="J17" s="48">
        <v>0.98</v>
      </c>
    </row>
    <row r="18" spans="2:10" x14ac:dyDescent="0.35">
      <c r="B18" s="4" t="s">
        <v>14</v>
      </c>
      <c r="C18">
        <v>1.6</v>
      </c>
      <c r="I18" s="10" t="s">
        <v>26</v>
      </c>
      <c r="J18" s="49">
        <f>J13*J17+J12*J11</f>
        <v>7.27188E-2</v>
      </c>
    </row>
    <row r="19" spans="2:10" x14ac:dyDescent="0.35">
      <c r="B19" s="4" t="s">
        <v>15</v>
      </c>
      <c r="C19" s="42">
        <f>G6*C18</f>
        <v>11964.900175292227</v>
      </c>
    </row>
    <row r="20" spans="2:10" x14ac:dyDescent="0.35">
      <c r="B20" s="8" t="s">
        <v>16</v>
      </c>
      <c r="C20" s="41">
        <f>SUM(C14:G14)</f>
        <v>27042.053413541769</v>
      </c>
    </row>
    <row r="21" spans="2:10" x14ac:dyDescent="0.35">
      <c r="B21" s="10" t="s">
        <v>58</v>
      </c>
      <c r="C21" s="51">
        <f>SUM(C19:C20)</f>
        <v>39006.953588833996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CA34-8745-43A2-93B7-76FE7DC1BAED}">
  <dimension ref="A2:N43"/>
  <sheetViews>
    <sheetView showGridLines="0" zoomScale="85" zoomScaleNormal="85" workbookViewId="0">
      <selection activeCell="P10" sqref="P10"/>
    </sheetView>
  </sheetViews>
  <sheetFormatPr defaultRowHeight="14.5" x14ac:dyDescent="0.35"/>
  <cols>
    <col min="2" max="2" width="18.08984375" customWidth="1"/>
    <col min="3" max="4" width="12.1796875" bestFit="1" customWidth="1"/>
    <col min="5" max="5" width="13" bestFit="1" customWidth="1"/>
    <col min="6" max="8" width="12.1796875" bestFit="1" customWidth="1"/>
    <col min="9" max="9" width="12.453125" bestFit="1" customWidth="1"/>
    <col min="10" max="11" width="12.1796875" bestFit="1" customWidth="1"/>
  </cols>
  <sheetData>
    <row r="2" spans="1:11" x14ac:dyDescent="0.35">
      <c r="B2" s="43" t="s">
        <v>48</v>
      </c>
    </row>
    <row r="3" spans="1:11" x14ac:dyDescent="0.35">
      <c r="B3" s="20" t="s">
        <v>0</v>
      </c>
      <c r="C3" s="21" t="str" cm="1">
        <f t="array" ref="C3:K3">_xlfn.SEQUENCE(1,9,2016)&amp;"A"</f>
        <v>2016A</v>
      </c>
      <c r="D3" s="21" t="str">
        <v>2017A</v>
      </c>
      <c r="E3" s="21" t="str">
        <v>2018A</v>
      </c>
      <c r="F3" s="21" t="str">
        <v>2019A</v>
      </c>
      <c r="G3" s="21" t="str">
        <v>2020A</v>
      </c>
      <c r="H3" s="21" t="str">
        <v>2021A</v>
      </c>
      <c r="I3" s="21" t="str">
        <v>2022A</v>
      </c>
      <c r="J3" s="21" t="str">
        <v>2023A</v>
      </c>
      <c r="K3" s="21" t="str">
        <v>2024A</v>
      </c>
    </row>
    <row r="4" spans="1:11" x14ac:dyDescent="0.35">
      <c r="A4" s="14" t="s">
        <v>28</v>
      </c>
      <c r="B4" s="15" t="s">
        <v>1</v>
      </c>
      <c r="C4" s="28">
        <v>168595</v>
      </c>
      <c r="D4" s="28">
        <v>173417</v>
      </c>
      <c r="E4" s="28">
        <v>189287</v>
      </c>
      <c r="F4" s="28">
        <v>200716</v>
      </c>
      <c r="G4" s="28">
        <v>193001</v>
      </c>
      <c r="H4" s="28">
        <v>152795</v>
      </c>
      <c r="I4" s="28">
        <v>184828</v>
      </c>
      <c r="J4" s="28">
        <v>231064</v>
      </c>
      <c r="K4" s="28">
        <v>269117</v>
      </c>
    </row>
    <row r="5" spans="1:11" x14ac:dyDescent="0.35">
      <c r="A5" s="13"/>
      <c r="B5" s="16" t="s">
        <v>32</v>
      </c>
      <c r="C5" s="34" t="s">
        <v>43</v>
      </c>
      <c r="D5" s="35">
        <f>D4/C4-1</f>
        <v>2.8601085441442464E-2</v>
      </c>
      <c r="E5" s="35">
        <f t="shared" ref="E5:K5" si="0">E4/D4-1</f>
        <v>9.1513519435810764E-2</v>
      </c>
      <c r="F5" s="35">
        <f t="shared" si="0"/>
        <v>6.0379212518556491E-2</v>
      </c>
      <c r="G5" s="35">
        <f t="shared" si="0"/>
        <v>-3.8437394129018143E-2</v>
      </c>
      <c r="H5" s="35">
        <f t="shared" si="0"/>
        <v>-0.20832016414422727</v>
      </c>
      <c r="I5" s="35">
        <f t="shared" si="0"/>
        <v>0.20964691252986034</v>
      </c>
      <c r="J5" s="35">
        <f t="shared" si="0"/>
        <v>0.25015690263379997</v>
      </c>
      <c r="K5" s="35">
        <f t="shared" si="0"/>
        <v>0.16468597444863753</v>
      </c>
    </row>
    <row r="6" spans="1:11" x14ac:dyDescent="0.35">
      <c r="A6" s="13"/>
      <c r="B6" s="26" t="s">
        <v>44</v>
      </c>
      <c r="C6" s="29">
        <v>108985</v>
      </c>
      <c r="D6" s="29">
        <v>110874</v>
      </c>
      <c r="E6" s="29">
        <v>123816</v>
      </c>
      <c r="F6" s="29">
        <v>133635</v>
      </c>
      <c r="G6" s="29">
        <v>121326</v>
      </c>
      <c r="H6" s="29">
        <v>97870</v>
      </c>
      <c r="I6" s="29">
        <v>123899</v>
      </c>
      <c r="J6" s="29">
        <v>145723</v>
      </c>
      <c r="K6" s="29">
        <v>153059</v>
      </c>
    </row>
    <row r="7" spans="1:11" x14ac:dyDescent="0.35">
      <c r="A7" s="13"/>
      <c r="B7" s="26" t="s">
        <v>45</v>
      </c>
      <c r="C7" s="36">
        <f>C4-C6</f>
        <v>59610</v>
      </c>
      <c r="D7" s="36">
        <f t="shared" ref="D7:K7" si="1">D4-D6</f>
        <v>62543</v>
      </c>
      <c r="E7" s="36">
        <f t="shared" si="1"/>
        <v>65471</v>
      </c>
      <c r="F7" s="36">
        <f t="shared" si="1"/>
        <v>67081</v>
      </c>
      <c r="G7" s="36">
        <f t="shared" si="1"/>
        <v>71675</v>
      </c>
      <c r="H7" s="36">
        <f t="shared" si="1"/>
        <v>54925</v>
      </c>
      <c r="I7" s="36">
        <f t="shared" si="1"/>
        <v>60929</v>
      </c>
      <c r="J7" s="36">
        <f t="shared" si="1"/>
        <v>85341</v>
      </c>
      <c r="K7" s="36">
        <f t="shared" si="1"/>
        <v>116058</v>
      </c>
    </row>
    <row r="8" spans="1:11" x14ac:dyDescent="0.35">
      <c r="A8" s="13" t="s">
        <v>28</v>
      </c>
      <c r="B8" s="4" t="s">
        <v>31</v>
      </c>
      <c r="C8" s="29">
        <f>SUM(C9:C10)</f>
        <v>53662</v>
      </c>
      <c r="D8" s="29">
        <f>SUM(D9:D10)</f>
        <v>56599</v>
      </c>
      <c r="E8" s="29">
        <f>SUM(E9:E10)</f>
        <v>60331</v>
      </c>
      <c r="F8" s="29">
        <f>SUM(F9:F10)</f>
        <v>64750</v>
      </c>
      <c r="G8" s="29">
        <f>SUM(G9:G10)</f>
        <v>65760</v>
      </c>
      <c r="H8" s="29">
        <f>SUM(H9:H10)</f>
        <v>54918</v>
      </c>
      <c r="I8" s="29">
        <f>SUM(I9:I10)</f>
        <v>61265</v>
      </c>
      <c r="J8" s="29">
        <f>SUM(J9:J10)</f>
        <v>74697</v>
      </c>
      <c r="K8" s="29">
        <f>SUM(K9:K10)</f>
        <v>84181</v>
      </c>
    </row>
    <row r="9" spans="1:11" x14ac:dyDescent="0.35">
      <c r="A9" s="13"/>
      <c r="B9" s="16" t="s">
        <v>34</v>
      </c>
      <c r="C9" s="36">
        <v>53653</v>
      </c>
      <c r="D9" s="36">
        <v>56601</v>
      </c>
      <c r="E9" s="36">
        <v>60347</v>
      </c>
      <c r="F9" s="36">
        <v>64751</v>
      </c>
      <c r="G9" s="36">
        <v>65726</v>
      </c>
      <c r="H9" s="36">
        <v>54925</v>
      </c>
      <c r="I9" s="36">
        <v>61265</v>
      </c>
      <c r="J9" s="36">
        <v>74697</v>
      </c>
      <c r="K9" s="36">
        <v>84181</v>
      </c>
    </row>
    <row r="10" spans="1:11" x14ac:dyDescent="0.35">
      <c r="A10" s="13"/>
      <c r="B10" s="16" t="s">
        <v>46</v>
      </c>
      <c r="C10" s="29">
        <v>9</v>
      </c>
      <c r="D10" s="29">
        <v>-2</v>
      </c>
      <c r="E10" s="29">
        <v>-16</v>
      </c>
      <c r="F10" s="29">
        <v>-1</v>
      </c>
      <c r="G10" s="29">
        <v>34</v>
      </c>
      <c r="H10" s="29">
        <v>-7</v>
      </c>
      <c r="I10" s="29">
        <v>0</v>
      </c>
      <c r="J10" s="29">
        <v>0</v>
      </c>
      <c r="K10" s="29">
        <v>0</v>
      </c>
    </row>
    <row r="11" spans="1:11" x14ac:dyDescent="0.35">
      <c r="A11" s="13" t="s">
        <v>28</v>
      </c>
      <c r="B11" s="4" t="s">
        <v>35</v>
      </c>
      <c r="C11" s="37">
        <f>C7-C8</f>
        <v>5948</v>
      </c>
      <c r="D11" s="37">
        <f>D7-D8</f>
        <v>5944</v>
      </c>
      <c r="E11" s="37">
        <f>E7-E8</f>
        <v>5140</v>
      </c>
      <c r="F11" s="37">
        <f>F7-F8</f>
        <v>2331</v>
      </c>
      <c r="G11" s="37">
        <f>G7-G8</f>
        <v>5915</v>
      </c>
      <c r="H11" s="37">
        <f>H7-H8</f>
        <v>7</v>
      </c>
      <c r="I11" s="37">
        <f>I7-I8</f>
        <v>-336</v>
      </c>
      <c r="J11" s="37">
        <f>J7-J8</f>
        <v>10644</v>
      </c>
      <c r="K11" s="37">
        <f>K7-K8</f>
        <v>31877</v>
      </c>
    </row>
    <row r="12" spans="1:11" x14ac:dyDescent="0.35">
      <c r="A12" s="13"/>
      <c r="B12" s="16" t="s">
        <v>32</v>
      </c>
      <c r="C12" s="7" t="s">
        <v>43</v>
      </c>
      <c r="D12" s="25">
        <f>D11/C11-1</f>
        <v>-6.7249495628785017E-4</v>
      </c>
      <c r="E12" s="25">
        <f t="shared" ref="E12" si="2">E11/D11-1</f>
        <v>-0.13526244952893673</v>
      </c>
      <c r="F12" s="25">
        <f t="shared" ref="F12" si="3">F11/E11-1</f>
        <v>-0.54649805447470823</v>
      </c>
      <c r="G12" s="25">
        <f t="shared" ref="G12" si="4">G11/F11-1</f>
        <v>1.5375375375375375</v>
      </c>
      <c r="H12" s="25">
        <f t="shared" ref="H12" si="5">H11/G11-1</f>
        <v>-0.99881656804733732</v>
      </c>
      <c r="I12" s="25">
        <f t="shared" ref="I12" si="6">I11/H11-1</f>
        <v>-49</v>
      </c>
      <c r="J12" s="25">
        <f t="shared" ref="J12" si="7">J11/I11-1</f>
        <v>-32.678571428571431</v>
      </c>
      <c r="K12" s="25">
        <f t="shared" ref="K12" si="8">K11/J11-1</f>
        <v>1.9948327696354755</v>
      </c>
    </row>
    <row r="13" spans="1:11" x14ac:dyDescent="0.35">
      <c r="A13" s="13" t="s">
        <v>28</v>
      </c>
      <c r="B13" s="17" t="s">
        <v>36</v>
      </c>
      <c r="C13" s="38">
        <f>SUM(C14:C15)</f>
        <v>1281</v>
      </c>
      <c r="D13" s="38">
        <f t="shared" ref="D13:K13" si="9">SUM(D14:D15)</f>
        <v>1217</v>
      </c>
      <c r="E13" s="38">
        <f t="shared" si="9"/>
        <v>1545</v>
      </c>
      <c r="F13" s="38">
        <f t="shared" si="9"/>
        <v>3448</v>
      </c>
      <c r="G13" s="38">
        <f t="shared" si="9"/>
        <v>3643</v>
      </c>
      <c r="H13" s="38">
        <f t="shared" si="9"/>
        <v>3711</v>
      </c>
      <c r="I13" s="38">
        <f t="shared" si="9"/>
        <v>3392</v>
      </c>
      <c r="J13" s="38">
        <f t="shared" si="9"/>
        <v>2601</v>
      </c>
      <c r="K13" s="38">
        <f t="shared" si="9"/>
        <v>2637</v>
      </c>
    </row>
    <row r="14" spans="1:11" x14ac:dyDescent="0.35">
      <c r="A14" s="13"/>
      <c r="B14" s="16" t="s">
        <v>37</v>
      </c>
      <c r="C14" s="31">
        <v>1281</v>
      </c>
      <c r="D14" s="31">
        <v>1217</v>
      </c>
      <c r="E14" s="31">
        <v>1545</v>
      </c>
      <c r="F14" s="31">
        <v>2191</v>
      </c>
      <c r="G14" s="31">
        <v>2462</v>
      </c>
      <c r="H14" s="31">
        <v>1538</v>
      </c>
      <c r="I14" s="31">
        <v>1195</v>
      </c>
      <c r="J14" s="31">
        <v>1979</v>
      </c>
      <c r="K14" s="31">
        <v>2679</v>
      </c>
    </row>
    <row r="15" spans="1:11" x14ac:dyDescent="0.35">
      <c r="A15" s="13"/>
      <c r="B15" s="16" t="s">
        <v>33</v>
      </c>
      <c r="C15" s="38">
        <v>0</v>
      </c>
      <c r="D15" s="38">
        <v>0</v>
      </c>
      <c r="E15" s="38">
        <v>0</v>
      </c>
      <c r="F15" s="38">
        <v>1257</v>
      </c>
      <c r="G15" s="38">
        <v>1181</v>
      </c>
      <c r="H15" s="38">
        <v>2173</v>
      </c>
      <c r="I15" s="38">
        <v>2197</v>
      </c>
      <c r="J15" s="38">
        <f>-194+816</f>
        <v>622</v>
      </c>
      <c r="K15" s="38">
        <f>-1050+1008</f>
        <v>-42</v>
      </c>
    </row>
    <row r="16" spans="1:11" x14ac:dyDescent="0.35">
      <c r="A16" s="13" t="s">
        <v>28</v>
      </c>
      <c r="B16" s="17" t="s">
        <v>38</v>
      </c>
      <c r="C16" s="27">
        <f>C11-C13</f>
        <v>4667</v>
      </c>
      <c r="D16" s="27">
        <f t="shared" ref="D16:K16" si="10">D11-D13</f>
        <v>4727</v>
      </c>
      <c r="E16" s="27">
        <f t="shared" si="10"/>
        <v>3595</v>
      </c>
      <c r="F16" s="27">
        <f t="shared" si="10"/>
        <v>-1117</v>
      </c>
      <c r="G16" s="27">
        <f t="shared" si="10"/>
        <v>2272</v>
      </c>
      <c r="H16" s="27">
        <f t="shared" si="10"/>
        <v>-3704</v>
      </c>
      <c r="I16" s="27">
        <f t="shared" si="10"/>
        <v>-3728</v>
      </c>
      <c r="J16" s="27">
        <f t="shared" si="10"/>
        <v>8043</v>
      </c>
      <c r="K16" s="27">
        <f t="shared" si="10"/>
        <v>29240</v>
      </c>
    </row>
    <row r="17" spans="1:14" x14ac:dyDescent="0.35">
      <c r="A17" s="13"/>
      <c r="B17" s="16" t="s">
        <v>39</v>
      </c>
      <c r="C17" s="38">
        <v>118</v>
      </c>
      <c r="D17" s="38">
        <v>-18033</v>
      </c>
      <c r="E17" s="38">
        <v>5623</v>
      </c>
      <c r="F17" s="38">
        <v>497</v>
      </c>
      <c r="G17" s="38">
        <v>345</v>
      </c>
      <c r="H17" s="38">
        <v>-744</v>
      </c>
      <c r="I17" s="38">
        <v>11408</v>
      </c>
      <c r="J17" s="38">
        <v>-8504</v>
      </c>
      <c r="K17" s="38">
        <v>7330</v>
      </c>
    </row>
    <row r="18" spans="1:14" x14ac:dyDescent="0.35">
      <c r="A18" s="14" t="s">
        <v>28</v>
      </c>
      <c r="B18" s="15" t="s">
        <v>40</v>
      </c>
      <c r="C18" s="33">
        <f>C16-C17</f>
        <v>4549</v>
      </c>
      <c r="D18" s="33">
        <f t="shared" ref="D18:K18" si="11">D16-D17</f>
        <v>22760</v>
      </c>
      <c r="E18" s="33">
        <f t="shared" si="11"/>
        <v>-2028</v>
      </c>
      <c r="F18" s="33">
        <f t="shared" si="11"/>
        <v>-1614</v>
      </c>
      <c r="G18" s="33">
        <f t="shared" si="11"/>
        <v>1927</v>
      </c>
      <c r="H18" s="33">
        <f t="shared" si="11"/>
        <v>-2960</v>
      </c>
      <c r="I18" s="33">
        <f t="shared" si="11"/>
        <v>-15136</v>
      </c>
      <c r="J18" s="33">
        <f t="shared" si="11"/>
        <v>16547</v>
      </c>
      <c r="K18" s="33">
        <f t="shared" si="11"/>
        <v>21910</v>
      </c>
    </row>
    <row r="19" spans="1:14" x14ac:dyDescent="0.35">
      <c r="A19" s="13"/>
      <c r="B19" s="16" t="s">
        <v>32</v>
      </c>
      <c r="C19" s="34" t="s">
        <v>43</v>
      </c>
      <c r="D19" s="35">
        <f>D18/C18-1</f>
        <v>4.0032974280061548</v>
      </c>
      <c r="E19" s="35">
        <f t="shared" ref="E19" si="12">E18/D18-1</f>
        <v>-1.089103690685413</v>
      </c>
      <c r="F19" s="35">
        <f t="shared" ref="F19" si="13">F18/E18-1</f>
        <v>-0.20414201183431957</v>
      </c>
      <c r="G19" s="35">
        <f t="shared" ref="G19" si="14">G18/F18-1</f>
        <v>-2.1939281288723667</v>
      </c>
      <c r="H19" s="35">
        <f t="shared" ref="H19" si="15">H18/G18-1</f>
        <v>-2.5360664244940319</v>
      </c>
      <c r="I19" s="35">
        <f t="shared" ref="I19" si="16">I18/H18-1</f>
        <v>4.1135135135135137</v>
      </c>
      <c r="J19" s="35">
        <f t="shared" ref="J19" si="17">J18/I18-1</f>
        <v>-2.0932214587737841</v>
      </c>
      <c r="K19" s="35">
        <f t="shared" ref="K19" si="18">K18/J18-1</f>
        <v>0.32410708889828976</v>
      </c>
    </row>
    <row r="20" spans="1:14" x14ac:dyDescent="0.35">
      <c r="A20" s="14" t="s">
        <v>28</v>
      </c>
      <c r="B20" s="15" t="s">
        <v>41</v>
      </c>
      <c r="C20" s="24">
        <f>C18/C22</f>
        <v>0.30089958989284299</v>
      </c>
      <c r="D20" s="24">
        <f t="shared" ref="D20:K20" si="19">D18/D22</f>
        <v>1.4908947988995154</v>
      </c>
      <c r="E20" s="24">
        <f t="shared" si="19"/>
        <v>-0.13303594856992915</v>
      </c>
      <c r="F20" s="24">
        <f t="shared" si="19"/>
        <v>-0.10466247325076194</v>
      </c>
      <c r="G20" s="24">
        <f t="shared" si="19"/>
        <v>0.12278577800433287</v>
      </c>
      <c r="H20" s="24">
        <f t="shared" si="19"/>
        <v>-0.18782917697823465</v>
      </c>
      <c r="I20" s="24">
        <f t="shared" si="19"/>
        <v>-0.94872759182650124</v>
      </c>
      <c r="J20" s="24">
        <f t="shared" si="19"/>
        <v>1.0219244071146245</v>
      </c>
      <c r="K20" s="24">
        <f t="shared" si="19"/>
        <v>1.3369538686844031</v>
      </c>
    </row>
    <row r="21" spans="1:14" x14ac:dyDescent="0.35">
      <c r="A21" s="14"/>
      <c r="B21" s="16" t="s">
        <v>32</v>
      </c>
      <c r="C21" s="34" t="s">
        <v>43</v>
      </c>
      <c r="D21" s="35">
        <f>D20/C20-1</f>
        <v>3.9547917278001474</v>
      </c>
      <c r="E21" s="35">
        <f t="shared" ref="E21" si="20">E20/D20-1</f>
        <v>-1.0892322843088109</v>
      </c>
      <c r="F21" s="35">
        <f t="shared" ref="F21" si="21">F20/E20-1</f>
        <v>-0.21327675432218185</v>
      </c>
      <c r="G21" s="35">
        <f t="shared" ref="G21" si="22">G20/F20-1</f>
        <v>-2.1731595307340874</v>
      </c>
      <c r="H21" s="35">
        <f t="shared" ref="H21" si="23">H20/G20-1</f>
        <v>-2.529730723142924</v>
      </c>
      <c r="I21" s="35">
        <f t="shared" ref="I21" si="24">I20/H20-1</f>
        <v>4.0510128782411599</v>
      </c>
      <c r="J21" s="35">
        <f t="shared" ref="J21" si="25">J20/I20-1</f>
        <v>-2.0771526156915114</v>
      </c>
      <c r="K21" s="35">
        <f t="shared" ref="K21" si="26">K20/J20-1</f>
        <v>0.30827080689779751</v>
      </c>
    </row>
    <row r="22" spans="1:14" x14ac:dyDescent="0.35">
      <c r="B22" s="16" t="s">
        <v>17</v>
      </c>
      <c r="C22" s="32">
        <v>15118</v>
      </c>
      <c r="D22" s="32">
        <v>15266</v>
      </c>
      <c r="E22" s="32">
        <v>15244</v>
      </c>
      <c r="F22" s="32">
        <v>15421</v>
      </c>
      <c r="G22" s="32">
        <v>15694</v>
      </c>
      <c r="H22" s="32">
        <v>15759</v>
      </c>
      <c r="I22" s="32">
        <v>15954</v>
      </c>
      <c r="J22" s="32">
        <v>16192</v>
      </c>
      <c r="K22" s="32">
        <v>16388</v>
      </c>
    </row>
    <row r="23" spans="1:14" x14ac:dyDescent="0.35">
      <c r="B23" s="26" t="s">
        <v>47</v>
      </c>
      <c r="C23" s="38">
        <v>-4261</v>
      </c>
      <c r="D23" s="38">
        <v>-4408</v>
      </c>
      <c r="E23" s="38">
        <v>-6208</v>
      </c>
      <c r="F23" s="38">
        <v>-5395</v>
      </c>
      <c r="G23" s="38">
        <v>-4216</v>
      </c>
      <c r="H23" s="38">
        <v>-2154</v>
      </c>
      <c r="I23" s="38">
        <v>-2995</v>
      </c>
      <c r="J23" s="38">
        <v>-3332</v>
      </c>
      <c r="K23" s="38">
        <v>-5248</v>
      </c>
    </row>
    <row r="26" spans="1:14" x14ac:dyDescent="0.35">
      <c r="B26" s="18" t="s">
        <v>5</v>
      </c>
      <c r="C26" s="19"/>
      <c r="D26" s="19"/>
      <c r="E26" s="19"/>
      <c r="F26" s="19"/>
      <c r="G26" s="19"/>
      <c r="I26" s="18" t="s">
        <v>57</v>
      </c>
      <c r="J26" s="19"/>
      <c r="K26" s="19"/>
      <c r="L26" s="19"/>
      <c r="M26" s="19"/>
      <c r="N26" s="19"/>
    </row>
    <row r="27" spans="1:14" x14ac:dyDescent="0.35">
      <c r="B27" s="2" t="s">
        <v>11</v>
      </c>
      <c r="I27" s="2" t="s">
        <v>11</v>
      </c>
    </row>
    <row r="28" spans="1:14" x14ac:dyDescent="0.35">
      <c r="B28" s="5" t="s">
        <v>0</v>
      </c>
      <c r="C28" s="11" t="str" cm="1">
        <f t="array" ref="C28:G28">_xlfn.SEQUENCE(1,5,2020)&amp;"A"</f>
        <v>2020A</v>
      </c>
      <c r="D28" s="12" t="str">
        <v>2021A</v>
      </c>
      <c r="E28" s="12" t="str">
        <v>2022A</v>
      </c>
      <c r="F28" s="12" t="str">
        <v>2023A</v>
      </c>
      <c r="G28" s="12" t="str">
        <v>2024A</v>
      </c>
      <c r="I28" s="5" t="s">
        <v>0</v>
      </c>
      <c r="J28" s="11" t="str" cm="1">
        <f t="array" ref="J28:N28">_xlfn.SEQUENCE(1,5,2020)&amp;"A"</f>
        <v>2020A</v>
      </c>
      <c r="K28" s="12" t="str">
        <v>2021A</v>
      </c>
      <c r="L28" s="12" t="str">
        <v>2022A</v>
      </c>
      <c r="M28" s="12" t="str">
        <v>2023A</v>
      </c>
      <c r="N28" s="12" t="str">
        <v>2024A</v>
      </c>
    </row>
    <row r="29" spans="1:14" x14ac:dyDescent="0.35">
      <c r="B29" s="15" t="s">
        <v>12</v>
      </c>
      <c r="C29" s="28">
        <f>C31-C36</f>
        <v>11461</v>
      </c>
      <c r="D29" s="28">
        <f t="shared" ref="D29:G29" si="27">D31-D36</f>
        <v>11920</v>
      </c>
      <c r="E29" s="28">
        <f t="shared" si="27"/>
        <v>-31392</v>
      </c>
      <c r="F29" s="28">
        <f t="shared" si="27"/>
        <v>-24760</v>
      </c>
      <c r="G29" s="28">
        <f t="shared" si="27"/>
        <v>8254</v>
      </c>
      <c r="I29" s="44" t="s">
        <v>57</v>
      </c>
      <c r="J29">
        <v>5769</v>
      </c>
      <c r="K29">
        <v>5090</v>
      </c>
      <c r="L29">
        <v>4570</v>
      </c>
      <c r="M29">
        <v>4542</v>
      </c>
      <c r="N29">
        <v>5097</v>
      </c>
    </row>
    <row r="30" spans="1:14" x14ac:dyDescent="0.35">
      <c r="B30" s="16" t="s">
        <v>32</v>
      </c>
      <c r="C30" s="34" t="s">
        <v>43</v>
      </c>
      <c r="D30" s="35">
        <f>D29/C29-1</f>
        <v>4.0048861355902687E-2</v>
      </c>
      <c r="E30" s="35">
        <f t="shared" ref="E30" si="28">E29/D29-1</f>
        <v>-3.6335570469798659</v>
      </c>
      <c r="F30" s="35">
        <f t="shared" ref="F30" si="29">F29/E29-1</f>
        <v>-0.21126401630988789</v>
      </c>
      <c r="G30" s="35">
        <f t="shared" ref="G30" si="30">G29/F29-1</f>
        <v>-1.3333602584814217</v>
      </c>
      <c r="I30" s="16" t="s">
        <v>32</v>
      </c>
      <c r="J30" s="34" t="s">
        <v>43</v>
      </c>
      <c r="K30" s="35">
        <f>K29/J29-1</f>
        <v>-0.11769804125498351</v>
      </c>
      <c r="L30" s="35">
        <f t="shared" ref="L30" si="31">L29/K29-1</f>
        <v>-0.10216110019646363</v>
      </c>
      <c r="M30" s="35">
        <f t="shared" ref="M30" si="32">M29/L29-1</f>
        <v>-6.1269146608314839E-3</v>
      </c>
      <c r="N30" s="35">
        <f t="shared" ref="N30" si="33">N29/M29-1</f>
        <v>0.12219286657859985</v>
      </c>
    </row>
    <row r="31" spans="1:14" x14ac:dyDescent="0.35">
      <c r="B31" s="17" t="s">
        <v>49</v>
      </c>
      <c r="C31" s="31">
        <f>SUM(C32:C34)</f>
        <v>5351</v>
      </c>
      <c r="D31" s="31">
        <f t="shared" ref="D31:G31" si="34">SUM(D32:D34)</f>
        <v>7094</v>
      </c>
      <c r="E31" s="31">
        <f t="shared" si="34"/>
        <v>-17258</v>
      </c>
      <c r="F31" s="31">
        <f t="shared" si="34"/>
        <v>-20703</v>
      </c>
      <c r="G31" s="31">
        <f t="shared" si="34"/>
        <v>4357</v>
      </c>
    </row>
    <row r="32" spans="1:14" x14ac:dyDescent="0.35">
      <c r="B32" s="16" t="s">
        <v>51</v>
      </c>
      <c r="C32" s="38">
        <v>1408</v>
      </c>
      <c r="D32" s="38">
        <v>2003</v>
      </c>
      <c r="E32" s="38">
        <v>-8063</v>
      </c>
      <c r="F32" s="38">
        <v>-720</v>
      </c>
      <c r="G32" s="38">
        <v>-4726</v>
      </c>
      <c r="I32" s="2" t="s">
        <v>13</v>
      </c>
    </row>
    <row r="33" spans="2:14" x14ac:dyDescent="0.35">
      <c r="B33" s="16" t="s">
        <v>52</v>
      </c>
      <c r="C33" s="31">
        <v>-17</v>
      </c>
      <c r="D33" s="31">
        <v>31</v>
      </c>
      <c r="E33" s="31">
        <v>-92</v>
      </c>
      <c r="F33" s="31">
        <v>50</v>
      </c>
      <c r="G33" s="31">
        <v>48</v>
      </c>
      <c r="I33" s="5" t="s">
        <v>0</v>
      </c>
      <c r="J33" s="11" t="str" cm="1">
        <f t="array" ref="J33:N33">_xlfn.SEQUENCE(1,5,2025)&amp;"E"</f>
        <v>2025E</v>
      </c>
      <c r="K33" s="12" t="str">
        <v>2026E</v>
      </c>
      <c r="L33" s="12" t="str">
        <v>2027E</v>
      </c>
      <c r="M33" s="12" t="str">
        <v>2028E</v>
      </c>
      <c r="N33" s="12" t="str">
        <v>2029E</v>
      </c>
    </row>
    <row r="34" spans="2:14" x14ac:dyDescent="0.35">
      <c r="B34" s="16" t="s">
        <v>56</v>
      </c>
      <c r="C34" s="38">
        <v>3960</v>
      </c>
      <c r="D34" s="38">
        <v>5060</v>
      </c>
      <c r="E34" s="38">
        <v>-9103</v>
      </c>
      <c r="F34" s="38">
        <v>-20033</v>
      </c>
      <c r="G34" s="38">
        <v>9035</v>
      </c>
      <c r="I34" s="4" t="str">
        <f>I29</f>
        <v>D&amp;A</v>
      </c>
      <c r="J34">
        <f>AVERAGE(MEDIAN(J29:N29),AVERAGE(J29:N29))</f>
        <v>5051.8</v>
      </c>
      <c r="K34">
        <f>J34*1.02</f>
        <v>5152.8360000000002</v>
      </c>
      <c r="L34">
        <f t="shared" ref="L34:N34" si="35">K34*1.02</f>
        <v>5255.8927200000007</v>
      </c>
      <c r="M34">
        <f t="shared" si="35"/>
        <v>5361.0105744000011</v>
      </c>
      <c r="N34">
        <f t="shared" si="35"/>
        <v>5468.2307858880013</v>
      </c>
    </row>
    <row r="35" spans="2:14" ht="4" customHeight="1" x14ac:dyDescent="0.35">
      <c r="B35" s="4"/>
    </row>
    <row r="36" spans="2:14" x14ac:dyDescent="0.35">
      <c r="B36" s="17" t="s">
        <v>50</v>
      </c>
      <c r="C36" s="31">
        <f>SUM(C37:C39)</f>
        <v>-6110</v>
      </c>
      <c r="D36" s="31">
        <f t="shared" ref="D36:G36" si="36">SUM(D37:D39)</f>
        <v>-4826</v>
      </c>
      <c r="E36" s="31">
        <f t="shared" si="36"/>
        <v>14134</v>
      </c>
      <c r="F36" s="31">
        <f t="shared" si="36"/>
        <v>4057</v>
      </c>
      <c r="G36" s="31">
        <f t="shared" si="36"/>
        <v>-3897</v>
      </c>
    </row>
    <row r="37" spans="2:14" x14ac:dyDescent="0.35">
      <c r="B37" s="16" t="s">
        <v>53</v>
      </c>
      <c r="C37" s="38">
        <v>-97</v>
      </c>
      <c r="D37" s="38">
        <v>93</v>
      </c>
      <c r="E37" s="38">
        <v>55</v>
      </c>
      <c r="F37" s="38">
        <v>141</v>
      </c>
      <c r="G37" s="38">
        <v>213</v>
      </c>
    </row>
    <row r="38" spans="2:14" x14ac:dyDescent="0.35">
      <c r="B38" s="16" t="s">
        <v>54</v>
      </c>
      <c r="C38" s="31">
        <v>215</v>
      </c>
      <c r="D38" s="31">
        <v>-234</v>
      </c>
      <c r="E38" s="31">
        <v>221</v>
      </c>
      <c r="F38" s="31">
        <v>-106</v>
      </c>
      <c r="G38" s="31">
        <v>-94</v>
      </c>
    </row>
    <row r="39" spans="2:14" x14ac:dyDescent="0.35">
      <c r="B39" s="16" t="s">
        <v>55</v>
      </c>
      <c r="C39" s="38">
        <v>-6228</v>
      </c>
      <c r="D39" s="38">
        <v>-4685</v>
      </c>
      <c r="E39" s="38">
        <v>13858</v>
      </c>
      <c r="F39" s="38">
        <v>4022</v>
      </c>
      <c r="G39" s="38">
        <v>-4016</v>
      </c>
    </row>
    <row r="41" spans="2:14" x14ac:dyDescent="0.35">
      <c r="B41" s="2" t="s">
        <v>13</v>
      </c>
    </row>
    <row r="42" spans="2:14" x14ac:dyDescent="0.35">
      <c r="B42" s="5" t="s">
        <v>0</v>
      </c>
      <c r="C42" s="11" t="str" cm="1">
        <f t="array" ref="C42:G42">_xlfn.SEQUENCE(1,5,2025)&amp;"E"</f>
        <v>2025E</v>
      </c>
      <c r="D42" s="12" t="str">
        <v>2026E</v>
      </c>
      <c r="E42" s="12" t="str">
        <v>2027E</v>
      </c>
      <c r="F42" s="12" t="str">
        <v>2028E</v>
      </c>
      <c r="G42" s="12" t="str">
        <v>2029E</v>
      </c>
    </row>
    <row r="43" spans="2:14" x14ac:dyDescent="0.35">
      <c r="B43" s="4" t="s">
        <v>12</v>
      </c>
      <c r="C43" s="41">
        <f>G29*0.895</f>
        <v>7387.33</v>
      </c>
      <c r="D43" s="41">
        <f>C43*1.15</f>
        <v>8495.4294999999984</v>
      </c>
      <c r="E43" s="41">
        <f>D43*1.05</f>
        <v>8920.2009749999979</v>
      </c>
      <c r="F43" s="41">
        <f t="shared" ref="F43:G43" si="37">E43*1.05</f>
        <v>9366.2110237499983</v>
      </c>
      <c r="G43" s="41">
        <f t="shared" si="37"/>
        <v>9834.5215749374984</v>
      </c>
    </row>
  </sheetData>
  <pageMargins left="0.7" right="0.7" top="0.75" bottom="0.75" header="0.3" footer="0.3"/>
  <ignoredErrors>
    <ignoredError sqref="J20:K20 H20 C20:G20 I2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DCF TV Method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Thuc Tuong</dc:creator>
  <cp:lastModifiedBy>Le, Thuc Tuong</cp:lastModifiedBy>
  <dcterms:created xsi:type="dcterms:W3CDTF">2024-10-10T22:58:41Z</dcterms:created>
  <dcterms:modified xsi:type="dcterms:W3CDTF">2024-10-11T06:42:21Z</dcterms:modified>
</cp:coreProperties>
</file>