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7B86030-2E45-42CE-9DF1-240BCA671C2C}" xr6:coauthVersionLast="41" xr6:coauthVersionMax="45" xr10:uidLastSave="{00000000-0000-0000-0000-000000000000}"/>
  <bookViews>
    <workbookView xWindow="-120" yWindow="-120" windowWidth="24240" windowHeight="13740" xr2:uid="{4A050778-E93B-45E2-BCC7-186B33F0E7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R12" i="1"/>
  <c r="S12" i="1" s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3" i="1"/>
  <c r="R44" i="1"/>
  <c r="R45" i="1"/>
  <c r="R46" i="1"/>
  <c r="R48" i="1"/>
  <c r="R49" i="1"/>
  <c r="R50" i="1"/>
  <c r="R51" i="1"/>
  <c r="R52" i="1"/>
  <c r="R53" i="1"/>
  <c r="R54" i="1"/>
  <c r="R55" i="1"/>
  <c r="R56" i="1"/>
  <c r="R57" i="1"/>
  <c r="R58" i="1"/>
  <c r="R60" i="1"/>
  <c r="R61" i="1"/>
  <c r="R62" i="1"/>
  <c r="R63" i="1"/>
  <c r="R64" i="1"/>
  <c r="R65" i="1"/>
  <c r="R66" i="1"/>
  <c r="R67" i="1"/>
  <c r="R68" i="1"/>
  <c r="R69" i="1"/>
  <c r="R70" i="1"/>
  <c r="R72" i="1"/>
  <c r="R73" i="1"/>
  <c r="R74" i="1"/>
  <c r="R75" i="1"/>
  <c r="R76" i="1"/>
  <c r="R77" i="1"/>
  <c r="R78" i="1"/>
  <c r="R79" i="1"/>
  <c r="R80" i="1"/>
  <c r="R81" i="1"/>
  <c r="R82" i="1"/>
  <c r="R84" i="1"/>
  <c r="R85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105" i="1"/>
  <c r="R106" i="1"/>
  <c r="R108" i="1"/>
  <c r="R109" i="1"/>
  <c r="R110" i="1"/>
  <c r="R111" i="1"/>
  <c r="R112" i="1"/>
  <c r="R113" i="1"/>
  <c r="R114" i="1"/>
  <c r="R115" i="1"/>
  <c r="R116" i="1"/>
  <c r="R117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2" i="1"/>
  <c r="R133" i="1"/>
  <c r="R134" i="1"/>
  <c r="R135" i="1"/>
  <c r="R136" i="1"/>
  <c r="R137" i="1"/>
  <c r="R138" i="1"/>
  <c r="R139" i="1"/>
  <c r="R140" i="1"/>
  <c r="R141" i="1"/>
  <c r="R142" i="1"/>
  <c r="R144" i="1"/>
  <c r="R145" i="1"/>
  <c r="R146" i="1"/>
  <c r="R147" i="1"/>
  <c r="R148" i="1"/>
  <c r="R149" i="1"/>
  <c r="R150" i="1"/>
  <c r="R151" i="1"/>
  <c r="R152" i="1"/>
  <c r="R153" i="1"/>
  <c r="R154" i="1"/>
  <c r="R156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1" i="1"/>
  <c r="R182" i="1"/>
  <c r="R183" i="1"/>
  <c r="R184" i="1"/>
  <c r="R185" i="1"/>
  <c r="R186" i="1"/>
  <c r="R187" i="1"/>
  <c r="R188" i="1"/>
  <c r="R189" i="1"/>
  <c r="R190" i="1"/>
  <c r="R192" i="1"/>
  <c r="R193" i="1"/>
  <c r="R194" i="1"/>
  <c r="R195" i="1"/>
  <c r="R196" i="1"/>
  <c r="R197" i="1"/>
  <c r="R198" i="1"/>
  <c r="R199" i="1"/>
  <c r="R200" i="1"/>
  <c r="R201" i="1"/>
  <c r="R202" i="1"/>
  <c r="R204" i="1"/>
  <c r="R205" i="1"/>
  <c r="R206" i="1"/>
  <c r="R207" i="1"/>
  <c r="R208" i="1"/>
  <c r="R209" i="1"/>
  <c r="R210" i="1"/>
  <c r="R211" i="1"/>
  <c r="R212" i="1"/>
  <c r="R213" i="1"/>
  <c r="R214" i="1"/>
  <c r="R216" i="1"/>
  <c r="R217" i="1"/>
  <c r="R218" i="1"/>
  <c r="R219" i="1"/>
  <c r="R220" i="1"/>
  <c r="R221" i="1"/>
  <c r="R222" i="1"/>
  <c r="R223" i="1"/>
  <c r="R224" i="1"/>
  <c r="R225" i="1"/>
  <c r="R226" i="1"/>
  <c r="R228" i="1"/>
  <c r="R229" i="1"/>
  <c r="R230" i="1"/>
  <c r="R231" i="1"/>
  <c r="R232" i="1"/>
  <c r="R233" i="1"/>
  <c r="R234" i="1"/>
  <c r="R235" i="1"/>
  <c r="R236" i="1"/>
  <c r="R237" i="1"/>
  <c r="R238" i="1"/>
  <c r="R240" i="1"/>
  <c r="R241" i="1"/>
  <c r="R242" i="1"/>
  <c r="R243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59" i="1"/>
  <c r="R260" i="1"/>
  <c r="R261" i="1"/>
  <c r="R262" i="1"/>
  <c r="R264" i="1"/>
  <c r="R265" i="1"/>
  <c r="R266" i="1"/>
  <c r="R267" i="1"/>
  <c r="R268" i="1"/>
  <c r="R269" i="1"/>
  <c r="R270" i="1"/>
  <c r="R271" i="1"/>
  <c r="R272" i="1"/>
  <c r="R273" i="1"/>
  <c r="R274" i="1"/>
  <c r="R276" i="1"/>
  <c r="R277" i="1"/>
  <c r="R278" i="1"/>
  <c r="R279" i="1"/>
  <c r="R280" i="1"/>
  <c r="R281" i="1"/>
  <c r="R282" i="1"/>
  <c r="R283" i="1"/>
  <c r="R284" i="1"/>
  <c r="R285" i="1"/>
  <c r="R286" i="1"/>
  <c r="R288" i="1"/>
  <c r="R289" i="1"/>
  <c r="R290" i="1"/>
  <c r="R291" i="1"/>
  <c r="R292" i="1"/>
  <c r="R293" i="1"/>
  <c r="R294" i="1"/>
  <c r="R295" i="1"/>
  <c r="R296" i="1"/>
  <c r="R297" i="1"/>
  <c r="R298" i="1"/>
  <c r="R300" i="1"/>
  <c r="R301" i="1"/>
  <c r="R302" i="1"/>
  <c r="R303" i="1"/>
  <c r="R304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2" i="1"/>
  <c r="R324" i="1"/>
  <c r="R325" i="1"/>
  <c r="R326" i="1"/>
  <c r="R327" i="1"/>
  <c r="R328" i="1"/>
  <c r="R329" i="1"/>
  <c r="R330" i="1"/>
  <c r="R331" i="1"/>
  <c r="R332" i="1"/>
  <c r="R333" i="1"/>
  <c r="R334" i="1"/>
  <c r="R336" i="1"/>
  <c r="R337" i="1"/>
  <c r="R338" i="1"/>
  <c r="R339" i="1"/>
  <c r="R340" i="1"/>
  <c r="R341" i="1"/>
  <c r="R342" i="1"/>
  <c r="R343" i="1"/>
  <c r="R344" i="1"/>
  <c r="R345" i="1"/>
  <c r="R346" i="1"/>
  <c r="R348" i="1"/>
  <c r="R349" i="1"/>
  <c r="R350" i="1"/>
  <c r="R351" i="1"/>
  <c r="R352" i="1"/>
  <c r="R353" i="1"/>
  <c r="R354" i="1"/>
  <c r="R355" i="1"/>
  <c r="R356" i="1"/>
  <c r="R357" i="1"/>
  <c r="R358" i="1"/>
  <c r="R360" i="1"/>
  <c r="R361" i="1"/>
  <c r="R362" i="1"/>
  <c r="R363" i="1"/>
  <c r="R364" i="1"/>
  <c r="R365" i="1"/>
  <c r="R366" i="1"/>
  <c r="R367" i="1"/>
  <c r="R368" i="1"/>
  <c r="R369" i="1"/>
  <c r="R370" i="1"/>
  <c r="R372" i="1"/>
  <c r="R373" i="1"/>
  <c r="R374" i="1"/>
  <c r="R375" i="1"/>
  <c r="R376" i="1"/>
  <c r="R377" i="1"/>
  <c r="R378" i="1"/>
  <c r="R379" i="1"/>
  <c r="R380" i="1"/>
  <c r="R381" i="1"/>
  <c r="R382" i="1"/>
  <c r="R384" i="1"/>
  <c r="R385" i="1"/>
  <c r="R386" i="1"/>
  <c r="R387" i="1"/>
  <c r="R388" i="1"/>
  <c r="R389" i="1"/>
  <c r="R390" i="1"/>
  <c r="R391" i="1"/>
  <c r="R392" i="1"/>
  <c r="R393" i="1"/>
  <c r="R394" i="1"/>
  <c r="R396" i="1"/>
  <c r="R397" i="1"/>
  <c r="R398" i="1"/>
  <c r="R399" i="1"/>
  <c r="R400" i="1"/>
  <c r="R401" i="1"/>
  <c r="R402" i="1"/>
  <c r="R403" i="1"/>
  <c r="R404" i="1"/>
  <c r="R405" i="1"/>
  <c r="R406" i="1"/>
  <c r="R408" i="1"/>
  <c r="R409" i="1"/>
  <c r="R410" i="1"/>
  <c r="R411" i="1"/>
  <c r="R412" i="1"/>
  <c r="R413" i="1"/>
  <c r="R414" i="1"/>
  <c r="R415" i="1"/>
  <c r="R416" i="1"/>
  <c r="R417" i="1"/>
  <c r="R418" i="1"/>
  <c r="R420" i="1"/>
  <c r="R421" i="1"/>
  <c r="R422" i="1"/>
  <c r="R423" i="1"/>
  <c r="R424" i="1"/>
  <c r="R425" i="1"/>
  <c r="R426" i="1"/>
  <c r="R427" i="1"/>
  <c r="R428" i="1"/>
  <c r="R429" i="1"/>
  <c r="R430" i="1"/>
  <c r="R432" i="1"/>
  <c r="R433" i="1"/>
  <c r="R434" i="1"/>
  <c r="R435" i="1"/>
  <c r="R436" i="1"/>
  <c r="R437" i="1"/>
  <c r="R438" i="1"/>
  <c r="R439" i="1"/>
  <c r="R440" i="1"/>
  <c r="R441" i="1"/>
  <c r="R442" i="1"/>
  <c r="R444" i="1"/>
  <c r="R445" i="1"/>
  <c r="R446" i="1"/>
  <c r="R447" i="1"/>
  <c r="R448" i="1"/>
  <c r="R449" i="1"/>
  <c r="R450" i="1"/>
  <c r="R451" i="1"/>
  <c r="R452" i="1"/>
  <c r="R453" i="1"/>
  <c r="R454" i="1"/>
  <c r="R456" i="1"/>
  <c r="R457" i="1"/>
  <c r="R458" i="1"/>
  <c r="R459" i="1"/>
  <c r="R460" i="1"/>
  <c r="R461" i="1"/>
  <c r="R462" i="1"/>
  <c r="R463" i="1"/>
  <c r="R464" i="1"/>
  <c r="R465" i="1"/>
  <c r="R466" i="1"/>
  <c r="R468" i="1"/>
  <c r="R469" i="1"/>
  <c r="R470" i="1"/>
  <c r="R471" i="1"/>
  <c r="R472" i="1"/>
  <c r="R473" i="1"/>
  <c r="R474" i="1"/>
  <c r="R475" i="1"/>
  <c r="R476" i="1"/>
  <c r="R477" i="1"/>
  <c r="R478" i="1"/>
  <c r="R480" i="1"/>
  <c r="R481" i="1"/>
  <c r="R482" i="1"/>
  <c r="R483" i="1"/>
  <c r="R484" i="1"/>
  <c r="R485" i="1"/>
  <c r="R486" i="1"/>
  <c r="R487" i="1"/>
  <c r="R488" i="1"/>
  <c r="R489" i="1"/>
  <c r="R490" i="1"/>
  <c r="R492" i="1"/>
  <c r="R493" i="1"/>
  <c r="R494" i="1"/>
  <c r="R495" i="1"/>
  <c r="R496" i="1"/>
  <c r="R497" i="1"/>
  <c r="R498" i="1"/>
  <c r="R499" i="1"/>
  <c r="R500" i="1"/>
  <c r="R501" i="1"/>
  <c r="R502" i="1"/>
  <c r="R504" i="1"/>
  <c r="R505" i="1"/>
  <c r="R506" i="1"/>
  <c r="R507" i="1"/>
  <c r="R508" i="1"/>
  <c r="R509" i="1"/>
  <c r="R510" i="1"/>
  <c r="R511" i="1"/>
  <c r="R512" i="1"/>
  <c r="R513" i="1"/>
  <c r="R514" i="1"/>
  <c r="R516" i="1"/>
  <c r="R517" i="1"/>
  <c r="R518" i="1"/>
  <c r="R519" i="1"/>
  <c r="R520" i="1"/>
  <c r="R521" i="1"/>
  <c r="R522" i="1"/>
  <c r="R523" i="1"/>
  <c r="R524" i="1"/>
  <c r="R525" i="1"/>
  <c r="R526" i="1"/>
  <c r="R528" i="1"/>
  <c r="R529" i="1"/>
  <c r="R530" i="1"/>
  <c r="R531" i="1"/>
  <c r="R532" i="1"/>
  <c r="R533" i="1"/>
  <c r="R534" i="1"/>
  <c r="R535" i="1"/>
  <c r="R536" i="1"/>
  <c r="R537" i="1"/>
  <c r="R538" i="1"/>
  <c r="R540" i="1"/>
  <c r="R541" i="1"/>
  <c r="R542" i="1"/>
  <c r="R543" i="1"/>
  <c r="R544" i="1"/>
  <c r="R545" i="1"/>
  <c r="R546" i="1"/>
  <c r="R547" i="1"/>
  <c r="R548" i="1"/>
  <c r="R549" i="1"/>
  <c r="R550" i="1"/>
  <c r="R552" i="1"/>
  <c r="R553" i="1"/>
  <c r="R554" i="1"/>
  <c r="R555" i="1"/>
  <c r="R556" i="1"/>
  <c r="R557" i="1"/>
  <c r="R558" i="1"/>
  <c r="R559" i="1"/>
  <c r="R560" i="1"/>
  <c r="R561" i="1"/>
  <c r="R562" i="1"/>
  <c r="R564" i="1"/>
  <c r="R565" i="1"/>
  <c r="R566" i="1"/>
  <c r="R567" i="1"/>
  <c r="R568" i="1"/>
  <c r="R569" i="1"/>
  <c r="R570" i="1"/>
  <c r="R571" i="1"/>
  <c r="R572" i="1"/>
  <c r="R573" i="1"/>
  <c r="R574" i="1"/>
  <c r="R576" i="1"/>
  <c r="R577" i="1"/>
  <c r="R578" i="1"/>
  <c r="R579" i="1"/>
  <c r="R580" i="1"/>
  <c r="R581" i="1"/>
  <c r="R582" i="1"/>
  <c r="R583" i="1"/>
  <c r="R584" i="1"/>
  <c r="R585" i="1"/>
  <c r="R586" i="1"/>
  <c r="R588" i="1"/>
  <c r="R589" i="1"/>
  <c r="R590" i="1"/>
  <c r="R591" i="1"/>
  <c r="R592" i="1"/>
  <c r="R593" i="1"/>
  <c r="R594" i="1"/>
  <c r="R595" i="1"/>
  <c r="R596" i="1"/>
  <c r="R597" i="1"/>
  <c r="R598" i="1"/>
  <c r="R600" i="1"/>
  <c r="R601" i="1"/>
  <c r="R602" i="1"/>
  <c r="R603" i="1"/>
  <c r="R604" i="1"/>
  <c r="R605" i="1"/>
  <c r="R606" i="1"/>
  <c r="R607" i="1"/>
  <c r="R608" i="1"/>
  <c r="R609" i="1"/>
  <c r="R610" i="1"/>
  <c r="R612" i="1"/>
  <c r="R613" i="1"/>
  <c r="R614" i="1"/>
  <c r="R615" i="1"/>
  <c r="R616" i="1"/>
  <c r="R617" i="1"/>
  <c r="R618" i="1"/>
  <c r="R619" i="1"/>
  <c r="R620" i="1"/>
  <c r="R621" i="1"/>
  <c r="R622" i="1"/>
  <c r="R624" i="1"/>
  <c r="R625" i="1"/>
  <c r="R626" i="1"/>
  <c r="R627" i="1"/>
  <c r="R628" i="1"/>
  <c r="R629" i="1"/>
  <c r="R630" i="1"/>
  <c r="R631" i="1"/>
  <c r="R632" i="1"/>
  <c r="R633" i="1"/>
  <c r="R634" i="1"/>
  <c r="R636" i="1"/>
  <c r="R637" i="1"/>
  <c r="R638" i="1"/>
  <c r="R639" i="1"/>
  <c r="R640" i="1"/>
  <c r="R641" i="1"/>
  <c r="R642" i="1"/>
  <c r="R643" i="1"/>
  <c r="R644" i="1"/>
  <c r="R645" i="1"/>
  <c r="R646" i="1"/>
  <c r="R648" i="1"/>
  <c r="R649" i="1"/>
  <c r="R650" i="1"/>
  <c r="R651" i="1"/>
  <c r="R652" i="1"/>
  <c r="R653" i="1"/>
  <c r="R654" i="1"/>
  <c r="R655" i="1"/>
  <c r="R656" i="1"/>
  <c r="R657" i="1"/>
  <c r="R658" i="1"/>
  <c r="R660" i="1"/>
  <c r="R661" i="1"/>
  <c r="R662" i="1"/>
  <c r="R663" i="1"/>
  <c r="R664" i="1"/>
  <c r="R665" i="1"/>
  <c r="R666" i="1"/>
  <c r="R667" i="1"/>
  <c r="R668" i="1"/>
  <c r="R669" i="1"/>
  <c r="R670" i="1"/>
  <c r="R672" i="1"/>
  <c r="R673" i="1"/>
  <c r="R674" i="1"/>
  <c r="R675" i="1"/>
  <c r="R676" i="1"/>
  <c r="R677" i="1"/>
  <c r="R678" i="1"/>
  <c r="R679" i="1"/>
  <c r="R680" i="1"/>
  <c r="R681" i="1"/>
  <c r="R682" i="1"/>
  <c r="R684" i="1"/>
  <c r="R685" i="1"/>
  <c r="R686" i="1"/>
  <c r="R687" i="1"/>
  <c r="R688" i="1"/>
  <c r="R689" i="1"/>
  <c r="R690" i="1"/>
  <c r="R691" i="1"/>
  <c r="R692" i="1"/>
  <c r="R693" i="1"/>
  <c r="R694" i="1"/>
  <c r="R696" i="1"/>
  <c r="R697" i="1"/>
  <c r="R698" i="1"/>
  <c r="R699" i="1"/>
  <c r="R700" i="1"/>
  <c r="R701" i="1"/>
  <c r="R702" i="1"/>
  <c r="R703" i="1"/>
  <c r="R704" i="1"/>
  <c r="R705" i="1"/>
  <c r="R706" i="1"/>
  <c r="R708" i="1"/>
  <c r="R709" i="1"/>
  <c r="R710" i="1"/>
  <c r="R711" i="1"/>
  <c r="R712" i="1"/>
  <c r="R713" i="1"/>
  <c r="R714" i="1"/>
  <c r="R715" i="1"/>
  <c r="R716" i="1"/>
  <c r="R717" i="1"/>
  <c r="R718" i="1"/>
  <c r="R720" i="1"/>
  <c r="R721" i="1"/>
  <c r="R722" i="1"/>
  <c r="R723" i="1"/>
  <c r="R724" i="1"/>
  <c r="R725" i="1"/>
  <c r="R726" i="1"/>
  <c r="R727" i="1"/>
  <c r="R728" i="1"/>
  <c r="R729" i="1"/>
  <c r="R730" i="1"/>
  <c r="R732" i="1"/>
  <c r="R733" i="1"/>
  <c r="R734" i="1"/>
  <c r="R735" i="1"/>
  <c r="R736" i="1"/>
  <c r="R737" i="1"/>
  <c r="R738" i="1"/>
  <c r="R739" i="1"/>
  <c r="R740" i="1"/>
  <c r="R741" i="1"/>
  <c r="R742" i="1"/>
  <c r="R744" i="1"/>
  <c r="R745" i="1"/>
  <c r="R746" i="1"/>
  <c r="R747" i="1"/>
  <c r="R748" i="1"/>
  <c r="R749" i="1"/>
  <c r="R750" i="1"/>
  <c r="R751" i="1"/>
  <c r="R752" i="1"/>
  <c r="R753" i="1"/>
  <c r="R754" i="1"/>
  <c r="R756" i="1"/>
  <c r="R757" i="1"/>
  <c r="R758" i="1"/>
  <c r="R759" i="1"/>
  <c r="R760" i="1"/>
  <c r="R761" i="1"/>
  <c r="R762" i="1"/>
  <c r="R763" i="1"/>
  <c r="R764" i="1"/>
  <c r="R765" i="1"/>
  <c r="R766" i="1"/>
  <c r="R768" i="1"/>
  <c r="R769" i="1"/>
  <c r="R770" i="1"/>
  <c r="R771" i="1"/>
  <c r="R772" i="1"/>
  <c r="R773" i="1"/>
  <c r="R774" i="1"/>
  <c r="R775" i="1"/>
  <c r="R776" i="1"/>
  <c r="R777" i="1"/>
  <c r="R778" i="1"/>
  <c r="R780" i="1"/>
  <c r="R781" i="1"/>
  <c r="R782" i="1"/>
  <c r="R783" i="1"/>
  <c r="R784" i="1"/>
  <c r="R785" i="1"/>
  <c r="R786" i="1"/>
  <c r="R787" i="1"/>
  <c r="R788" i="1"/>
  <c r="R789" i="1"/>
  <c r="R790" i="1"/>
  <c r="R792" i="1"/>
  <c r="R793" i="1"/>
  <c r="R794" i="1"/>
  <c r="R795" i="1"/>
  <c r="R796" i="1"/>
  <c r="R797" i="1"/>
  <c r="R798" i="1"/>
  <c r="R799" i="1"/>
  <c r="R800" i="1"/>
  <c r="R801" i="1"/>
  <c r="R802" i="1"/>
  <c r="R804" i="1"/>
  <c r="R805" i="1"/>
  <c r="R806" i="1"/>
  <c r="R807" i="1"/>
  <c r="R808" i="1"/>
  <c r="R809" i="1"/>
  <c r="R810" i="1"/>
  <c r="R811" i="1"/>
  <c r="R812" i="1"/>
  <c r="R813" i="1"/>
  <c r="R814" i="1"/>
  <c r="R816" i="1"/>
  <c r="R817" i="1"/>
  <c r="R818" i="1"/>
  <c r="R819" i="1"/>
  <c r="R820" i="1"/>
  <c r="R821" i="1"/>
  <c r="R822" i="1"/>
  <c r="R823" i="1"/>
  <c r="R824" i="1"/>
  <c r="R825" i="1"/>
  <c r="R826" i="1"/>
  <c r="R828" i="1"/>
  <c r="R829" i="1"/>
  <c r="R830" i="1"/>
  <c r="R831" i="1"/>
  <c r="R832" i="1"/>
  <c r="R833" i="1"/>
  <c r="R834" i="1"/>
  <c r="R835" i="1"/>
  <c r="R836" i="1"/>
  <c r="R837" i="1"/>
  <c r="R838" i="1"/>
  <c r="R840" i="1"/>
  <c r="R841" i="1"/>
  <c r="R842" i="1"/>
  <c r="R843" i="1"/>
  <c r="R844" i="1"/>
  <c r="R845" i="1"/>
  <c r="R846" i="1"/>
  <c r="R847" i="1"/>
  <c r="R848" i="1"/>
  <c r="R849" i="1"/>
  <c r="R850" i="1"/>
  <c r="R852" i="1"/>
  <c r="R853" i="1"/>
  <c r="R854" i="1"/>
  <c r="R855" i="1"/>
  <c r="R856" i="1"/>
  <c r="R857" i="1"/>
  <c r="R858" i="1"/>
  <c r="R859" i="1"/>
  <c r="R860" i="1"/>
  <c r="R861" i="1"/>
  <c r="R862" i="1"/>
  <c r="R864" i="1"/>
  <c r="R865" i="1"/>
  <c r="R866" i="1"/>
  <c r="R867" i="1"/>
  <c r="R868" i="1"/>
  <c r="R869" i="1"/>
  <c r="R870" i="1"/>
  <c r="R871" i="1"/>
  <c r="R872" i="1"/>
  <c r="R873" i="1"/>
  <c r="R874" i="1"/>
  <c r="R876" i="1"/>
  <c r="R877" i="1"/>
  <c r="R878" i="1"/>
  <c r="R879" i="1"/>
  <c r="R880" i="1"/>
  <c r="R881" i="1"/>
  <c r="R882" i="1"/>
  <c r="R883" i="1"/>
  <c r="R884" i="1"/>
  <c r="R885" i="1"/>
  <c r="R886" i="1"/>
  <c r="R888" i="1"/>
  <c r="R889" i="1"/>
  <c r="R890" i="1"/>
  <c r="R891" i="1"/>
  <c r="R892" i="1"/>
  <c r="R893" i="1"/>
  <c r="R894" i="1"/>
  <c r="R895" i="1"/>
  <c r="R896" i="1"/>
  <c r="R897" i="1"/>
  <c r="R898" i="1"/>
  <c r="R900" i="1"/>
  <c r="R901" i="1"/>
  <c r="R902" i="1"/>
  <c r="R903" i="1"/>
  <c r="R904" i="1"/>
  <c r="R905" i="1"/>
  <c r="R906" i="1"/>
  <c r="R907" i="1"/>
  <c r="R908" i="1"/>
  <c r="R909" i="1"/>
  <c r="R910" i="1"/>
  <c r="R912" i="1"/>
  <c r="R913" i="1"/>
  <c r="R914" i="1"/>
  <c r="R915" i="1"/>
  <c r="R916" i="1"/>
  <c r="R917" i="1"/>
  <c r="R918" i="1"/>
  <c r="R919" i="1"/>
  <c r="R920" i="1"/>
  <c r="R921" i="1"/>
  <c r="R922" i="1"/>
  <c r="R924" i="1"/>
  <c r="R925" i="1"/>
  <c r="R926" i="1"/>
  <c r="R927" i="1"/>
  <c r="R928" i="1"/>
  <c r="R929" i="1"/>
  <c r="R930" i="1"/>
  <c r="R931" i="1"/>
  <c r="R932" i="1"/>
  <c r="R933" i="1"/>
  <c r="R934" i="1"/>
  <c r="R936" i="1"/>
  <c r="R937" i="1"/>
  <c r="R938" i="1"/>
  <c r="R939" i="1"/>
  <c r="P9" i="1" l="1"/>
  <c r="B941" i="1" l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O12" i="1"/>
  <c r="B13" i="1" s="1"/>
  <c r="O13" i="1"/>
  <c r="B14" i="1" s="1"/>
  <c r="O14" i="1"/>
  <c r="B15" i="1" s="1"/>
  <c r="O15" i="1"/>
  <c r="B16" i="1" s="1"/>
  <c r="O16" i="1"/>
  <c r="B17" i="1" s="1"/>
  <c r="O17" i="1"/>
  <c r="B18" i="1" s="1"/>
  <c r="O18" i="1"/>
  <c r="B19" i="1" s="1"/>
  <c r="O19" i="1"/>
  <c r="B20" i="1" s="1"/>
  <c r="O20" i="1"/>
  <c r="B21" i="1" s="1"/>
  <c r="O21" i="1"/>
  <c r="B22" i="1" s="1"/>
  <c r="O22" i="1"/>
  <c r="B23" i="1" s="1"/>
  <c r="O24" i="1"/>
  <c r="B25" i="1" s="1"/>
  <c r="O25" i="1"/>
  <c r="O26" i="1"/>
  <c r="B27" i="1" s="1"/>
  <c r="O27" i="1"/>
  <c r="B28" i="1" s="1"/>
  <c r="O28" i="1"/>
  <c r="B29" i="1" s="1"/>
  <c r="O29" i="1"/>
  <c r="B30" i="1" s="1"/>
  <c r="O30" i="1"/>
  <c r="B31" i="1" s="1"/>
  <c r="O31" i="1"/>
  <c r="B32" i="1" s="1"/>
  <c r="O32" i="1"/>
  <c r="B33" i="1" s="1"/>
  <c r="O33" i="1"/>
  <c r="B34" i="1" s="1"/>
  <c r="O34" i="1"/>
  <c r="B35" i="1" s="1"/>
  <c r="O36" i="1"/>
  <c r="B37" i="1" s="1"/>
  <c r="O37" i="1"/>
  <c r="B38" i="1" s="1"/>
  <c r="O38" i="1"/>
  <c r="B39" i="1" s="1"/>
  <c r="O39" i="1"/>
  <c r="B40" i="1" s="1"/>
  <c r="O40" i="1"/>
  <c r="B41" i="1" s="1"/>
  <c r="O41" i="1"/>
  <c r="B42" i="1" s="1"/>
  <c r="O42" i="1"/>
  <c r="B43" i="1" s="1"/>
  <c r="O43" i="1"/>
  <c r="B44" i="1" s="1"/>
  <c r="O44" i="1"/>
  <c r="B45" i="1" s="1"/>
  <c r="O45" i="1"/>
  <c r="B46" i="1" s="1"/>
  <c r="O46" i="1"/>
  <c r="B47" i="1" s="1"/>
  <c r="O48" i="1"/>
  <c r="B49" i="1" s="1"/>
  <c r="O49" i="1"/>
  <c r="B50" i="1" s="1"/>
  <c r="O50" i="1"/>
  <c r="B51" i="1" s="1"/>
  <c r="O51" i="1"/>
  <c r="B52" i="1" s="1"/>
  <c r="O52" i="1"/>
  <c r="B53" i="1" s="1"/>
  <c r="O53" i="1"/>
  <c r="B54" i="1" s="1"/>
  <c r="O54" i="1"/>
  <c r="B55" i="1" s="1"/>
  <c r="O55" i="1"/>
  <c r="B56" i="1" s="1"/>
  <c r="O56" i="1"/>
  <c r="B57" i="1" s="1"/>
  <c r="O57" i="1"/>
  <c r="B58" i="1" s="1"/>
  <c r="O58" i="1"/>
  <c r="B59" i="1" s="1"/>
  <c r="O60" i="1"/>
  <c r="B61" i="1" s="1"/>
  <c r="O61" i="1"/>
  <c r="B62" i="1" s="1"/>
  <c r="O62" i="1"/>
  <c r="B63" i="1" s="1"/>
  <c r="O63" i="1"/>
  <c r="B64" i="1" s="1"/>
  <c r="O64" i="1"/>
  <c r="B65" i="1" s="1"/>
  <c r="O65" i="1"/>
  <c r="B66" i="1" s="1"/>
  <c r="O66" i="1"/>
  <c r="B67" i="1" s="1"/>
  <c r="O67" i="1"/>
  <c r="B68" i="1" s="1"/>
  <c r="O68" i="1"/>
  <c r="B69" i="1" s="1"/>
  <c r="O69" i="1"/>
  <c r="B70" i="1" s="1"/>
  <c r="O70" i="1"/>
  <c r="B71" i="1" s="1"/>
  <c r="O72" i="1"/>
  <c r="B73" i="1" s="1"/>
  <c r="O73" i="1"/>
  <c r="B74" i="1" s="1"/>
  <c r="O74" i="1"/>
  <c r="B75" i="1" s="1"/>
  <c r="O75" i="1"/>
  <c r="B76" i="1" s="1"/>
  <c r="O76" i="1"/>
  <c r="B77" i="1" s="1"/>
  <c r="O77" i="1"/>
  <c r="B78" i="1" s="1"/>
  <c r="O78" i="1"/>
  <c r="B79" i="1" s="1"/>
  <c r="O79" i="1"/>
  <c r="B80" i="1" s="1"/>
  <c r="O80" i="1"/>
  <c r="B81" i="1" s="1"/>
  <c r="O81" i="1"/>
  <c r="B82" i="1" s="1"/>
  <c r="O82" i="1"/>
  <c r="B83" i="1" s="1"/>
  <c r="O84" i="1"/>
  <c r="B85" i="1" s="1"/>
  <c r="O85" i="1"/>
  <c r="B86" i="1" s="1"/>
  <c r="O86" i="1"/>
  <c r="B87" i="1" s="1"/>
  <c r="O87" i="1"/>
  <c r="B88" i="1" s="1"/>
  <c r="O88" i="1"/>
  <c r="B89" i="1" s="1"/>
  <c r="O89" i="1"/>
  <c r="B90" i="1" s="1"/>
  <c r="O90" i="1"/>
  <c r="B91" i="1" s="1"/>
  <c r="O91" i="1"/>
  <c r="B92" i="1" s="1"/>
  <c r="O92" i="1"/>
  <c r="B93" i="1" s="1"/>
  <c r="O93" i="1"/>
  <c r="B94" i="1" s="1"/>
  <c r="O94" i="1"/>
  <c r="B95" i="1" s="1"/>
  <c r="O96" i="1"/>
  <c r="B97" i="1" s="1"/>
  <c r="O97" i="1"/>
  <c r="B98" i="1" s="1"/>
  <c r="O98" i="1"/>
  <c r="B99" i="1" s="1"/>
  <c r="O99" i="1"/>
  <c r="B100" i="1" s="1"/>
  <c r="O100" i="1"/>
  <c r="B101" i="1" s="1"/>
  <c r="O101" i="1"/>
  <c r="B102" i="1" s="1"/>
  <c r="O102" i="1"/>
  <c r="B103" i="1" s="1"/>
  <c r="O103" i="1"/>
  <c r="B104" i="1" s="1"/>
  <c r="O104" i="1"/>
  <c r="B105" i="1" s="1"/>
  <c r="O105" i="1"/>
  <c r="B106" i="1" s="1"/>
  <c r="O106" i="1"/>
  <c r="B107" i="1" s="1"/>
  <c r="O108" i="1"/>
  <c r="B109" i="1" s="1"/>
  <c r="O109" i="1"/>
  <c r="B110" i="1" s="1"/>
  <c r="O110" i="1"/>
  <c r="B111" i="1" s="1"/>
  <c r="O111" i="1"/>
  <c r="B112" i="1" s="1"/>
  <c r="O112" i="1"/>
  <c r="B113" i="1" s="1"/>
  <c r="O113" i="1"/>
  <c r="B114" i="1" s="1"/>
  <c r="O114" i="1"/>
  <c r="B115" i="1" s="1"/>
  <c r="O115" i="1"/>
  <c r="B116" i="1" s="1"/>
  <c r="O116" i="1"/>
  <c r="B117" i="1" s="1"/>
  <c r="O117" i="1"/>
  <c r="B118" i="1" s="1"/>
  <c r="O118" i="1"/>
  <c r="B119" i="1" s="1"/>
  <c r="O120" i="1"/>
  <c r="B121" i="1" s="1"/>
  <c r="O121" i="1"/>
  <c r="B122" i="1" s="1"/>
  <c r="O122" i="1"/>
  <c r="B123" i="1" s="1"/>
  <c r="O123" i="1"/>
  <c r="B124" i="1" s="1"/>
  <c r="O124" i="1"/>
  <c r="B125" i="1" s="1"/>
  <c r="O125" i="1"/>
  <c r="B126" i="1" s="1"/>
  <c r="O126" i="1"/>
  <c r="B127" i="1" s="1"/>
  <c r="O127" i="1"/>
  <c r="B128" i="1" s="1"/>
  <c r="O128" i="1"/>
  <c r="B129" i="1" s="1"/>
  <c r="O129" i="1"/>
  <c r="B130" i="1" s="1"/>
  <c r="O130" i="1"/>
  <c r="B131" i="1" s="1"/>
  <c r="O132" i="1"/>
  <c r="B133" i="1" s="1"/>
  <c r="O133" i="1"/>
  <c r="B134" i="1" s="1"/>
  <c r="O134" i="1"/>
  <c r="B135" i="1" s="1"/>
  <c r="O135" i="1"/>
  <c r="B136" i="1" s="1"/>
  <c r="O136" i="1"/>
  <c r="B137" i="1" s="1"/>
  <c r="O137" i="1"/>
  <c r="B138" i="1" s="1"/>
  <c r="O138" i="1"/>
  <c r="B139" i="1" s="1"/>
  <c r="O139" i="1"/>
  <c r="B140" i="1" s="1"/>
  <c r="O140" i="1"/>
  <c r="B141" i="1" s="1"/>
  <c r="O141" i="1"/>
  <c r="B142" i="1" s="1"/>
  <c r="O142" i="1"/>
  <c r="B143" i="1" s="1"/>
  <c r="O144" i="1"/>
  <c r="B145" i="1" s="1"/>
  <c r="O145" i="1"/>
  <c r="B146" i="1" s="1"/>
  <c r="O146" i="1"/>
  <c r="B147" i="1" s="1"/>
  <c r="O147" i="1"/>
  <c r="B148" i="1" s="1"/>
  <c r="O148" i="1"/>
  <c r="B149" i="1" s="1"/>
  <c r="O149" i="1"/>
  <c r="B150" i="1" s="1"/>
  <c r="O150" i="1"/>
  <c r="B151" i="1" s="1"/>
  <c r="O151" i="1"/>
  <c r="B152" i="1" s="1"/>
  <c r="O152" i="1"/>
  <c r="B153" i="1" s="1"/>
  <c r="O153" i="1"/>
  <c r="B154" i="1" s="1"/>
  <c r="O154" i="1"/>
  <c r="B155" i="1" s="1"/>
  <c r="O156" i="1"/>
  <c r="B157" i="1" s="1"/>
  <c r="O157" i="1"/>
  <c r="B158" i="1" s="1"/>
  <c r="O158" i="1"/>
  <c r="B159" i="1" s="1"/>
  <c r="O159" i="1"/>
  <c r="B160" i="1" s="1"/>
  <c r="O160" i="1"/>
  <c r="B161" i="1" s="1"/>
  <c r="O161" i="1"/>
  <c r="B162" i="1" s="1"/>
  <c r="O162" i="1"/>
  <c r="B163" i="1" s="1"/>
  <c r="O163" i="1"/>
  <c r="B164" i="1" s="1"/>
  <c r="O164" i="1"/>
  <c r="B165" i="1" s="1"/>
  <c r="O165" i="1"/>
  <c r="B166" i="1" s="1"/>
  <c r="O166" i="1"/>
  <c r="B167" i="1" s="1"/>
  <c r="O168" i="1"/>
  <c r="B169" i="1" s="1"/>
  <c r="O169" i="1"/>
  <c r="B170" i="1" s="1"/>
  <c r="O170" i="1"/>
  <c r="B171" i="1" s="1"/>
  <c r="O171" i="1"/>
  <c r="B172" i="1" s="1"/>
  <c r="O172" i="1"/>
  <c r="B173" i="1" s="1"/>
  <c r="O173" i="1"/>
  <c r="B174" i="1" s="1"/>
  <c r="O174" i="1"/>
  <c r="B175" i="1" s="1"/>
  <c r="O175" i="1"/>
  <c r="B176" i="1" s="1"/>
  <c r="O176" i="1"/>
  <c r="B177" i="1" s="1"/>
  <c r="O177" i="1"/>
  <c r="B178" i="1" s="1"/>
  <c r="O178" i="1"/>
  <c r="B179" i="1" s="1"/>
  <c r="O180" i="1"/>
  <c r="B181" i="1" s="1"/>
  <c r="O181" i="1"/>
  <c r="B182" i="1" s="1"/>
  <c r="O182" i="1"/>
  <c r="B183" i="1" s="1"/>
  <c r="O183" i="1"/>
  <c r="B184" i="1" s="1"/>
  <c r="O184" i="1"/>
  <c r="B185" i="1" s="1"/>
  <c r="O185" i="1"/>
  <c r="B186" i="1" s="1"/>
  <c r="O186" i="1"/>
  <c r="B187" i="1" s="1"/>
  <c r="O187" i="1"/>
  <c r="B188" i="1" s="1"/>
  <c r="O188" i="1"/>
  <c r="B189" i="1" s="1"/>
  <c r="O189" i="1"/>
  <c r="B190" i="1" s="1"/>
  <c r="O190" i="1"/>
  <c r="B191" i="1" s="1"/>
  <c r="O192" i="1"/>
  <c r="B193" i="1" s="1"/>
  <c r="O193" i="1"/>
  <c r="B194" i="1" s="1"/>
  <c r="O194" i="1"/>
  <c r="B195" i="1" s="1"/>
  <c r="O195" i="1"/>
  <c r="B196" i="1" s="1"/>
  <c r="O196" i="1"/>
  <c r="B197" i="1" s="1"/>
  <c r="O197" i="1"/>
  <c r="B198" i="1" s="1"/>
  <c r="O198" i="1"/>
  <c r="B199" i="1" s="1"/>
  <c r="O199" i="1"/>
  <c r="B200" i="1" s="1"/>
  <c r="O200" i="1"/>
  <c r="B201" i="1" s="1"/>
  <c r="O201" i="1"/>
  <c r="B202" i="1" s="1"/>
  <c r="O202" i="1"/>
  <c r="B203" i="1" s="1"/>
  <c r="O204" i="1"/>
  <c r="B205" i="1" s="1"/>
  <c r="O205" i="1"/>
  <c r="B206" i="1" s="1"/>
  <c r="O206" i="1"/>
  <c r="B207" i="1" s="1"/>
  <c r="O207" i="1"/>
  <c r="B208" i="1" s="1"/>
  <c r="O208" i="1"/>
  <c r="B209" i="1" s="1"/>
  <c r="O209" i="1"/>
  <c r="B210" i="1" s="1"/>
  <c r="O210" i="1"/>
  <c r="B211" i="1" s="1"/>
  <c r="O211" i="1"/>
  <c r="B212" i="1" s="1"/>
  <c r="O212" i="1"/>
  <c r="B213" i="1" s="1"/>
  <c r="O213" i="1"/>
  <c r="B214" i="1" s="1"/>
  <c r="O214" i="1"/>
  <c r="B215" i="1" s="1"/>
  <c r="O216" i="1"/>
  <c r="B217" i="1" s="1"/>
  <c r="O217" i="1"/>
  <c r="B218" i="1" s="1"/>
  <c r="O218" i="1"/>
  <c r="B219" i="1" s="1"/>
  <c r="O219" i="1"/>
  <c r="B220" i="1" s="1"/>
  <c r="O220" i="1"/>
  <c r="B221" i="1" s="1"/>
  <c r="O221" i="1"/>
  <c r="B222" i="1" s="1"/>
  <c r="O222" i="1"/>
  <c r="B223" i="1" s="1"/>
  <c r="O223" i="1"/>
  <c r="B224" i="1" s="1"/>
  <c r="O224" i="1"/>
  <c r="B225" i="1" s="1"/>
  <c r="O225" i="1"/>
  <c r="B226" i="1" s="1"/>
  <c r="O226" i="1"/>
  <c r="B227" i="1" s="1"/>
  <c r="O228" i="1"/>
  <c r="B229" i="1" s="1"/>
  <c r="O229" i="1"/>
  <c r="B230" i="1" s="1"/>
  <c r="O230" i="1"/>
  <c r="B231" i="1" s="1"/>
  <c r="O231" i="1"/>
  <c r="B232" i="1" s="1"/>
  <c r="O232" i="1"/>
  <c r="B233" i="1" s="1"/>
  <c r="O233" i="1"/>
  <c r="B234" i="1" s="1"/>
  <c r="O234" i="1"/>
  <c r="B235" i="1" s="1"/>
  <c r="O235" i="1"/>
  <c r="B236" i="1" s="1"/>
  <c r="O236" i="1"/>
  <c r="B237" i="1" s="1"/>
  <c r="O237" i="1"/>
  <c r="B238" i="1" s="1"/>
  <c r="O238" i="1"/>
  <c r="B239" i="1" s="1"/>
  <c r="O240" i="1"/>
  <c r="B241" i="1" s="1"/>
  <c r="O241" i="1"/>
  <c r="B242" i="1" s="1"/>
  <c r="O242" i="1"/>
  <c r="B243" i="1" s="1"/>
  <c r="O243" i="1"/>
  <c r="B244" i="1" s="1"/>
  <c r="O244" i="1"/>
  <c r="B245" i="1" s="1"/>
  <c r="O245" i="1"/>
  <c r="B246" i="1" s="1"/>
  <c r="O246" i="1"/>
  <c r="B247" i="1" s="1"/>
  <c r="O247" i="1"/>
  <c r="B248" i="1" s="1"/>
  <c r="O248" i="1"/>
  <c r="B249" i="1" s="1"/>
  <c r="O249" i="1"/>
  <c r="B250" i="1" s="1"/>
  <c r="O250" i="1"/>
  <c r="B251" i="1" s="1"/>
  <c r="O252" i="1"/>
  <c r="B253" i="1" s="1"/>
  <c r="O253" i="1"/>
  <c r="B254" i="1" s="1"/>
  <c r="O254" i="1"/>
  <c r="B255" i="1" s="1"/>
  <c r="O255" i="1"/>
  <c r="B256" i="1" s="1"/>
  <c r="O256" i="1"/>
  <c r="B257" i="1" s="1"/>
  <c r="O257" i="1"/>
  <c r="B258" i="1" s="1"/>
  <c r="O258" i="1"/>
  <c r="B259" i="1" s="1"/>
  <c r="O259" i="1"/>
  <c r="B260" i="1" s="1"/>
  <c r="O260" i="1"/>
  <c r="B261" i="1" s="1"/>
  <c r="O261" i="1"/>
  <c r="B262" i="1" s="1"/>
  <c r="O262" i="1"/>
  <c r="B263" i="1" s="1"/>
  <c r="O264" i="1"/>
  <c r="B265" i="1" s="1"/>
  <c r="O265" i="1"/>
  <c r="B266" i="1" s="1"/>
  <c r="O266" i="1"/>
  <c r="B267" i="1" s="1"/>
  <c r="O267" i="1"/>
  <c r="B268" i="1" s="1"/>
  <c r="O268" i="1"/>
  <c r="B269" i="1" s="1"/>
  <c r="O269" i="1"/>
  <c r="B270" i="1" s="1"/>
  <c r="O270" i="1"/>
  <c r="B271" i="1" s="1"/>
  <c r="O271" i="1"/>
  <c r="B272" i="1" s="1"/>
  <c r="O272" i="1"/>
  <c r="B273" i="1" s="1"/>
  <c r="O273" i="1"/>
  <c r="B274" i="1" s="1"/>
  <c r="O274" i="1"/>
  <c r="B275" i="1" s="1"/>
  <c r="O276" i="1"/>
  <c r="B277" i="1" s="1"/>
  <c r="O277" i="1"/>
  <c r="B278" i="1" s="1"/>
  <c r="O278" i="1"/>
  <c r="B279" i="1" s="1"/>
  <c r="O279" i="1"/>
  <c r="B280" i="1" s="1"/>
  <c r="O280" i="1"/>
  <c r="B281" i="1" s="1"/>
  <c r="O281" i="1"/>
  <c r="B282" i="1" s="1"/>
  <c r="O282" i="1"/>
  <c r="B283" i="1" s="1"/>
  <c r="O283" i="1"/>
  <c r="B284" i="1" s="1"/>
  <c r="O284" i="1"/>
  <c r="B285" i="1" s="1"/>
  <c r="O285" i="1"/>
  <c r="B286" i="1" s="1"/>
  <c r="O286" i="1"/>
  <c r="B287" i="1" s="1"/>
  <c r="O288" i="1"/>
  <c r="B289" i="1" s="1"/>
  <c r="O289" i="1"/>
  <c r="B290" i="1" s="1"/>
  <c r="O290" i="1"/>
  <c r="B291" i="1" s="1"/>
  <c r="O291" i="1"/>
  <c r="B292" i="1" s="1"/>
  <c r="O292" i="1"/>
  <c r="B293" i="1" s="1"/>
  <c r="O293" i="1"/>
  <c r="B294" i="1" s="1"/>
  <c r="O294" i="1"/>
  <c r="B295" i="1" s="1"/>
  <c r="O295" i="1"/>
  <c r="B296" i="1" s="1"/>
  <c r="O296" i="1"/>
  <c r="B297" i="1" s="1"/>
  <c r="O297" i="1"/>
  <c r="B298" i="1" s="1"/>
  <c r="O298" i="1"/>
  <c r="B299" i="1" s="1"/>
  <c r="O300" i="1"/>
  <c r="B301" i="1" s="1"/>
  <c r="O301" i="1"/>
  <c r="B302" i="1" s="1"/>
  <c r="O302" i="1"/>
  <c r="B303" i="1" s="1"/>
  <c r="O303" i="1"/>
  <c r="B304" i="1" s="1"/>
  <c r="O304" i="1"/>
  <c r="B305" i="1" s="1"/>
  <c r="O305" i="1"/>
  <c r="B306" i="1" s="1"/>
  <c r="O306" i="1"/>
  <c r="B307" i="1" s="1"/>
  <c r="O307" i="1"/>
  <c r="B308" i="1" s="1"/>
  <c r="O308" i="1"/>
  <c r="B309" i="1" s="1"/>
  <c r="O309" i="1"/>
  <c r="B310" i="1" s="1"/>
  <c r="O310" i="1"/>
  <c r="B311" i="1" s="1"/>
  <c r="O312" i="1"/>
  <c r="B313" i="1" s="1"/>
  <c r="O313" i="1"/>
  <c r="B314" i="1" s="1"/>
  <c r="O314" i="1"/>
  <c r="B315" i="1" s="1"/>
  <c r="O315" i="1"/>
  <c r="B316" i="1" s="1"/>
  <c r="O316" i="1"/>
  <c r="B317" i="1" s="1"/>
  <c r="O317" i="1"/>
  <c r="B318" i="1" s="1"/>
  <c r="O318" i="1"/>
  <c r="B319" i="1" s="1"/>
  <c r="O319" i="1"/>
  <c r="B320" i="1" s="1"/>
  <c r="O320" i="1"/>
  <c r="B321" i="1" s="1"/>
  <c r="O321" i="1"/>
  <c r="B322" i="1" s="1"/>
  <c r="O322" i="1"/>
  <c r="B323" i="1" s="1"/>
  <c r="O324" i="1"/>
  <c r="B325" i="1" s="1"/>
  <c r="O325" i="1"/>
  <c r="B326" i="1" s="1"/>
  <c r="O326" i="1"/>
  <c r="B327" i="1" s="1"/>
  <c r="O327" i="1"/>
  <c r="B328" i="1" s="1"/>
  <c r="O328" i="1"/>
  <c r="B329" i="1" s="1"/>
  <c r="O329" i="1"/>
  <c r="B330" i="1" s="1"/>
  <c r="O330" i="1"/>
  <c r="B331" i="1" s="1"/>
  <c r="O331" i="1"/>
  <c r="B332" i="1" s="1"/>
  <c r="O332" i="1"/>
  <c r="B333" i="1" s="1"/>
  <c r="O333" i="1"/>
  <c r="B334" i="1" s="1"/>
  <c r="O334" i="1"/>
  <c r="B335" i="1" s="1"/>
  <c r="O336" i="1"/>
  <c r="B337" i="1" s="1"/>
  <c r="O337" i="1"/>
  <c r="B338" i="1" s="1"/>
  <c r="O338" i="1"/>
  <c r="B339" i="1" s="1"/>
  <c r="O339" i="1"/>
  <c r="B340" i="1" s="1"/>
  <c r="O340" i="1"/>
  <c r="B341" i="1" s="1"/>
  <c r="O341" i="1"/>
  <c r="B342" i="1" s="1"/>
  <c r="O342" i="1"/>
  <c r="B343" i="1" s="1"/>
  <c r="O343" i="1"/>
  <c r="B344" i="1" s="1"/>
  <c r="O344" i="1"/>
  <c r="B345" i="1" s="1"/>
  <c r="O345" i="1"/>
  <c r="B346" i="1" s="1"/>
  <c r="O346" i="1"/>
  <c r="B347" i="1" s="1"/>
  <c r="O348" i="1"/>
  <c r="B349" i="1" s="1"/>
  <c r="O349" i="1"/>
  <c r="B350" i="1" s="1"/>
  <c r="O350" i="1"/>
  <c r="B351" i="1" s="1"/>
  <c r="O351" i="1"/>
  <c r="B352" i="1" s="1"/>
  <c r="O352" i="1"/>
  <c r="B353" i="1" s="1"/>
  <c r="O353" i="1"/>
  <c r="B354" i="1" s="1"/>
  <c r="O354" i="1"/>
  <c r="B355" i="1" s="1"/>
  <c r="O355" i="1"/>
  <c r="B356" i="1" s="1"/>
  <c r="O356" i="1"/>
  <c r="B357" i="1" s="1"/>
  <c r="O357" i="1"/>
  <c r="B358" i="1" s="1"/>
  <c r="O358" i="1"/>
  <c r="B359" i="1" s="1"/>
  <c r="O360" i="1"/>
  <c r="B361" i="1" s="1"/>
  <c r="O361" i="1"/>
  <c r="B362" i="1" s="1"/>
  <c r="O362" i="1"/>
  <c r="B363" i="1" s="1"/>
  <c r="O363" i="1"/>
  <c r="B364" i="1" s="1"/>
  <c r="O364" i="1"/>
  <c r="B365" i="1" s="1"/>
  <c r="O365" i="1"/>
  <c r="B366" i="1" s="1"/>
  <c r="O366" i="1"/>
  <c r="B367" i="1" s="1"/>
  <c r="O367" i="1"/>
  <c r="B368" i="1" s="1"/>
  <c r="O368" i="1"/>
  <c r="B369" i="1" s="1"/>
  <c r="O369" i="1"/>
  <c r="B370" i="1" s="1"/>
  <c r="O370" i="1"/>
  <c r="B371" i="1" s="1"/>
  <c r="O372" i="1"/>
  <c r="B373" i="1" s="1"/>
  <c r="O373" i="1"/>
  <c r="B374" i="1" s="1"/>
  <c r="O374" i="1"/>
  <c r="B375" i="1" s="1"/>
  <c r="O375" i="1"/>
  <c r="B376" i="1" s="1"/>
  <c r="O376" i="1"/>
  <c r="B377" i="1" s="1"/>
  <c r="O377" i="1"/>
  <c r="B378" i="1" s="1"/>
  <c r="O378" i="1"/>
  <c r="B379" i="1" s="1"/>
  <c r="O379" i="1"/>
  <c r="B380" i="1" s="1"/>
  <c r="O380" i="1"/>
  <c r="B381" i="1" s="1"/>
  <c r="O381" i="1"/>
  <c r="B382" i="1" s="1"/>
  <c r="O382" i="1"/>
  <c r="B383" i="1" s="1"/>
  <c r="O384" i="1"/>
  <c r="B385" i="1" s="1"/>
  <c r="O385" i="1"/>
  <c r="B386" i="1" s="1"/>
  <c r="O386" i="1"/>
  <c r="B387" i="1" s="1"/>
  <c r="O387" i="1"/>
  <c r="B388" i="1" s="1"/>
  <c r="O388" i="1"/>
  <c r="B389" i="1" s="1"/>
  <c r="O389" i="1"/>
  <c r="B390" i="1" s="1"/>
  <c r="O390" i="1"/>
  <c r="B391" i="1" s="1"/>
  <c r="O391" i="1"/>
  <c r="B392" i="1" s="1"/>
  <c r="O392" i="1"/>
  <c r="B393" i="1" s="1"/>
  <c r="O393" i="1"/>
  <c r="B394" i="1" s="1"/>
  <c r="O394" i="1"/>
  <c r="B395" i="1" s="1"/>
  <c r="O396" i="1"/>
  <c r="B397" i="1" s="1"/>
  <c r="O397" i="1"/>
  <c r="B398" i="1" s="1"/>
  <c r="O398" i="1"/>
  <c r="B399" i="1" s="1"/>
  <c r="O399" i="1"/>
  <c r="B400" i="1" s="1"/>
  <c r="O400" i="1"/>
  <c r="B401" i="1" s="1"/>
  <c r="O401" i="1"/>
  <c r="B402" i="1" s="1"/>
  <c r="O402" i="1"/>
  <c r="B403" i="1" s="1"/>
  <c r="O403" i="1"/>
  <c r="B404" i="1" s="1"/>
  <c r="O404" i="1"/>
  <c r="B405" i="1" s="1"/>
  <c r="O405" i="1"/>
  <c r="B406" i="1" s="1"/>
  <c r="O406" i="1"/>
  <c r="B407" i="1" s="1"/>
  <c r="O408" i="1"/>
  <c r="B409" i="1" s="1"/>
  <c r="O409" i="1"/>
  <c r="B410" i="1" s="1"/>
  <c r="O410" i="1"/>
  <c r="B411" i="1" s="1"/>
  <c r="O411" i="1"/>
  <c r="B412" i="1" s="1"/>
  <c r="O412" i="1"/>
  <c r="B413" i="1" s="1"/>
  <c r="O413" i="1"/>
  <c r="B414" i="1" s="1"/>
  <c r="O414" i="1"/>
  <c r="B415" i="1" s="1"/>
  <c r="O415" i="1"/>
  <c r="B416" i="1" s="1"/>
  <c r="O416" i="1"/>
  <c r="B417" i="1" s="1"/>
  <c r="O417" i="1"/>
  <c r="B418" i="1" s="1"/>
  <c r="O418" i="1"/>
  <c r="B419" i="1" s="1"/>
  <c r="O420" i="1"/>
  <c r="B421" i="1" s="1"/>
  <c r="O421" i="1"/>
  <c r="B422" i="1" s="1"/>
  <c r="O422" i="1"/>
  <c r="B423" i="1" s="1"/>
  <c r="O423" i="1"/>
  <c r="B424" i="1" s="1"/>
  <c r="O424" i="1"/>
  <c r="B425" i="1" s="1"/>
  <c r="O425" i="1"/>
  <c r="B426" i="1" s="1"/>
  <c r="O426" i="1"/>
  <c r="B427" i="1" s="1"/>
  <c r="O427" i="1"/>
  <c r="B428" i="1" s="1"/>
  <c r="O428" i="1"/>
  <c r="B429" i="1" s="1"/>
  <c r="O429" i="1"/>
  <c r="B430" i="1" s="1"/>
  <c r="O430" i="1"/>
  <c r="B431" i="1" s="1"/>
  <c r="O432" i="1"/>
  <c r="B433" i="1" s="1"/>
  <c r="O433" i="1"/>
  <c r="B434" i="1" s="1"/>
  <c r="O434" i="1"/>
  <c r="B435" i="1" s="1"/>
  <c r="O435" i="1"/>
  <c r="B436" i="1" s="1"/>
  <c r="O436" i="1"/>
  <c r="B437" i="1" s="1"/>
  <c r="O437" i="1"/>
  <c r="B438" i="1" s="1"/>
  <c r="O438" i="1"/>
  <c r="B439" i="1" s="1"/>
  <c r="O439" i="1"/>
  <c r="B440" i="1" s="1"/>
  <c r="O440" i="1"/>
  <c r="B441" i="1" s="1"/>
  <c r="O441" i="1"/>
  <c r="B442" i="1" s="1"/>
  <c r="O442" i="1"/>
  <c r="B443" i="1" s="1"/>
  <c r="O444" i="1"/>
  <c r="B445" i="1" s="1"/>
  <c r="O445" i="1"/>
  <c r="B446" i="1" s="1"/>
  <c r="O446" i="1"/>
  <c r="B447" i="1" s="1"/>
  <c r="O447" i="1"/>
  <c r="B448" i="1" s="1"/>
  <c r="O448" i="1"/>
  <c r="B449" i="1" s="1"/>
  <c r="O449" i="1"/>
  <c r="B450" i="1" s="1"/>
  <c r="O450" i="1"/>
  <c r="B451" i="1" s="1"/>
  <c r="O451" i="1"/>
  <c r="B452" i="1" s="1"/>
  <c r="O452" i="1"/>
  <c r="B453" i="1" s="1"/>
  <c r="O453" i="1"/>
  <c r="B454" i="1" s="1"/>
  <c r="O454" i="1"/>
  <c r="B455" i="1" s="1"/>
  <c r="O456" i="1"/>
  <c r="B457" i="1" s="1"/>
  <c r="O457" i="1"/>
  <c r="B458" i="1" s="1"/>
  <c r="O458" i="1"/>
  <c r="B459" i="1" s="1"/>
  <c r="O459" i="1"/>
  <c r="B460" i="1" s="1"/>
  <c r="O460" i="1"/>
  <c r="B461" i="1" s="1"/>
  <c r="O461" i="1"/>
  <c r="B462" i="1" s="1"/>
  <c r="O462" i="1"/>
  <c r="B463" i="1" s="1"/>
  <c r="O463" i="1"/>
  <c r="B464" i="1" s="1"/>
  <c r="O464" i="1"/>
  <c r="B465" i="1" s="1"/>
  <c r="O465" i="1"/>
  <c r="B466" i="1" s="1"/>
  <c r="O466" i="1"/>
  <c r="B467" i="1" s="1"/>
  <c r="O468" i="1"/>
  <c r="B469" i="1" s="1"/>
  <c r="O469" i="1"/>
  <c r="B470" i="1" s="1"/>
  <c r="O470" i="1"/>
  <c r="B471" i="1" s="1"/>
  <c r="O471" i="1"/>
  <c r="B472" i="1" s="1"/>
  <c r="O472" i="1"/>
  <c r="B473" i="1" s="1"/>
  <c r="O473" i="1"/>
  <c r="B474" i="1" s="1"/>
  <c r="O474" i="1"/>
  <c r="B475" i="1" s="1"/>
  <c r="O475" i="1"/>
  <c r="B476" i="1" s="1"/>
  <c r="O476" i="1"/>
  <c r="B477" i="1" s="1"/>
  <c r="O477" i="1"/>
  <c r="B478" i="1" s="1"/>
  <c r="O478" i="1"/>
  <c r="B479" i="1" s="1"/>
  <c r="O480" i="1"/>
  <c r="B481" i="1" s="1"/>
  <c r="O481" i="1"/>
  <c r="B482" i="1" s="1"/>
  <c r="O482" i="1"/>
  <c r="B483" i="1" s="1"/>
  <c r="O483" i="1"/>
  <c r="B484" i="1" s="1"/>
  <c r="O484" i="1"/>
  <c r="B485" i="1" s="1"/>
  <c r="O485" i="1"/>
  <c r="B486" i="1" s="1"/>
  <c r="O486" i="1"/>
  <c r="B487" i="1" s="1"/>
  <c r="O487" i="1"/>
  <c r="B488" i="1" s="1"/>
  <c r="O488" i="1"/>
  <c r="B489" i="1" s="1"/>
  <c r="O489" i="1"/>
  <c r="B490" i="1" s="1"/>
  <c r="O490" i="1"/>
  <c r="B491" i="1" s="1"/>
  <c r="O492" i="1"/>
  <c r="B493" i="1" s="1"/>
  <c r="O493" i="1"/>
  <c r="B494" i="1" s="1"/>
  <c r="O494" i="1"/>
  <c r="B495" i="1" s="1"/>
  <c r="O495" i="1"/>
  <c r="B496" i="1" s="1"/>
  <c r="O496" i="1"/>
  <c r="B497" i="1" s="1"/>
  <c r="O497" i="1"/>
  <c r="B498" i="1" s="1"/>
  <c r="O498" i="1"/>
  <c r="B499" i="1" s="1"/>
  <c r="O499" i="1"/>
  <c r="B500" i="1" s="1"/>
  <c r="O500" i="1"/>
  <c r="B501" i="1" s="1"/>
  <c r="O501" i="1"/>
  <c r="B502" i="1" s="1"/>
  <c r="O502" i="1"/>
  <c r="B503" i="1" s="1"/>
  <c r="O504" i="1"/>
  <c r="B505" i="1" s="1"/>
  <c r="O505" i="1"/>
  <c r="B506" i="1" s="1"/>
  <c r="O506" i="1"/>
  <c r="B507" i="1" s="1"/>
  <c r="O507" i="1"/>
  <c r="B508" i="1" s="1"/>
  <c r="O508" i="1"/>
  <c r="B509" i="1" s="1"/>
  <c r="O509" i="1"/>
  <c r="B510" i="1" s="1"/>
  <c r="O510" i="1"/>
  <c r="B511" i="1" s="1"/>
  <c r="O511" i="1"/>
  <c r="B512" i="1" s="1"/>
  <c r="O512" i="1"/>
  <c r="B513" i="1" s="1"/>
  <c r="O513" i="1"/>
  <c r="B514" i="1" s="1"/>
  <c r="O514" i="1"/>
  <c r="B515" i="1" s="1"/>
  <c r="O516" i="1"/>
  <c r="B517" i="1" s="1"/>
  <c r="O517" i="1"/>
  <c r="B518" i="1" s="1"/>
  <c r="O518" i="1"/>
  <c r="B519" i="1" s="1"/>
  <c r="O519" i="1"/>
  <c r="B520" i="1" s="1"/>
  <c r="O520" i="1"/>
  <c r="B521" i="1" s="1"/>
  <c r="O521" i="1"/>
  <c r="B522" i="1" s="1"/>
  <c r="O522" i="1"/>
  <c r="B523" i="1" s="1"/>
  <c r="O523" i="1"/>
  <c r="B524" i="1" s="1"/>
  <c r="O524" i="1"/>
  <c r="B525" i="1" s="1"/>
  <c r="O525" i="1"/>
  <c r="B526" i="1" s="1"/>
  <c r="O526" i="1"/>
  <c r="B527" i="1" s="1"/>
  <c r="O528" i="1"/>
  <c r="B529" i="1" s="1"/>
  <c r="O529" i="1"/>
  <c r="B530" i="1" s="1"/>
  <c r="O530" i="1"/>
  <c r="B531" i="1" s="1"/>
  <c r="O531" i="1"/>
  <c r="B532" i="1" s="1"/>
  <c r="O532" i="1"/>
  <c r="B533" i="1" s="1"/>
  <c r="O533" i="1"/>
  <c r="B534" i="1" s="1"/>
  <c r="O534" i="1"/>
  <c r="B535" i="1" s="1"/>
  <c r="O535" i="1"/>
  <c r="B536" i="1" s="1"/>
  <c r="O536" i="1"/>
  <c r="B537" i="1" s="1"/>
  <c r="O537" i="1"/>
  <c r="B538" i="1" s="1"/>
  <c r="O538" i="1"/>
  <c r="B539" i="1" s="1"/>
  <c r="O540" i="1"/>
  <c r="B541" i="1" s="1"/>
  <c r="O541" i="1"/>
  <c r="B542" i="1" s="1"/>
  <c r="O542" i="1"/>
  <c r="B543" i="1" s="1"/>
  <c r="O543" i="1"/>
  <c r="B544" i="1" s="1"/>
  <c r="O544" i="1"/>
  <c r="B545" i="1" s="1"/>
  <c r="O545" i="1"/>
  <c r="B546" i="1" s="1"/>
  <c r="O546" i="1"/>
  <c r="B547" i="1" s="1"/>
  <c r="O547" i="1"/>
  <c r="B548" i="1" s="1"/>
  <c r="O548" i="1"/>
  <c r="B549" i="1" s="1"/>
  <c r="O549" i="1"/>
  <c r="B550" i="1" s="1"/>
  <c r="O550" i="1"/>
  <c r="B551" i="1" s="1"/>
  <c r="O552" i="1"/>
  <c r="B553" i="1" s="1"/>
  <c r="O553" i="1"/>
  <c r="B554" i="1" s="1"/>
  <c r="O554" i="1"/>
  <c r="B555" i="1" s="1"/>
  <c r="O555" i="1"/>
  <c r="B556" i="1" s="1"/>
  <c r="O556" i="1"/>
  <c r="B557" i="1" s="1"/>
  <c r="O557" i="1"/>
  <c r="B558" i="1" s="1"/>
  <c r="O558" i="1"/>
  <c r="B559" i="1" s="1"/>
  <c r="O559" i="1"/>
  <c r="B560" i="1" s="1"/>
  <c r="O560" i="1"/>
  <c r="B561" i="1" s="1"/>
  <c r="O561" i="1"/>
  <c r="B562" i="1" s="1"/>
  <c r="O562" i="1"/>
  <c r="B563" i="1" s="1"/>
  <c r="O564" i="1"/>
  <c r="B565" i="1" s="1"/>
  <c r="O565" i="1"/>
  <c r="B566" i="1" s="1"/>
  <c r="O566" i="1"/>
  <c r="B567" i="1" s="1"/>
  <c r="O567" i="1"/>
  <c r="B568" i="1" s="1"/>
  <c r="O568" i="1"/>
  <c r="B569" i="1" s="1"/>
  <c r="O569" i="1"/>
  <c r="B570" i="1" s="1"/>
  <c r="O570" i="1"/>
  <c r="B571" i="1" s="1"/>
  <c r="O571" i="1"/>
  <c r="B572" i="1" s="1"/>
  <c r="O572" i="1"/>
  <c r="B573" i="1" s="1"/>
  <c r="O573" i="1"/>
  <c r="B574" i="1" s="1"/>
  <c r="O574" i="1"/>
  <c r="B575" i="1" s="1"/>
  <c r="O576" i="1"/>
  <c r="B577" i="1" s="1"/>
  <c r="O577" i="1"/>
  <c r="B578" i="1" s="1"/>
  <c r="O578" i="1"/>
  <c r="B579" i="1" s="1"/>
  <c r="O579" i="1"/>
  <c r="B580" i="1" s="1"/>
  <c r="O580" i="1"/>
  <c r="B581" i="1" s="1"/>
  <c r="O581" i="1"/>
  <c r="B582" i="1" s="1"/>
  <c r="O582" i="1"/>
  <c r="B583" i="1" s="1"/>
  <c r="O583" i="1"/>
  <c r="B584" i="1" s="1"/>
  <c r="O584" i="1"/>
  <c r="B585" i="1" s="1"/>
  <c r="O585" i="1"/>
  <c r="B586" i="1" s="1"/>
  <c r="O586" i="1"/>
  <c r="B587" i="1" s="1"/>
  <c r="O588" i="1"/>
  <c r="B589" i="1" s="1"/>
  <c r="O589" i="1"/>
  <c r="B590" i="1" s="1"/>
  <c r="O590" i="1"/>
  <c r="B591" i="1" s="1"/>
  <c r="O591" i="1"/>
  <c r="B592" i="1" s="1"/>
  <c r="O592" i="1"/>
  <c r="B593" i="1" s="1"/>
  <c r="O593" i="1"/>
  <c r="B594" i="1" s="1"/>
  <c r="O594" i="1"/>
  <c r="B595" i="1" s="1"/>
  <c r="O595" i="1"/>
  <c r="B596" i="1" s="1"/>
  <c r="O596" i="1"/>
  <c r="B597" i="1" s="1"/>
  <c r="O597" i="1"/>
  <c r="B598" i="1" s="1"/>
  <c r="O598" i="1"/>
  <c r="B599" i="1" s="1"/>
  <c r="O600" i="1"/>
  <c r="B601" i="1" s="1"/>
  <c r="O601" i="1"/>
  <c r="B602" i="1" s="1"/>
  <c r="O602" i="1"/>
  <c r="B603" i="1" s="1"/>
  <c r="O603" i="1"/>
  <c r="B604" i="1" s="1"/>
  <c r="O604" i="1"/>
  <c r="B605" i="1" s="1"/>
  <c r="O605" i="1"/>
  <c r="B606" i="1" s="1"/>
  <c r="O606" i="1"/>
  <c r="B607" i="1" s="1"/>
  <c r="O607" i="1"/>
  <c r="B608" i="1" s="1"/>
  <c r="O608" i="1"/>
  <c r="B609" i="1" s="1"/>
  <c r="O609" i="1"/>
  <c r="B610" i="1" s="1"/>
  <c r="O610" i="1"/>
  <c r="B611" i="1" s="1"/>
  <c r="O612" i="1"/>
  <c r="B613" i="1" s="1"/>
  <c r="O613" i="1"/>
  <c r="B614" i="1" s="1"/>
  <c r="O614" i="1"/>
  <c r="B615" i="1" s="1"/>
  <c r="O615" i="1"/>
  <c r="B616" i="1" s="1"/>
  <c r="O616" i="1"/>
  <c r="B617" i="1" s="1"/>
  <c r="O617" i="1"/>
  <c r="B618" i="1" s="1"/>
  <c r="O618" i="1"/>
  <c r="B619" i="1" s="1"/>
  <c r="O619" i="1"/>
  <c r="B620" i="1" s="1"/>
  <c r="O620" i="1"/>
  <c r="B621" i="1" s="1"/>
  <c r="O621" i="1"/>
  <c r="B622" i="1" s="1"/>
  <c r="O622" i="1"/>
  <c r="B623" i="1" s="1"/>
  <c r="O624" i="1"/>
  <c r="B625" i="1" s="1"/>
  <c r="O625" i="1"/>
  <c r="B626" i="1" s="1"/>
  <c r="O626" i="1"/>
  <c r="B627" i="1" s="1"/>
  <c r="O627" i="1"/>
  <c r="B628" i="1" s="1"/>
  <c r="O628" i="1"/>
  <c r="B629" i="1" s="1"/>
  <c r="O629" i="1"/>
  <c r="B630" i="1" s="1"/>
  <c r="O630" i="1"/>
  <c r="B631" i="1" s="1"/>
  <c r="O631" i="1"/>
  <c r="B632" i="1" s="1"/>
  <c r="O632" i="1"/>
  <c r="B633" i="1" s="1"/>
  <c r="O633" i="1"/>
  <c r="B634" i="1" s="1"/>
  <c r="O634" i="1"/>
  <c r="B635" i="1" s="1"/>
  <c r="O636" i="1"/>
  <c r="B637" i="1" s="1"/>
  <c r="O637" i="1"/>
  <c r="B638" i="1" s="1"/>
  <c r="O638" i="1"/>
  <c r="B639" i="1" s="1"/>
  <c r="O639" i="1"/>
  <c r="B640" i="1" s="1"/>
  <c r="O640" i="1"/>
  <c r="B641" i="1" s="1"/>
  <c r="O641" i="1"/>
  <c r="B642" i="1" s="1"/>
  <c r="O642" i="1"/>
  <c r="B643" i="1" s="1"/>
  <c r="O643" i="1"/>
  <c r="B644" i="1" s="1"/>
  <c r="O644" i="1"/>
  <c r="B645" i="1" s="1"/>
  <c r="O645" i="1"/>
  <c r="B646" i="1" s="1"/>
  <c r="O646" i="1"/>
  <c r="B647" i="1" s="1"/>
  <c r="O648" i="1"/>
  <c r="B649" i="1" s="1"/>
  <c r="O649" i="1"/>
  <c r="B650" i="1" s="1"/>
  <c r="O650" i="1"/>
  <c r="B651" i="1" s="1"/>
  <c r="O651" i="1"/>
  <c r="B652" i="1" s="1"/>
  <c r="O652" i="1"/>
  <c r="B653" i="1" s="1"/>
  <c r="O653" i="1"/>
  <c r="B654" i="1" s="1"/>
  <c r="O654" i="1"/>
  <c r="B655" i="1" s="1"/>
  <c r="O655" i="1"/>
  <c r="B656" i="1" s="1"/>
  <c r="O656" i="1"/>
  <c r="B657" i="1" s="1"/>
  <c r="O657" i="1"/>
  <c r="B658" i="1" s="1"/>
  <c r="O658" i="1"/>
  <c r="B659" i="1" s="1"/>
  <c r="O660" i="1"/>
  <c r="B661" i="1" s="1"/>
  <c r="O661" i="1"/>
  <c r="B662" i="1" s="1"/>
  <c r="O662" i="1"/>
  <c r="B663" i="1" s="1"/>
  <c r="O663" i="1"/>
  <c r="B664" i="1" s="1"/>
  <c r="O664" i="1"/>
  <c r="B665" i="1" s="1"/>
  <c r="O665" i="1"/>
  <c r="B666" i="1" s="1"/>
  <c r="O666" i="1"/>
  <c r="B667" i="1" s="1"/>
  <c r="O667" i="1"/>
  <c r="B668" i="1" s="1"/>
  <c r="O668" i="1"/>
  <c r="B669" i="1" s="1"/>
  <c r="O669" i="1"/>
  <c r="B670" i="1" s="1"/>
  <c r="O670" i="1"/>
  <c r="B671" i="1" s="1"/>
  <c r="O672" i="1"/>
  <c r="B673" i="1" s="1"/>
  <c r="O673" i="1"/>
  <c r="B674" i="1" s="1"/>
  <c r="O674" i="1"/>
  <c r="B675" i="1" s="1"/>
  <c r="O675" i="1"/>
  <c r="B676" i="1" s="1"/>
  <c r="O676" i="1"/>
  <c r="B677" i="1" s="1"/>
  <c r="O677" i="1"/>
  <c r="B678" i="1" s="1"/>
  <c r="O678" i="1"/>
  <c r="B679" i="1" s="1"/>
  <c r="O679" i="1"/>
  <c r="B680" i="1" s="1"/>
  <c r="O680" i="1"/>
  <c r="B681" i="1" s="1"/>
  <c r="O681" i="1"/>
  <c r="B682" i="1" s="1"/>
  <c r="O682" i="1"/>
  <c r="B683" i="1" s="1"/>
  <c r="O684" i="1"/>
  <c r="B685" i="1" s="1"/>
  <c r="O685" i="1"/>
  <c r="B686" i="1" s="1"/>
  <c r="O686" i="1"/>
  <c r="B687" i="1" s="1"/>
  <c r="O687" i="1"/>
  <c r="B688" i="1" s="1"/>
  <c r="O688" i="1"/>
  <c r="B689" i="1" s="1"/>
  <c r="O689" i="1"/>
  <c r="B690" i="1" s="1"/>
  <c r="O690" i="1"/>
  <c r="B691" i="1" s="1"/>
  <c r="O691" i="1"/>
  <c r="B692" i="1" s="1"/>
  <c r="O692" i="1"/>
  <c r="B693" i="1" s="1"/>
  <c r="O693" i="1"/>
  <c r="B694" i="1" s="1"/>
  <c r="O694" i="1"/>
  <c r="B695" i="1" s="1"/>
  <c r="O696" i="1"/>
  <c r="B697" i="1" s="1"/>
  <c r="O697" i="1"/>
  <c r="B698" i="1" s="1"/>
  <c r="O698" i="1"/>
  <c r="B699" i="1" s="1"/>
  <c r="O699" i="1"/>
  <c r="B700" i="1" s="1"/>
  <c r="O700" i="1"/>
  <c r="B701" i="1" s="1"/>
  <c r="O701" i="1"/>
  <c r="B702" i="1" s="1"/>
  <c r="O702" i="1"/>
  <c r="B703" i="1" s="1"/>
  <c r="O703" i="1"/>
  <c r="B704" i="1" s="1"/>
  <c r="O704" i="1"/>
  <c r="B705" i="1" s="1"/>
  <c r="O705" i="1"/>
  <c r="B706" i="1" s="1"/>
  <c r="O706" i="1"/>
  <c r="B707" i="1" s="1"/>
  <c r="O708" i="1"/>
  <c r="B709" i="1" s="1"/>
  <c r="O709" i="1"/>
  <c r="B710" i="1" s="1"/>
  <c r="O710" i="1"/>
  <c r="B711" i="1" s="1"/>
  <c r="O711" i="1"/>
  <c r="B712" i="1" s="1"/>
  <c r="O712" i="1"/>
  <c r="B713" i="1" s="1"/>
  <c r="O713" i="1"/>
  <c r="B714" i="1" s="1"/>
  <c r="O714" i="1"/>
  <c r="B715" i="1" s="1"/>
  <c r="O715" i="1"/>
  <c r="B716" i="1" s="1"/>
  <c r="O716" i="1"/>
  <c r="B717" i="1" s="1"/>
  <c r="O717" i="1"/>
  <c r="B718" i="1" s="1"/>
  <c r="O718" i="1"/>
  <c r="B719" i="1" s="1"/>
  <c r="O720" i="1"/>
  <c r="B721" i="1" s="1"/>
  <c r="O721" i="1"/>
  <c r="B722" i="1" s="1"/>
  <c r="O722" i="1"/>
  <c r="B723" i="1" s="1"/>
  <c r="O723" i="1"/>
  <c r="B724" i="1" s="1"/>
  <c r="O724" i="1"/>
  <c r="B725" i="1" s="1"/>
  <c r="O725" i="1"/>
  <c r="B726" i="1" s="1"/>
  <c r="O726" i="1"/>
  <c r="B727" i="1" s="1"/>
  <c r="O727" i="1"/>
  <c r="B728" i="1" s="1"/>
  <c r="O728" i="1"/>
  <c r="B729" i="1" s="1"/>
  <c r="O729" i="1"/>
  <c r="B730" i="1" s="1"/>
  <c r="O730" i="1"/>
  <c r="B731" i="1" s="1"/>
  <c r="O732" i="1"/>
  <c r="B733" i="1" s="1"/>
  <c r="O733" i="1"/>
  <c r="B734" i="1" s="1"/>
  <c r="O734" i="1"/>
  <c r="B735" i="1" s="1"/>
  <c r="O735" i="1"/>
  <c r="B736" i="1" s="1"/>
  <c r="O736" i="1"/>
  <c r="B737" i="1" s="1"/>
  <c r="O737" i="1"/>
  <c r="B738" i="1" s="1"/>
  <c r="O738" i="1"/>
  <c r="B739" i="1" s="1"/>
  <c r="O739" i="1"/>
  <c r="B740" i="1" s="1"/>
  <c r="O740" i="1"/>
  <c r="B741" i="1" s="1"/>
  <c r="O741" i="1"/>
  <c r="B742" i="1" s="1"/>
  <c r="O742" i="1"/>
  <c r="B743" i="1" s="1"/>
  <c r="O744" i="1"/>
  <c r="B745" i="1" s="1"/>
  <c r="O745" i="1"/>
  <c r="B746" i="1" s="1"/>
  <c r="O746" i="1"/>
  <c r="B747" i="1" s="1"/>
  <c r="O747" i="1"/>
  <c r="B748" i="1" s="1"/>
  <c r="O748" i="1"/>
  <c r="B749" i="1" s="1"/>
  <c r="O749" i="1"/>
  <c r="B750" i="1" s="1"/>
  <c r="O750" i="1"/>
  <c r="B751" i="1" s="1"/>
  <c r="O751" i="1"/>
  <c r="B752" i="1" s="1"/>
  <c r="O752" i="1"/>
  <c r="B753" i="1" s="1"/>
  <c r="O753" i="1"/>
  <c r="B754" i="1" s="1"/>
  <c r="O754" i="1"/>
  <c r="B755" i="1" s="1"/>
  <c r="O756" i="1"/>
  <c r="B757" i="1" s="1"/>
  <c r="O757" i="1"/>
  <c r="B758" i="1" s="1"/>
  <c r="O758" i="1"/>
  <c r="B759" i="1" s="1"/>
  <c r="O759" i="1"/>
  <c r="B760" i="1" s="1"/>
  <c r="O760" i="1"/>
  <c r="B761" i="1" s="1"/>
  <c r="O761" i="1"/>
  <c r="B762" i="1" s="1"/>
  <c r="O762" i="1"/>
  <c r="B763" i="1" s="1"/>
  <c r="O763" i="1"/>
  <c r="B764" i="1" s="1"/>
  <c r="O764" i="1"/>
  <c r="B765" i="1" s="1"/>
  <c r="O765" i="1"/>
  <c r="B766" i="1" s="1"/>
  <c r="O766" i="1"/>
  <c r="B767" i="1" s="1"/>
  <c r="O768" i="1"/>
  <c r="B769" i="1" s="1"/>
  <c r="O769" i="1"/>
  <c r="B770" i="1" s="1"/>
  <c r="O770" i="1"/>
  <c r="B771" i="1" s="1"/>
  <c r="O771" i="1"/>
  <c r="B772" i="1" s="1"/>
  <c r="O772" i="1"/>
  <c r="B773" i="1" s="1"/>
  <c r="O773" i="1"/>
  <c r="B774" i="1" s="1"/>
  <c r="O774" i="1"/>
  <c r="B775" i="1" s="1"/>
  <c r="O775" i="1"/>
  <c r="B776" i="1" s="1"/>
  <c r="O776" i="1"/>
  <c r="B777" i="1" s="1"/>
  <c r="O777" i="1"/>
  <c r="B778" i="1" s="1"/>
  <c r="O778" i="1"/>
  <c r="B779" i="1" s="1"/>
  <c r="O780" i="1"/>
  <c r="B781" i="1" s="1"/>
  <c r="O781" i="1"/>
  <c r="B782" i="1" s="1"/>
  <c r="O782" i="1"/>
  <c r="B783" i="1" s="1"/>
  <c r="O783" i="1"/>
  <c r="B784" i="1" s="1"/>
  <c r="O784" i="1"/>
  <c r="B785" i="1" s="1"/>
  <c r="O785" i="1"/>
  <c r="B786" i="1" s="1"/>
  <c r="O786" i="1"/>
  <c r="B787" i="1" s="1"/>
  <c r="O787" i="1"/>
  <c r="B788" i="1" s="1"/>
  <c r="O788" i="1"/>
  <c r="B789" i="1" s="1"/>
  <c r="O789" i="1"/>
  <c r="B790" i="1" s="1"/>
  <c r="O790" i="1"/>
  <c r="B791" i="1" s="1"/>
  <c r="O792" i="1"/>
  <c r="B793" i="1" s="1"/>
  <c r="O793" i="1"/>
  <c r="B794" i="1" s="1"/>
  <c r="O794" i="1"/>
  <c r="B795" i="1" s="1"/>
  <c r="O795" i="1"/>
  <c r="B796" i="1" s="1"/>
  <c r="O796" i="1"/>
  <c r="B797" i="1" s="1"/>
  <c r="O797" i="1"/>
  <c r="B798" i="1" s="1"/>
  <c r="O798" i="1"/>
  <c r="B799" i="1" s="1"/>
  <c r="O799" i="1"/>
  <c r="B800" i="1" s="1"/>
  <c r="O800" i="1"/>
  <c r="B801" i="1" s="1"/>
  <c r="O801" i="1"/>
  <c r="B802" i="1" s="1"/>
  <c r="O802" i="1"/>
  <c r="B803" i="1" s="1"/>
  <c r="O804" i="1"/>
  <c r="B805" i="1" s="1"/>
  <c r="O805" i="1"/>
  <c r="B806" i="1" s="1"/>
  <c r="O806" i="1"/>
  <c r="B807" i="1" s="1"/>
  <c r="O807" i="1"/>
  <c r="B808" i="1" s="1"/>
  <c r="O808" i="1"/>
  <c r="B809" i="1" s="1"/>
  <c r="O809" i="1"/>
  <c r="B810" i="1" s="1"/>
  <c r="O810" i="1"/>
  <c r="B811" i="1" s="1"/>
  <c r="O811" i="1"/>
  <c r="B812" i="1" s="1"/>
  <c r="O812" i="1"/>
  <c r="B813" i="1" s="1"/>
  <c r="O813" i="1"/>
  <c r="B814" i="1" s="1"/>
  <c r="O814" i="1"/>
  <c r="B815" i="1" s="1"/>
  <c r="O816" i="1"/>
  <c r="B817" i="1" s="1"/>
  <c r="O817" i="1"/>
  <c r="B818" i="1" s="1"/>
  <c r="O818" i="1"/>
  <c r="B819" i="1" s="1"/>
  <c r="O819" i="1"/>
  <c r="B820" i="1" s="1"/>
  <c r="O820" i="1"/>
  <c r="B821" i="1" s="1"/>
  <c r="O821" i="1"/>
  <c r="B822" i="1" s="1"/>
  <c r="O822" i="1"/>
  <c r="B823" i="1" s="1"/>
  <c r="O823" i="1"/>
  <c r="B824" i="1" s="1"/>
  <c r="O824" i="1"/>
  <c r="B825" i="1" s="1"/>
  <c r="O825" i="1"/>
  <c r="B826" i="1" s="1"/>
  <c r="O826" i="1"/>
  <c r="B827" i="1" s="1"/>
  <c r="O828" i="1"/>
  <c r="B829" i="1" s="1"/>
  <c r="O829" i="1"/>
  <c r="B830" i="1" s="1"/>
  <c r="O830" i="1"/>
  <c r="B831" i="1" s="1"/>
  <c r="O831" i="1"/>
  <c r="B832" i="1" s="1"/>
  <c r="O832" i="1"/>
  <c r="B833" i="1" s="1"/>
  <c r="O833" i="1"/>
  <c r="B834" i="1" s="1"/>
  <c r="O834" i="1"/>
  <c r="B835" i="1" s="1"/>
  <c r="O835" i="1"/>
  <c r="B836" i="1" s="1"/>
  <c r="O836" i="1"/>
  <c r="B837" i="1" s="1"/>
  <c r="O837" i="1"/>
  <c r="B838" i="1" s="1"/>
  <c r="O838" i="1"/>
  <c r="B839" i="1" s="1"/>
  <c r="O840" i="1"/>
  <c r="B841" i="1" s="1"/>
  <c r="O841" i="1"/>
  <c r="B842" i="1" s="1"/>
  <c r="O842" i="1"/>
  <c r="B843" i="1" s="1"/>
  <c r="O843" i="1"/>
  <c r="B844" i="1" s="1"/>
  <c r="O844" i="1"/>
  <c r="B845" i="1" s="1"/>
  <c r="O845" i="1"/>
  <c r="B846" i="1" s="1"/>
  <c r="O846" i="1"/>
  <c r="B847" i="1" s="1"/>
  <c r="O847" i="1"/>
  <c r="B848" i="1" s="1"/>
  <c r="O848" i="1"/>
  <c r="B849" i="1" s="1"/>
  <c r="O849" i="1"/>
  <c r="B850" i="1" s="1"/>
  <c r="O850" i="1"/>
  <c r="B851" i="1" s="1"/>
  <c r="O852" i="1"/>
  <c r="B853" i="1" s="1"/>
  <c r="O853" i="1"/>
  <c r="B854" i="1" s="1"/>
  <c r="O854" i="1"/>
  <c r="B855" i="1" s="1"/>
  <c r="O855" i="1"/>
  <c r="B856" i="1" s="1"/>
  <c r="O856" i="1"/>
  <c r="B857" i="1" s="1"/>
  <c r="O857" i="1"/>
  <c r="B858" i="1" s="1"/>
  <c r="O858" i="1"/>
  <c r="B859" i="1" s="1"/>
  <c r="O859" i="1"/>
  <c r="B860" i="1" s="1"/>
  <c r="O860" i="1"/>
  <c r="B861" i="1" s="1"/>
  <c r="O861" i="1"/>
  <c r="B862" i="1" s="1"/>
  <c r="O862" i="1"/>
  <c r="B863" i="1" s="1"/>
  <c r="O864" i="1"/>
  <c r="B865" i="1" s="1"/>
  <c r="O865" i="1"/>
  <c r="B866" i="1" s="1"/>
  <c r="O866" i="1"/>
  <c r="B867" i="1" s="1"/>
  <c r="O867" i="1"/>
  <c r="B868" i="1" s="1"/>
  <c r="O868" i="1"/>
  <c r="B869" i="1" s="1"/>
  <c r="O869" i="1"/>
  <c r="B870" i="1" s="1"/>
  <c r="O870" i="1"/>
  <c r="B871" i="1" s="1"/>
  <c r="O871" i="1"/>
  <c r="B872" i="1" s="1"/>
  <c r="O872" i="1"/>
  <c r="B873" i="1" s="1"/>
  <c r="O873" i="1"/>
  <c r="B874" i="1" s="1"/>
  <c r="O874" i="1"/>
  <c r="B875" i="1" s="1"/>
  <c r="O876" i="1"/>
  <c r="B877" i="1" s="1"/>
  <c r="O877" i="1"/>
  <c r="B878" i="1" s="1"/>
  <c r="O878" i="1"/>
  <c r="B879" i="1" s="1"/>
  <c r="O879" i="1"/>
  <c r="B880" i="1" s="1"/>
  <c r="O880" i="1"/>
  <c r="B881" i="1" s="1"/>
  <c r="O881" i="1"/>
  <c r="B882" i="1" s="1"/>
  <c r="O882" i="1"/>
  <c r="B883" i="1" s="1"/>
  <c r="O883" i="1"/>
  <c r="B884" i="1" s="1"/>
  <c r="O884" i="1"/>
  <c r="B885" i="1" s="1"/>
  <c r="O885" i="1"/>
  <c r="B886" i="1" s="1"/>
  <c r="O886" i="1"/>
  <c r="B887" i="1" s="1"/>
  <c r="O888" i="1"/>
  <c r="B889" i="1" s="1"/>
  <c r="O889" i="1"/>
  <c r="B890" i="1" s="1"/>
  <c r="O890" i="1"/>
  <c r="B891" i="1" s="1"/>
  <c r="O891" i="1"/>
  <c r="B892" i="1" s="1"/>
  <c r="O892" i="1"/>
  <c r="B893" i="1" s="1"/>
  <c r="O893" i="1"/>
  <c r="B894" i="1" s="1"/>
  <c r="O894" i="1"/>
  <c r="B895" i="1" s="1"/>
  <c r="O895" i="1"/>
  <c r="B896" i="1" s="1"/>
  <c r="O896" i="1"/>
  <c r="B897" i="1" s="1"/>
  <c r="O897" i="1"/>
  <c r="B898" i="1" s="1"/>
  <c r="O898" i="1"/>
  <c r="B899" i="1" s="1"/>
  <c r="O900" i="1"/>
  <c r="B901" i="1" s="1"/>
  <c r="O901" i="1"/>
  <c r="B902" i="1" s="1"/>
  <c r="O902" i="1"/>
  <c r="B903" i="1" s="1"/>
  <c r="O903" i="1"/>
  <c r="B904" i="1" s="1"/>
  <c r="O904" i="1"/>
  <c r="B905" i="1" s="1"/>
  <c r="O905" i="1"/>
  <c r="B906" i="1" s="1"/>
  <c r="O906" i="1"/>
  <c r="B907" i="1" s="1"/>
  <c r="O907" i="1"/>
  <c r="B908" i="1" s="1"/>
  <c r="O908" i="1"/>
  <c r="B909" i="1" s="1"/>
  <c r="O909" i="1"/>
  <c r="B910" i="1" s="1"/>
  <c r="O910" i="1"/>
  <c r="B911" i="1" s="1"/>
  <c r="O912" i="1"/>
  <c r="B913" i="1" s="1"/>
  <c r="O913" i="1"/>
  <c r="B914" i="1" s="1"/>
  <c r="O914" i="1"/>
  <c r="B915" i="1" s="1"/>
  <c r="O915" i="1"/>
  <c r="B916" i="1" s="1"/>
  <c r="O916" i="1"/>
  <c r="B917" i="1" s="1"/>
  <c r="O917" i="1"/>
  <c r="B918" i="1" s="1"/>
  <c r="O918" i="1"/>
  <c r="B919" i="1" s="1"/>
  <c r="O919" i="1"/>
  <c r="B920" i="1" s="1"/>
  <c r="O920" i="1"/>
  <c r="B921" i="1" s="1"/>
  <c r="O921" i="1"/>
  <c r="B922" i="1" s="1"/>
  <c r="O922" i="1"/>
  <c r="B923" i="1" s="1"/>
  <c r="O924" i="1"/>
  <c r="B925" i="1" s="1"/>
  <c r="O925" i="1"/>
  <c r="B926" i="1" s="1"/>
  <c r="O926" i="1"/>
  <c r="B927" i="1" s="1"/>
  <c r="O927" i="1"/>
  <c r="B928" i="1" s="1"/>
  <c r="O928" i="1"/>
  <c r="B929" i="1" s="1"/>
  <c r="O929" i="1"/>
  <c r="B930" i="1" s="1"/>
  <c r="O930" i="1"/>
  <c r="B931" i="1" s="1"/>
  <c r="O931" i="1"/>
  <c r="B932" i="1" s="1"/>
  <c r="O932" i="1"/>
  <c r="B933" i="1" s="1"/>
  <c r="O933" i="1"/>
  <c r="B934" i="1" s="1"/>
  <c r="O934" i="1"/>
  <c r="B935" i="1" s="1"/>
  <c r="O936" i="1"/>
  <c r="B937" i="1" s="1"/>
  <c r="O937" i="1"/>
  <c r="B938" i="1" s="1"/>
  <c r="O938" i="1"/>
  <c r="B939" i="1" s="1"/>
  <c r="M9" i="1"/>
  <c r="M939" i="1"/>
  <c r="L939" i="1" s="1"/>
  <c r="M12" i="1"/>
  <c r="Q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M45" i="1"/>
  <c r="L45" i="1" s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122" i="1"/>
  <c r="L122" i="1" s="1"/>
  <c r="M123" i="1"/>
  <c r="L123" i="1" s="1"/>
  <c r="M124" i="1"/>
  <c r="L124" i="1" s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L143" i="1" s="1"/>
  <c r="M144" i="1"/>
  <c r="L144" i="1" s="1"/>
  <c r="M145" i="1"/>
  <c r="L145" i="1" s="1"/>
  <c r="M146" i="1"/>
  <c r="L146" i="1" s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L152" i="1" s="1"/>
  <c r="M153" i="1"/>
  <c r="L153" i="1" s="1"/>
  <c r="M154" i="1"/>
  <c r="L154" i="1" s="1"/>
  <c r="M155" i="1"/>
  <c r="L155" i="1" s="1"/>
  <c r="M156" i="1"/>
  <c r="L156" i="1" s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L212" i="1" s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L228" i="1" s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L244" i="1" s="1"/>
  <c r="M245" i="1"/>
  <c r="L245" i="1" s="1"/>
  <c r="M246" i="1"/>
  <c r="L246" i="1" s="1"/>
  <c r="M247" i="1"/>
  <c r="L247" i="1" s="1"/>
  <c r="M248" i="1"/>
  <c r="L248" i="1" s="1"/>
  <c r="M249" i="1"/>
  <c r="L249" i="1" s="1"/>
  <c r="M250" i="1"/>
  <c r="L250" i="1" s="1"/>
  <c r="M251" i="1"/>
  <c r="L251" i="1" s="1"/>
  <c r="M252" i="1"/>
  <c r="L252" i="1" s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259" i="1"/>
  <c r="L259" i="1" s="1"/>
  <c r="M260" i="1"/>
  <c r="L260" i="1" s="1"/>
  <c r="M261" i="1"/>
  <c r="L261" i="1" s="1"/>
  <c r="M262" i="1"/>
  <c r="L262" i="1" s="1"/>
  <c r="M263" i="1"/>
  <c r="L263" i="1" s="1"/>
  <c r="M264" i="1"/>
  <c r="L264" i="1" s="1"/>
  <c r="M265" i="1"/>
  <c r="L265" i="1" s="1"/>
  <c r="M266" i="1"/>
  <c r="L266" i="1" s="1"/>
  <c r="M267" i="1"/>
  <c r="L267" i="1" s="1"/>
  <c r="M268" i="1"/>
  <c r="L268" i="1" s="1"/>
  <c r="M269" i="1"/>
  <c r="L269" i="1" s="1"/>
  <c r="M270" i="1"/>
  <c r="L270" i="1" s="1"/>
  <c r="M271" i="1"/>
  <c r="L271" i="1" s="1"/>
  <c r="M272" i="1"/>
  <c r="L272" i="1" s="1"/>
  <c r="M273" i="1"/>
  <c r="L273" i="1" s="1"/>
  <c r="M274" i="1"/>
  <c r="L274" i="1" s="1"/>
  <c r="M275" i="1"/>
  <c r="L275" i="1" s="1"/>
  <c r="M276" i="1"/>
  <c r="L276" i="1" s="1"/>
  <c r="M277" i="1"/>
  <c r="L277" i="1" s="1"/>
  <c r="M278" i="1"/>
  <c r="L278" i="1" s="1"/>
  <c r="M279" i="1"/>
  <c r="L279" i="1" s="1"/>
  <c r="M280" i="1"/>
  <c r="L280" i="1" s="1"/>
  <c r="M281" i="1"/>
  <c r="L281" i="1" s="1"/>
  <c r="M282" i="1"/>
  <c r="L282" i="1" s="1"/>
  <c r="M283" i="1"/>
  <c r="L283" i="1" s="1"/>
  <c r="M284" i="1"/>
  <c r="L284" i="1" s="1"/>
  <c r="M285" i="1"/>
  <c r="L285" i="1" s="1"/>
  <c r="M286" i="1"/>
  <c r="L286" i="1" s="1"/>
  <c r="M287" i="1"/>
  <c r="L287" i="1" s="1"/>
  <c r="M288" i="1"/>
  <c r="L288" i="1" s="1"/>
  <c r="M289" i="1"/>
  <c r="L289" i="1" s="1"/>
  <c r="M290" i="1"/>
  <c r="L290" i="1" s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L296" i="1" s="1"/>
  <c r="M297" i="1"/>
  <c r="L297" i="1" s="1"/>
  <c r="M298" i="1"/>
  <c r="M299" i="1"/>
  <c r="L299" i="1" s="1"/>
  <c r="M300" i="1"/>
  <c r="L300" i="1" s="1"/>
  <c r="M301" i="1"/>
  <c r="L301" i="1" s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L308" i="1" s="1"/>
  <c r="M309" i="1"/>
  <c r="L309" i="1" s="1"/>
  <c r="M310" i="1"/>
  <c r="L310" i="1" s="1"/>
  <c r="M311" i="1"/>
  <c r="L311" i="1" s="1"/>
  <c r="M312" i="1"/>
  <c r="L312" i="1" s="1"/>
  <c r="M313" i="1"/>
  <c r="L313" i="1" s="1"/>
  <c r="M314" i="1"/>
  <c r="L314" i="1" s="1"/>
  <c r="M315" i="1"/>
  <c r="L315" i="1" s="1"/>
  <c r="M316" i="1"/>
  <c r="L316" i="1" s="1"/>
  <c r="M317" i="1"/>
  <c r="L317" i="1" s="1"/>
  <c r="M318" i="1"/>
  <c r="L318" i="1" s="1"/>
  <c r="M319" i="1"/>
  <c r="L319" i="1" s="1"/>
  <c r="M320" i="1"/>
  <c r="L320" i="1" s="1"/>
  <c r="M321" i="1"/>
  <c r="L321" i="1" s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L328" i="1" s="1"/>
  <c r="M329" i="1"/>
  <c r="L329" i="1" s="1"/>
  <c r="M330" i="1"/>
  <c r="L330" i="1" s="1"/>
  <c r="M331" i="1"/>
  <c r="L331" i="1" s="1"/>
  <c r="M332" i="1"/>
  <c r="L332" i="1" s="1"/>
  <c r="M333" i="1"/>
  <c r="L333" i="1" s="1"/>
  <c r="M334" i="1"/>
  <c r="L334" i="1" s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L342" i="1" s="1"/>
  <c r="M343" i="1"/>
  <c r="L343" i="1" s="1"/>
  <c r="M344" i="1"/>
  <c r="L344" i="1" s="1"/>
  <c r="M345" i="1"/>
  <c r="L345" i="1" s="1"/>
  <c r="M346" i="1"/>
  <c r="L346" i="1" s="1"/>
  <c r="M347" i="1"/>
  <c r="L347" i="1" s="1"/>
  <c r="M348" i="1"/>
  <c r="L348" i="1" s="1"/>
  <c r="M349" i="1"/>
  <c r="L349" i="1" s="1"/>
  <c r="M350" i="1"/>
  <c r="L350" i="1" s="1"/>
  <c r="M351" i="1"/>
  <c r="L351" i="1" s="1"/>
  <c r="M352" i="1"/>
  <c r="L352" i="1" s="1"/>
  <c r="M353" i="1"/>
  <c r="L353" i="1" s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L360" i="1" s="1"/>
  <c r="M361" i="1"/>
  <c r="L361" i="1" s="1"/>
  <c r="M362" i="1"/>
  <c r="L362" i="1" s="1"/>
  <c r="M363" i="1"/>
  <c r="L363" i="1" s="1"/>
  <c r="M364" i="1"/>
  <c r="L364" i="1" s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L371" i="1" s="1"/>
  <c r="M372" i="1"/>
  <c r="L372" i="1" s="1"/>
  <c r="M373" i="1"/>
  <c r="L373" i="1" s="1"/>
  <c r="M374" i="1"/>
  <c r="L374" i="1" s="1"/>
  <c r="M375" i="1"/>
  <c r="L375" i="1" s="1"/>
  <c r="M376" i="1"/>
  <c r="L376" i="1" s="1"/>
  <c r="M377" i="1"/>
  <c r="L377" i="1" s="1"/>
  <c r="M378" i="1"/>
  <c r="L378" i="1" s="1"/>
  <c r="M379" i="1"/>
  <c r="L379" i="1" s="1"/>
  <c r="M380" i="1"/>
  <c r="L380" i="1" s="1"/>
  <c r="M381" i="1"/>
  <c r="L381" i="1" s="1"/>
  <c r="M382" i="1"/>
  <c r="L382" i="1" s="1"/>
  <c r="M383" i="1"/>
  <c r="L383" i="1" s="1"/>
  <c r="M384" i="1"/>
  <c r="L384" i="1" s="1"/>
  <c r="M385" i="1"/>
  <c r="L385" i="1" s="1"/>
  <c r="M386" i="1"/>
  <c r="L386" i="1" s="1"/>
  <c r="M387" i="1"/>
  <c r="L387" i="1" s="1"/>
  <c r="M388" i="1"/>
  <c r="L388" i="1" s="1"/>
  <c r="M389" i="1"/>
  <c r="L389" i="1" s="1"/>
  <c r="M390" i="1"/>
  <c r="L390" i="1" s="1"/>
  <c r="M391" i="1"/>
  <c r="L391" i="1" s="1"/>
  <c r="M392" i="1"/>
  <c r="L392" i="1" s="1"/>
  <c r="M393" i="1"/>
  <c r="L393" i="1" s="1"/>
  <c r="M394" i="1"/>
  <c r="L394" i="1" s="1"/>
  <c r="M395" i="1"/>
  <c r="L395" i="1" s="1"/>
  <c r="M396" i="1"/>
  <c r="L396" i="1" s="1"/>
  <c r="M397" i="1"/>
  <c r="L397" i="1" s="1"/>
  <c r="M398" i="1"/>
  <c r="L398" i="1" s="1"/>
  <c r="M399" i="1"/>
  <c r="L399" i="1" s="1"/>
  <c r="M400" i="1"/>
  <c r="L400" i="1" s="1"/>
  <c r="M401" i="1"/>
  <c r="L401" i="1" s="1"/>
  <c r="M402" i="1"/>
  <c r="L402" i="1" s="1"/>
  <c r="M403" i="1"/>
  <c r="L403" i="1" s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L415" i="1" s="1"/>
  <c r="M416" i="1"/>
  <c r="L416" i="1" s="1"/>
  <c r="M417" i="1"/>
  <c r="L417" i="1" s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L423" i="1" s="1"/>
  <c r="M424" i="1"/>
  <c r="L424" i="1" s="1"/>
  <c r="M425" i="1"/>
  <c r="L425" i="1" s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L656" i="1" s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L934" i="1" s="1"/>
  <c r="M935" i="1"/>
  <c r="L935" i="1" s="1"/>
  <c r="M936" i="1"/>
  <c r="L936" i="1" s="1"/>
  <c r="M937" i="1"/>
  <c r="L937" i="1" s="1"/>
  <c r="M938" i="1"/>
  <c r="L938" i="1" s="1"/>
  <c r="L298" i="1"/>
  <c r="L28" i="1"/>
  <c r="I9" i="1"/>
  <c r="G9" i="1"/>
  <c r="Q13" i="1" l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L12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L640" i="1"/>
  <c r="D152" i="1"/>
  <c r="L540" i="1"/>
  <c r="L864" i="1"/>
  <c r="L512" i="1"/>
  <c r="L760" i="1"/>
  <c r="L604" i="1"/>
  <c r="L476" i="1"/>
  <c r="L700" i="1"/>
  <c r="L576" i="1"/>
  <c r="L448" i="1"/>
  <c r="L929" i="1"/>
  <c r="L917" i="1"/>
  <c r="L909" i="1"/>
  <c r="L901" i="1"/>
  <c r="L893" i="1"/>
  <c r="L885" i="1"/>
  <c r="L877" i="1"/>
  <c r="L869" i="1"/>
  <c r="L861" i="1"/>
  <c r="L853" i="1"/>
  <c r="L845" i="1"/>
  <c r="L841" i="1"/>
  <c r="L833" i="1"/>
  <c r="L825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13" i="1"/>
  <c r="L705" i="1"/>
  <c r="L697" i="1"/>
  <c r="L689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1" i="1"/>
  <c r="L513" i="1"/>
  <c r="L505" i="1"/>
  <c r="L497" i="1"/>
  <c r="L489" i="1"/>
  <c r="L481" i="1"/>
  <c r="L473" i="1"/>
  <c r="L465" i="1"/>
  <c r="L457" i="1"/>
  <c r="L449" i="1"/>
  <c r="L441" i="1"/>
  <c r="L433" i="1"/>
  <c r="L932" i="1"/>
  <c r="L924" i="1"/>
  <c r="L916" i="1"/>
  <c r="L908" i="1"/>
  <c r="L900" i="1"/>
  <c r="L892" i="1"/>
  <c r="L884" i="1"/>
  <c r="L876" i="1"/>
  <c r="L860" i="1"/>
  <c r="L852" i="1"/>
  <c r="L840" i="1"/>
  <c r="L832" i="1"/>
  <c r="L824" i="1"/>
  <c r="L816" i="1"/>
  <c r="L808" i="1"/>
  <c r="L800" i="1"/>
  <c r="L796" i="1"/>
  <c r="L788" i="1"/>
  <c r="L780" i="1"/>
  <c r="L772" i="1"/>
  <c r="L752" i="1"/>
  <c r="L744" i="1"/>
  <c r="L736" i="1"/>
  <c r="L728" i="1"/>
  <c r="L720" i="1"/>
  <c r="L712" i="1"/>
  <c r="L692" i="1"/>
  <c r="L676" i="1"/>
  <c r="L668" i="1"/>
  <c r="L660" i="1"/>
  <c r="L652" i="1"/>
  <c r="L644" i="1"/>
  <c r="L628" i="1"/>
  <c r="L620" i="1"/>
  <c r="L612" i="1"/>
  <c r="L596" i="1"/>
  <c r="L588" i="1"/>
  <c r="L580" i="1"/>
  <c r="L564" i="1"/>
  <c r="L556" i="1"/>
  <c r="L548" i="1"/>
  <c r="L532" i="1"/>
  <c r="L520" i="1"/>
  <c r="L504" i="1"/>
  <c r="L496" i="1"/>
  <c r="L492" i="1"/>
  <c r="L484" i="1"/>
  <c r="L468" i="1"/>
  <c r="L460" i="1"/>
  <c r="L452" i="1"/>
  <c r="L432" i="1"/>
  <c r="L684" i="1"/>
  <c r="L931" i="1"/>
  <c r="L923" i="1"/>
  <c r="L915" i="1"/>
  <c r="L907" i="1"/>
  <c r="L895" i="1"/>
  <c r="L887" i="1"/>
  <c r="L879" i="1"/>
  <c r="L871" i="1"/>
  <c r="L859" i="1"/>
  <c r="L851" i="1"/>
  <c r="L843" i="1"/>
  <c r="L835" i="1"/>
  <c r="L823" i="1"/>
  <c r="L815" i="1"/>
  <c r="L803" i="1"/>
  <c r="L795" i="1"/>
  <c r="L787" i="1"/>
  <c r="L779" i="1"/>
  <c r="L767" i="1"/>
  <c r="L759" i="1"/>
  <c r="L747" i="1"/>
  <c r="L739" i="1"/>
  <c r="L731" i="1"/>
  <c r="L719" i="1"/>
  <c r="L711" i="1"/>
  <c r="L703" i="1"/>
  <c r="L695" i="1"/>
  <c r="L683" i="1"/>
  <c r="L675" i="1"/>
  <c r="L667" i="1"/>
  <c r="L655" i="1"/>
  <c r="L643" i="1"/>
  <c r="L631" i="1"/>
  <c r="L623" i="1"/>
  <c r="L615" i="1"/>
  <c r="L607" i="1"/>
  <c r="L595" i="1"/>
  <c r="L583" i="1"/>
  <c r="L575" i="1"/>
  <c r="L563" i="1"/>
  <c r="L551" i="1"/>
  <c r="L543" i="1"/>
  <c r="L535" i="1"/>
  <c r="L523" i="1"/>
  <c r="L515" i="1"/>
  <c r="L503" i="1"/>
  <c r="L495" i="1"/>
  <c r="L487" i="1"/>
  <c r="L479" i="1"/>
  <c r="L471" i="1"/>
  <c r="L463" i="1"/>
  <c r="L451" i="1"/>
  <c r="L443" i="1"/>
  <c r="L435" i="1"/>
  <c r="L933" i="1"/>
  <c r="L925" i="1"/>
  <c r="L921" i="1"/>
  <c r="L913" i="1"/>
  <c r="L905" i="1"/>
  <c r="L897" i="1"/>
  <c r="L889" i="1"/>
  <c r="L881" i="1"/>
  <c r="L873" i="1"/>
  <c r="L865" i="1"/>
  <c r="L857" i="1"/>
  <c r="L849" i="1"/>
  <c r="L837" i="1"/>
  <c r="L829" i="1"/>
  <c r="L821" i="1"/>
  <c r="L817" i="1"/>
  <c r="L809" i="1"/>
  <c r="L801" i="1"/>
  <c r="L793" i="1"/>
  <c r="L785" i="1"/>
  <c r="L777" i="1"/>
  <c r="L769" i="1"/>
  <c r="L761" i="1"/>
  <c r="L753" i="1"/>
  <c r="L745" i="1"/>
  <c r="L737" i="1"/>
  <c r="L729" i="1"/>
  <c r="L721" i="1"/>
  <c r="L709" i="1"/>
  <c r="L701" i="1"/>
  <c r="L693" i="1"/>
  <c r="L685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928" i="1"/>
  <c r="L920" i="1"/>
  <c r="L912" i="1"/>
  <c r="L904" i="1"/>
  <c r="L896" i="1"/>
  <c r="L880" i="1"/>
  <c r="L872" i="1"/>
  <c r="L868" i="1"/>
  <c r="L848" i="1"/>
  <c r="L844" i="1"/>
  <c r="L836" i="1"/>
  <c r="L828" i="1"/>
  <c r="L820" i="1"/>
  <c r="L812" i="1"/>
  <c r="L804" i="1"/>
  <c r="L792" i="1"/>
  <c r="L776" i="1"/>
  <c r="L768" i="1"/>
  <c r="L764" i="1"/>
  <c r="L756" i="1"/>
  <c r="L748" i="1"/>
  <c r="L740" i="1"/>
  <c r="L732" i="1"/>
  <c r="L724" i="1"/>
  <c r="L716" i="1"/>
  <c r="L708" i="1"/>
  <c r="L704" i="1"/>
  <c r="L696" i="1"/>
  <c r="L688" i="1"/>
  <c r="L672" i="1"/>
  <c r="L664" i="1"/>
  <c r="L648" i="1"/>
  <c r="L632" i="1"/>
  <c r="L624" i="1"/>
  <c r="L616" i="1"/>
  <c r="L600" i="1"/>
  <c r="L592" i="1"/>
  <c r="L584" i="1"/>
  <c r="L568" i="1"/>
  <c r="L560" i="1"/>
  <c r="L552" i="1"/>
  <c r="L536" i="1"/>
  <c r="L528" i="1"/>
  <c r="L524" i="1"/>
  <c r="L516" i="1"/>
  <c r="L500" i="1"/>
  <c r="L488" i="1"/>
  <c r="L472" i="1"/>
  <c r="L464" i="1"/>
  <c r="L456" i="1"/>
  <c r="L440" i="1"/>
  <c r="L436" i="1"/>
  <c r="L428" i="1"/>
  <c r="L856" i="1"/>
  <c r="L636" i="1"/>
  <c r="L572" i="1"/>
  <c r="L508" i="1"/>
  <c r="L444" i="1"/>
  <c r="L888" i="1"/>
  <c r="L927" i="1"/>
  <c r="L919" i="1"/>
  <c r="L911" i="1"/>
  <c r="L903" i="1"/>
  <c r="L899" i="1"/>
  <c r="L891" i="1"/>
  <c r="L883" i="1"/>
  <c r="L875" i="1"/>
  <c r="L867" i="1"/>
  <c r="L863" i="1"/>
  <c r="L855" i="1"/>
  <c r="L847" i="1"/>
  <c r="L839" i="1"/>
  <c r="L831" i="1"/>
  <c r="L827" i="1"/>
  <c r="L819" i="1"/>
  <c r="L811" i="1"/>
  <c r="L807" i="1"/>
  <c r="L799" i="1"/>
  <c r="L791" i="1"/>
  <c r="L783" i="1"/>
  <c r="L775" i="1"/>
  <c r="L771" i="1"/>
  <c r="L763" i="1"/>
  <c r="L755" i="1"/>
  <c r="L751" i="1"/>
  <c r="L743" i="1"/>
  <c r="L735" i="1"/>
  <c r="L727" i="1"/>
  <c r="L723" i="1"/>
  <c r="L715" i="1"/>
  <c r="L707" i="1"/>
  <c r="L699" i="1"/>
  <c r="L691" i="1"/>
  <c r="L687" i="1"/>
  <c r="L679" i="1"/>
  <c r="L671" i="1"/>
  <c r="L663" i="1"/>
  <c r="L659" i="1"/>
  <c r="L651" i="1"/>
  <c r="L647" i="1"/>
  <c r="L639" i="1"/>
  <c r="L635" i="1"/>
  <c r="L627" i="1"/>
  <c r="L619" i="1"/>
  <c r="L611" i="1"/>
  <c r="L603" i="1"/>
  <c r="L599" i="1"/>
  <c r="L591" i="1"/>
  <c r="L587" i="1"/>
  <c r="L579" i="1"/>
  <c r="L571" i="1"/>
  <c r="L567" i="1"/>
  <c r="L559" i="1"/>
  <c r="L555" i="1"/>
  <c r="L547" i="1"/>
  <c r="L539" i="1"/>
  <c r="L531" i="1"/>
  <c r="L527" i="1"/>
  <c r="L519" i="1"/>
  <c r="L511" i="1"/>
  <c r="L507" i="1"/>
  <c r="L499" i="1"/>
  <c r="L491" i="1"/>
  <c r="L483" i="1"/>
  <c r="L475" i="1"/>
  <c r="L467" i="1"/>
  <c r="L459" i="1"/>
  <c r="L455" i="1"/>
  <c r="L447" i="1"/>
  <c r="L439" i="1"/>
  <c r="L431" i="1"/>
  <c r="L427" i="1"/>
  <c r="L784" i="1"/>
  <c r="L680" i="1"/>
  <c r="L608" i="1"/>
  <c r="L544" i="1"/>
  <c r="L480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B12" i="1"/>
  <c r="D1066" i="1"/>
  <c r="B26" i="1"/>
  <c r="D862" i="1"/>
  <c r="D495" i="1"/>
  <c r="D451" i="1"/>
  <c r="D1034" i="1"/>
  <c r="D776" i="1"/>
  <c r="D419" i="1"/>
  <c r="D1002" i="1"/>
  <c r="D691" i="1"/>
  <c r="D1098" i="1"/>
  <c r="D938" i="1"/>
  <c r="D591" i="1"/>
  <c r="D439" i="1"/>
  <c r="D1086" i="1"/>
  <c r="D1022" i="1"/>
  <c r="D922" i="1"/>
  <c r="D755" i="1"/>
  <c r="D670" i="1"/>
  <c r="D435" i="1"/>
  <c r="D1050" i="1"/>
  <c r="D970" i="1"/>
  <c r="D487" i="1"/>
  <c r="D559" i="1"/>
  <c r="D1118" i="1"/>
  <c r="D1054" i="1"/>
  <c r="D986" i="1"/>
  <c r="D840" i="1"/>
  <c r="D527" i="1"/>
  <c r="D1114" i="1"/>
  <c r="D1082" i="1"/>
  <c r="D1018" i="1"/>
  <c r="D904" i="1"/>
  <c r="D819" i="1"/>
  <c r="D734" i="1"/>
  <c r="D648" i="1"/>
  <c r="D455" i="1"/>
  <c r="D423" i="1"/>
  <c r="D1102" i="1"/>
  <c r="D1070" i="1"/>
  <c r="D1038" i="1"/>
  <c r="D1006" i="1"/>
  <c r="D954" i="1"/>
  <c r="D883" i="1"/>
  <c r="D798" i="1"/>
  <c r="D712" i="1"/>
  <c r="D623" i="1"/>
  <c r="D463" i="1"/>
  <c r="D431" i="1"/>
  <c r="D1126" i="1"/>
  <c r="D1078" i="1"/>
  <c r="D1046" i="1"/>
  <c r="D1014" i="1"/>
  <c r="D998" i="1"/>
  <c r="D982" i="1"/>
  <c r="D966" i="1"/>
  <c r="D950" i="1"/>
  <c r="D934" i="1"/>
  <c r="D918" i="1"/>
  <c r="D899" i="1"/>
  <c r="D878" i="1"/>
  <c r="D856" i="1"/>
  <c r="D835" i="1"/>
  <c r="D814" i="1"/>
  <c r="D792" i="1"/>
  <c r="D771" i="1"/>
  <c r="D750" i="1"/>
  <c r="D728" i="1"/>
  <c r="D707" i="1"/>
  <c r="D686" i="1"/>
  <c r="D664" i="1"/>
  <c r="D643" i="1"/>
  <c r="D615" i="1"/>
  <c r="D583" i="1"/>
  <c r="D551" i="1"/>
  <c r="D519" i="1"/>
  <c r="D23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39" i="1"/>
  <c r="D644" i="1"/>
  <c r="D650" i="1"/>
  <c r="D655" i="1"/>
  <c r="D660" i="1"/>
  <c r="D666" i="1"/>
  <c r="D671" i="1"/>
  <c r="D676" i="1"/>
  <c r="D682" i="1"/>
  <c r="D687" i="1"/>
  <c r="D692" i="1"/>
  <c r="D698" i="1"/>
  <c r="D703" i="1"/>
  <c r="D708" i="1"/>
  <c r="D714" i="1"/>
  <c r="D719" i="1"/>
  <c r="D724" i="1"/>
  <c r="D730" i="1"/>
  <c r="D735" i="1"/>
  <c r="D740" i="1"/>
  <c r="D746" i="1"/>
  <c r="D751" i="1"/>
  <c r="D756" i="1"/>
  <c r="D762" i="1"/>
  <c r="D767" i="1"/>
  <c r="D772" i="1"/>
  <c r="D778" i="1"/>
  <c r="D783" i="1"/>
  <c r="D788" i="1"/>
  <c r="D794" i="1"/>
  <c r="D799" i="1"/>
  <c r="D804" i="1"/>
  <c r="D810" i="1"/>
  <c r="D815" i="1"/>
  <c r="D820" i="1"/>
  <c r="D826" i="1"/>
  <c r="D831" i="1"/>
  <c r="D836" i="1"/>
  <c r="D842" i="1"/>
  <c r="D847" i="1"/>
  <c r="D852" i="1"/>
  <c r="D858" i="1"/>
  <c r="D863" i="1"/>
  <c r="D868" i="1"/>
  <c r="D874" i="1"/>
  <c r="D879" i="1"/>
  <c r="D884" i="1"/>
  <c r="D890" i="1"/>
  <c r="D895" i="1"/>
  <c r="D900" i="1"/>
  <c r="D906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458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981" i="1"/>
  <c r="D997" i="1"/>
  <c r="D1005" i="1"/>
  <c r="D1017" i="1"/>
  <c r="D1029" i="1"/>
  <c r="D1037" i="1"/>
  <c r="D1049" i="1"/>
  <c r="D1057" i="1"/>
  <c r="D1069" i="1"/>
  <c r="D1077" i="1"/>
  <c r="D1089" i="1"/>
  <c r="D1097" i="1"/>
  <c r="D1109" i="1"/>
  <c r="D1117" i="1"/>
  <c r="D410" i="1"/>
  <c r="D422" i="1"/>
  <c r="D434" i="1"/>
  <c r="D442" i="1"/>
  <c r="D454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0" i="1"/>
  <c r="D646" i="1"/>
  <c r="D651" i="1"/>
  <c r="D656" i="1"/>
  <c r="D662" i="1"/>
  <c r="D667" i="1"/>
  <c r="D672" i="1"/>
  <c r="D678" i="1"/>
  <c r="D683" i="1"/>
  <c r="D688" i="1"/>
  <c r="D694" i="1"/>
  <c r="D699" i="1"/>
  <c r="D704" i="1"/>
  <c r="D710" i="1"/>
  <c r="D715" i="1"/>
  <c r="D720" i="1"/>
  <c r="D726" i="1"/>
  <c r="D731" i="1"/>
  <c r="D736" i="1"/>
  <c r="D742" i="1"/>
  <c r="D747" i="1"/>
  <c r="D752" i="1"/>
  <c r="D758" i="1"/>
  <c r="D763" i="1"/>
  <c r="D768" i="1"/>
  <c r="D774" i="1"/>
  <c r="D779" i="1"/>
  <c r="D784" i="1"/>
  <c r="D790" i="1"/>
  <c r="D795" i="1"/>
  <c r="D800" i="1"/>
  <c r="D806" i="1"/>
  <c r="D811" i="1"/>
  <c r="D816" i="1"/>
  <c r="D822" i="1"/>
  <c r="D827" i="1"/>
  <c r="D832" i="1"/>
  <c r="D838" i="1"/>
  <c r="D843" i="1"/>
  <c r="D848" i="1"/>
  <c r="D854" i="1"/>
  <c r="D859" i="1"/>
  <c r="D864" i="1"/>
  <c r="D870" i="1"/>
  <c r="D875" i="1"/>
  <c r="D880" i="1"/>
  <c r="D886" i="1"/>
  <c r="D891" i="1"/>
  <c r="D896" i="1"/>
  <c r="D902" i="1"/>
  <c r="D907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459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929" i="1"/>
  <c r="D953" i="1"/>
  <c r="D961" i="1"/>
  <c r="D965" i="1"/>
  <c r="D973" i="1"/>
  <c r="D977" i="1"/>
  <c r="D989" i="1"/>
  <c r="D1001" i="1"/>
  <c r="D1013" i="1"/>
  <c r="D1021" i="1"/>
  <c r="D1033" i="1"/>
  <c r="D1041" i="1"/>
  <c r="D1053" i="1"/>
  <c r="D1061" i="1"/>
  <c r="D1073" i="1"/>
  <c r="D1081" i="1"/>
  <c r="D1093" i="1"/>
  <c r="D1101" i="1"/>
  <c r="D1113" i="1"/>
  <c r="D1121" i="1"/>
  <c r="D418" i="1"/>
  <c r="D426" i="1"/>
  <c r="D430" i="1"/>
  <c r="D438" i="1"/>
  <c r="D446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6" i="1"/>
  <c r="D642" i="1"/>
  <c r="D647" i="1"/>
  <c r="D652" i="1"/>
  <c r="D658" i="1"/>
  <c r="D663" i="1"/>
  <c r="D668" i="1"/>
  <c r="D674" i="1"/>
  <c r="D679" i="1"/>
  <c r="D684" i="1"/>
  <c r="D690" i="1"/>
  <c r="D695" i="1"/>
  <c r="D700" i="1"/>
  <c r="D706" i="1"/>
  <c r="D711" i="1"/>
  <c r="D716" i="1"/>
  <c r="D722" i="1"/>
  <c r="D727" i="1"/>
  <c r="D732" i="1"/>
  <c r="D738" i="1"/>
  <c r="D743" i="1"/>
  <c r="D748" i="1"/>
  <c r="D754" i="1"/>
  <c r="D759" i="1"/>
  <c r="D764" i="1"/>
  <c r="D770" i="1"/>
  <c r="D775" i="1"/>
  <c r="D780" i="1"/>
  <c r="D786" i="1"/>
  <c r="D791" i="1"/>
  <c r="D796" i="1"/>
  <c r="D802" i="1"/>
  <c r="D807" i="1"/>
  <c r="D812" i="1"/>
  <c r="D818" i="1"/>
  <c r="D823" i="1"/>
  <c r="D828" i="1"/>
  <c r="D834" i="1"/>
  <c r="D839" i="1"/>
  <c r="D844" i="1"/>
  <c r="D850" i="1"/>
  <c r="D855" i="1"/>
  <c r="D860" i="1"/>
  <c r="D866" i="1"/>
  <c r="D871" i="1"/>
  <c r="D876" i="1"/>
  <c r="D882" i="1"/>
  <c r="D887" i="1"/>
  <c r="D892" i="1"/>
  <c r="D898" i="1"/>
  <c r="D903" i="1"/>
  <c r="D908" i="1"/>
  <c r="D913" i="1"/>
  <c r="D917" i="1"/>
  <c r="D921" i="1"/>
  <c r="D925" i="1"/>
  <c r="D933" i="1"/>
  <c r="D937" i="1"/>
  <c r="D941" i="1"/>
  <c r="D945" i="1"/>
  <c r="D949" i="1"/>
  <c r="D957" i="1"/>
  <c r="D969" i="1"/>
  <c r="D985" i="1"/>
  <c r="D993" i="1"/>
  <c r="D1009" i="1"/>
  <c r="D1025" i="1"/>
  <c r="D1045" i="1"/>
  <c r="D1065" i="1"/>
  <c r="D1085" i="1"/>
  <c r="D1105" i="1"/>
  <c r="D1125" i="1"/>
  <c r="D414" i="1"/>
  <c r="D450" i="1"/>
  <c r="D447" i="1"/>
  <c r="D415" i="1"/>
  <c r="D1110" i="1"/>
  <c r="D1094" i="1"/>
  <c r="D1062" i="1"/>
  <c r="D1030" i="1"/>
  <c r="D443" i="1"/>
  <c r="D427" i="1"/>
  <c r="D411" i="1"/>
  <c r="D1122" i="1"/>
  <c r="D1106" i="1"/>
  <c r="D1090" i="1"/>
  <c r="D1074" i="1"/>
  <c r="D1058" i="1"/>
  <c r="D1042" i="1"/>
  <c r="D1026" i="1"/>
  <c r="D1010" i="1"/>
  <c r="D994" i="1"/>
  <c r="D978" i="1"/>
  <c r="D962" i="1"/>
  <c r="D946" i="1"/>
  <c r="D930" i="1"/>
  <c r="D914" i="1"/>
  <c r="D894" i="1"/>
  <c r="D872" i="1"/>
  <c r="D851" i="1"/>
  <c r="D830" i="1"/>
  <c r="D808" i="1"/>
  <c r="D787" i="1"/>
  <c r="D766" i="1"/>
  <c r="D744" i="1"/>
  <c r="D723" i="1"/>
  <c r="D702" i="1"/>
  <c r="D680" i="1"/>
  <c r="D659" i="1"/>
  <c r="D638" i="1"/>
  <c r="D607" i="1"/>
  <c r="D575" i="1"/>
  <c r="D543" i="1"/>
  <c r="D511" i="1"/>
  <c r="D479" i="1"/>
  <c r="D990" i="1"/>
  <c r="D974" i="1"/>
  <c r="D958" i="1"/>
  <c r="D942" i="1"/>
  <c r="D926" i="1"/>
  <c r="D910" i="1"/>
  <c r="D888" i="1"/>
  <c r="D867" i="1"/>
  <c r="D846" i="1"/>
  <c r="D824" i="1"/>
  <c r="D803" i="1"/>
  <c r="D782" i="1"/>
  <c r="D760" i="1"/>
  <c r="D739" i="1"/>
  <c r="D718" i="1"/>
  <c r="D696" i="1"/>
  <c r="D675" i="1"/>
  <c r="D654" i="1"/>
  <c r="D631" i="1"/>
  <c r="D599" i="1"/>
  <c r="D567" i="1"/>
  <c r="D535" i="1"/>
  <c r="D503" i="1"/>
  <c r="D471" i="1"/>
  <c r="D322" i="1"/>
  <c r="D399" i="1"/>
  <c r="D280" i="1"/>
  <c r="D378" i="1"/>
  <c r="D216" i="1"/>
  <c r="D350" i="1"/>
  <c r="D131" i="1"/>
  <c r="D398" i="1"/>
  <c r="D371" i="1"/>
  <c r="D343" i="1"/>
  <c r="D312" i="1"/>
  <c r="D270" i="1"/>
  <c r="D195" i="1"/>
  <c r="D110" i="1"/>
  <c r="D63" i="1"/>
  <c r="D47" i="1"/>
  <c r="D31" i="1"/>
  <c r="D15" i="1"/>
  <c r="D70" i="1"/>
  <c r="D54" i="1"/>
  <c r="D22" i="1"/>
  <c r="D392" i="1"/>
  <c r="D364" i="1"/>
  <c r="D335" i="1"/>
  <c r="D302" i="1"/>
  <c r="D259" i="1"/>
  <c r="D174" i="1"/>
  <c r="D87" i="1"/>
  <c r="D62" i="1"/>
  <c r="D46" i="1"/>
  <c r="D30" i="1"/>
  <c r="D14" i="1"/>
  <c r="D38" i="1"/>
  <c r="D407" i="1"/>
  <c r="D404" i="1"/>
  <c r="D386" i="1"/>
  <c r="D356" i="1"/>
  <c r="D328" i="1"/>
  <c r="D291" i="1"/>
  <c r="D238" i="1"/>
  <c r="D71" i="1"/>
  <c r="D55" i="1"/>
  <c r="D39" i="1"/>
  <c r="D76" i="1"/>
  <c r="D80" i="1"/>
  <c r="D84" i="1"/>
  <c r="D88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74" i="1"/>
  <c r="D82" i="1"/>
  <c r="D90" i="1"/>
  <c r="D95" i="1"/>
  <c r="D100" i="1"/>
  <c r="D106" i="1"/>
  <c r="D111" i="1"/>
  <c r="D116" i="1"/>
  <c r="D122" i="1"/>
  <c r="D127" i="1"/>
  <c r="D132" i="1"/>
  <c r="D138" i="1"/>
  <c r="D143" i="1"/>
  <c r="D148" i="1"/>
  <c r="D154" i="1"/>
  <c r="D159" i="1"/>
  <c r="D164" i="1"/>
  <c r="D170" i="1"/>
  <c r="D175" i="1"/>
  <c r="D180" i="1"/>
  <c r="D186" i="1"/>
  <c r="D191" i="1"/>
  <c r="D196" i="1"/>
  <c r="D202" i="1"/>
  <c r="D207" i="1"/>
  <c r="D212" i="1"/>
  <c r="D218" i="1"/>
  <c r="D223" i="1"/>
  <c r="D228" i="1"/>
  <c r="D234" i="1"/>
  <c r="D239" i="1"/>
  <c r="D244" i="1"/>
  <c r="D250" i="1"/>
  <c r="D255" i="1"/>
  <c r="D260" i="1"/>
  <c r="D266" i="1"/>
  <c r="D271" i="1"/>
  <c r="D276" i="1"/>
  <c r="D282" i="1"/>
  <c r="D287" i="1"/>
  <c r="D292" i="1"/>
  <c r="D298" i="1"/>
  <c r="D303" i="1"/>
  <c r="D308" i="1"/>
  <c r="D314" i="1"/>
  <c r="D75" i="1"/>
  <c r="D83" i="1"/>
  <c r="D91" i="1"/>
  <c r="D96" i="1"/>
  <c r="D102" i="1"/>
  <c r="D107" i="1"/>
  <c r="D112" i="1"/>
  <c r="D118" i="1"/>
  <c r="D123" i="1"/>
  <c r="D128" i="1"/>
  <c r="D134" i="1"/>
  <c r="D139" i="1"/>
  <c r="D144" i="1"/>
  <c r="D150" i="1"/>
  <c r="D155" i="1"/>
  <c r="D160" i="1"/>
  <c r="D166" i="1"/>
  <c r="D171" i="1"/>
  <c r="D176" i="1"/>
  <c r="D182" i="1"/>
  <c r="D187" i="1"/>
  <c r="D192" i="1"/>
  <c r="D198" i="1"/>
  <c r="D203" i="1"/>
  <c r="D208" i="1"/>
  <c r="D214" i="1"/>
  <c r="D219" i="1"/>
  <c r="D224" i="1"/>
  <c r="D230" i="1"/>
  <c r="D235" i="1"/>
  <c r="D240" i="1"/>
  <c r="D246" i="1"/>
  <c r="D251" i="1"/>
  <c r="D256" i="1"/>
  <c r="D262" i="1"/>
  <c r="D267" i="1"/>
  <c r="D272" i="1"/>
  <c r="D278" i="1"/>
  <c r="D283" i="1"/>
  <c r="D288" i="1"/>
  <c r="D294" i="1"/>
  <c r="D299" i="1"/>
  <c r="D304" i="1"/>
  <c r="D310" i="1"/>
  <c r="D315" i="1"/>
  <c r="D320" i="1"/>
  <c r="D326" i="1"/>
  <c r="D331" i="1"/>
  <c r="D336" i="1"/>
  <c r="D342" i="1"/>
  <c r="D347" i="1"/>
  <c r="D352" i="1"/>
  <c r="D358" i="1"/>
  <c r="D363" i="1"/>
  <c r="D368" i="1"/>
  <c r="D374" i="1"/>
  <c r="D379" i="1"/>
  <c r="D384" i="1"/>
  <c r="D390" i="1"/>
  <c r="D395" i="1"/>
  <c r="D400" i="1"/>
  <c r="D406" i="1"/>
  <c r="D78" i="1"/>
  <c r="D92" i="1"/>
  <c r="D103" i="1"/>
  <c r="D108" i="1"/>
  <c r="D119" i="1"/>
  <c r="D135" i="1"/>
  <c r="D146" i="1"/>
  <c r="D151" i="1"/>
  <c r="D162" i="1"/>
  <c r="D172" i="1"/>
  <c r="D183" i="1"/>
  <c r="D194" i="1"/>
  <c r="D199" i="1"/>
  <c r="D210" i="1"/>
  <c r="D220" i="1"/>
  <c r="D226" i="1"/>
  <c r="D236" i="1"/>
  <c r="D247" i="1"/>
  <c r="D258" i="1"/>
  <c r="D86" i="1"/>
  <c r="D98" i="1"/>
  <c r="D114" i="1"/>
  <c r="D124" i="1"/>
  <c r="D130" i="1"/>
  <c r="D140" i="1"/>
  <c r="D156" i="1"/>
  <c r="D167" i="1"/>
  <c r="D178" i="1"/>
  <c r="D188" i="1"/>
  <c r="D204" i="1"/>
  <c r="D215" i="1"/>
  <c r="D231" i="1"/>
  <c r="D242" i="1"/>
  <c r="D252" i="1"/>
  <c r="D403" i="1"/>
  <c r="D396" i="1"/>
  <c r="D388" i="1"/>
  <c r="D382" i="1"/>
  <c r="D375" i="1"/>
  <c r="D367" i="1"/>
  <c r="D360" i="1"/>
  <c r="D354" i="1"/>
  <c r="D346" i="1"/>
  <c r="D339" i="1"/>
  <c r="D332" i="1"/>
  <c r="D324" i="1"/>
  <c r="D318" i="1"/>
  <c r="D307" i="1"/>
  <c r="D296" i="1"/>
  <c r="D286" i="1"/>
  <c r="D275" i="1"/>
  <c r="D264" i="1"/>
  <c r="D248" i="1"/>
  <c r="D227" i="1"/>
  <c r="D206" i="1"/>
  <c r="D184" i="1"/>
  <c r="D163" i="1"/>
  <c r="D142" i="1"/>
  <c r="D120" i="1"/>
  <c r="D99" i="1"/>
  <c r="D402" i="1"/>
  <c r="D394" i="1"/>
  <c r="D387" i="1"/>
  <c r="D380" i="1"/>
  <c r="D372" i="1"/>
  <c r="D366" i="1"/>
  <c r="D359" i="1"/>
  <c r="D351" i="1"/>
  <c r="D344" i="1"/>
  <c r="D338" i="1"/>
  <c r="D330" i="1"/>
  <c r="D323" i="1"/>
  <c r="D316" i="1"/>
  <c r="D306" i="1"/>
  <c r="D295" i="1"/>
  <c r="D284" i="1"/>
  <c r="D274" i="1"/>
  <c r="D263" i="1"/>
  <c r="D243" i="1"/>
  <c r="D222" i="1"/>
  <c r="D200" i="1"/>
  <c r="D179" i="1"/>
  <c r="D158" i="1"/>
  <c r="D136" i="1"/>
  <c r="D115" i="1"/>
  <c r="D94" i="1"/>
  <c r="D391" i="1"/>
  <c r="D383" i="1"/>
  <c r="D376" i="1"/>
  <c r="D370" i="1"/>
  <c r="D362" i="1"/>
  <c r="D355" i="1"/>
  <c r="D348" i="1"/>
  <c r="D340" i="1"/>
  <c r="D334" i="1"/>
  <c r="D327" i="1"/>
  <c r="D319" i="1"/>
  <c r="D311" i="1"/>
  <c r="D300" i="1"/>
  <c r="D290" i="1"/>
  <c r="D279" i="1"/>
  <c r="D268" i="1"/>
  <c r="D254" i="1"/>
  <c r="D232" i="1"/>
  <c r="D211" i="1"/>
  <c r="D190" i="1"/>
  <c r="D168" i="1"/>
  <c r="D147" i="1"/>
  <c r="D126" i="1"/>
  <c r="D104" i="1"/>
  <c r="D79" i="1"/>
  <c r="D12" i="1"/>
  <c r="I12" i="1" s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13" i="1"/>
  <c r="I13" i="1" s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67" i="1"/>
  <c r="D59" i="1"/>
  <c r="D51" i="1"/>
  <c r="D43" i="1"/>
  <c r="D35" i="1"/>
  <c r="D27" i="1"/>
  <c r="D19" i="1"/>
  <c r="D66" i="1"/>
  <c r="D58" i="1"/>
  <c r="D50" i="1"/>
  <c r="D42" i="1"/>
  <c r="D34" i="1"/>
  <c r="D26" i="1"/>
  <c r="D18" i="1"/>
  <c r="G12" i="1"/>
  <c r="C12" i="1" s="1"/>
  <c r="E12" i="1" l="1"/>
  <c r="F12" i="1" s="1"/>
  <c r="S13" i="1"/>
  <c r="S14" i="1" s="1"/>
  <c r="S15" i="1" s="1"/>
  <c r="S16" i="1" s="1"/>
  <c r="S17" i="1" s="1"/>
  <c r="S18" i="1" s="1"/>
  <c r="S19" i="1" s="1"/>
  <c r="S20" i="1" s="1"/>
  <c r="S21" i="1" s="1"/>
  <c r="S22" i="1" s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467" i="1"/>
  <c r="C47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460" i="1"/>
  <c r="C476" i="1"/>
  <c r="C488" i="1"/>
  <c r="C499" i="1"/>
  <c r="C508" i="1"/>
  <c r="C520" i="1"/>
  <c r="C531" i="1"/>
  <c r="C540" i="1"/>
  <c r="C552" i="1"/>
  <c r="C563" i="1"/>
  <c r="C572" i="1"/>
  <c r="C584" i="1"/>
  <c r="C595" i="1"/>
  <c r="C604" i="1"/>
  <c r="C616" i="1"/>
  <c r="C627" i="1"/>
  <c r="C636" i="1"/>
  <c r="C648" i="1"/>
  <c r="C659" i="1"/>
  <c r="C668" i="1"/>
  <c r="C680" i="1"/>
  <c r="C691" i="1"/>
  <c r="C700" i="1"/>
  <c r="C712" i="1"/>
  <c r="C723" i="1"/>
  <c r="C732" i="1"/>
  <c r="C744" i="1"/>
  <c r="C755" i="1"/>
  <c r="C764" i="1"/>
  <c r="C776" i="1"/>
  <c r="C787" i="1"/>
  <c r="C796" i="1"/>
  <c r="C808" i="1"/>
  <c r="C819" i="1"/>
  <c r="C828" i="1"/>
  <c r="C840" i="1"/>
  <c r="C851" i="1"/>
  <c r="C860" i="1"/>
  <c r="C872" i="1"/>
  <c r="C883" i="1"/>
  <c r="C892" i="1"/>
  <c r="C904" i="1"/>
  <c r="C915" i="1"/>
  <c r="C924" i="1"/>
  <c r="C936" i="1"/>
  <c r="C947" i="1"/>
  <c r="C956" i="1"/>
  <c r="C968" i="1"/>
  <c r="C979" i="1"/>
  <c r="C988" i="1"/>
  <c r="C1000" i="1"/>
  <c r="C1011" i="1"/>
  <c r="C1020" i="1"/>
  <c r="C1032" i="1"/>
  <c r="C1043" i="1"/>
  <c r="C1052" i="1"/>
  <c r="C1063" i="1"/>
  <c r="C1071" i="1"/>
  <c r="C1079" i="1"/>
  <c r="C1087" i="1"/>
  <c r="C1095" i="1"/>
  <c r="C1103" i="1"/>
  <c r="C1111" i="1"/>
  <c r="C1119" i="1"/>
  <c r="C1127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12" i="1"/>
  <c r="C416" i="1"/>
  <c r="C424" i="1"/>
  <c r="C432" i="1"/>
  <c r="C440" i="1"/>
  <c r="C444" i="1"/>
  <c r="C452" i="1"/>
  <c r="C464" i="1"/>
  <c r="C480" i="1"/>
  <c r="C491" i="1"/>
  <c r="C500" i="1"/>
  <c r="C512" i="1"/>
  <c r="C523" i="1"/>
  <c r="C532" i="1"/>
  <c r="C544" i="1"/>
  <c r="C555" i="1"/>
  <c r="C564" i="1"/>
  <c r="C576" i="1"/>
  <c r="C587" i="1"/>
  <c r="C596" i="1"/>
  <c r="C608" i="1"/>
  <c r="C619" i="1"/>
  <c r="C628" i="1"/>
  <c r="C640" i="1"/>
  <c r="C651" i="1"/>
  <c r="C660" i="1"/>
  <c r="C672" i="1"/>
  <c r="C683" i="1"/>
  <c r="C692" i="1"/>
  <c r="C704" i="1"/>
  <c r="C715" i="1"/>
  <c r="C724" i="1"/>
  <c r="C736" i="1"/>
  <c r="C747" i="1"/>
  <c r="C756" i="1"/>
  <c r="C768" i="1"/>
  <c r="C779" i="1"/>
  <c r="C788" i="1"/>
  <c r="C800" i="1"/>
  <c r="C811" i="1"/>
  <c r="C820" i="1"/>
  <c r="C832" i="1"/>
  <c r="C843" i="1"/>
  <c r="C852" i="1"/>
  <c r="C864" i="1"/>
  <c r="C875" i="1"/>
  <c r="C884" i="1"/>
  <c r="C896" i="1"/>
  <c r="C907" i="1"/>
  <c r="C916" i="1"/>
  <c r="C928" i="1"/>
  <c r="C939" i="1"/>
  <c r="C948" i="1"/>
  <c r="C960" i="1"/>
  <c r="C971" i="1"/>
  <c r="C980" i="1"/>
  <c r="C992" i="1"/>
  <c r="C1003" i="1"/>
  <c r="C1012" i="1"/>
  <c r="C1024" i="1"/>
  <c r="C1035" i="1"/>
  <c r="C1044" i="1"/>
  <c r="C1056" i="1"/>
  <c r="C1064" i="1"/>
  <c r="C1072" i="1"/>
  <c r="C1080" i="1"/>
  <c r="C1088" i="1"/>
  <c r="C1096" i="1"/>
  <c r="C1104" i="1"/>
  <c r="C1112" i="1"/>
  <c r="C1120" i="1"/>
  <c r="C1128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08" i="1"/>
  <c r="C420" i="1"/>
  <c r="C428" i="1"/>
  <c r="C436" i="1"/>
  <c r="C448" i="1"/>
  <c r="C456" i="1"/>
  <c r="C468" i="1"/>
  <c r="C483" i="1"/>
  <c r="C492" i="1"/>
  <c r="C504" i="1"/>
  <c r="C515" i="1"/>
  <c r="C524" i="1"/>
  <c r="C536" i="1"/>
  <c r="C547" i="1"/>
  <c r="C556" i="1"/>
  <c r="C568" i="1"/>
  <c r="C579" i="1"/>
  <c r="C588" i="1"/>
  <c r="C600" i="1"/>
  <c r="C611" i="1"/>
  <c r="C620" i="1"/>
  <c r="C632" i="1"/>
  <c r="C643" i="1"/>
  <c r="C652" i="1"/>
  <c r="C664" i="1"/>
  <c r="C675" i="1"/>
  <c r="C684" i="1"/>
  <c r="C696" i="1"/>
  <c r="C707" i="1"/>
  <c r="C716" i="1"/>
  <c r="C728" i="1"/>
  <c r="C739" i="1"/>
  <c r="C748" i="1"/>
  <c r="C760" i="1"/>
  <c r="C771" i="1"/>
  <c r="C780" i="1"/>
  <c r="C792" i="1"/>
  <c r="C803" i="1"/>
  <c r="C812" i="1"/>
  <c r="C824" i="1"/>
  <c r="C835" i="1"/>
  <c r="C844" i="1"/>
  <c r="C856" i="1"/>
  <c r="C867" i="1"/>
  <c r="C876" i="1"/>
  <c r="C888" i="1"/>
  <c r="C899" i="1"/>
  <c r="C908" i="1"/>
  <c r="C920" i="1"/>
  <c r="C931" i="1"/>
  <c r="C940" i="1"/>
  <c r="C952" i="1"/>
  <c r="C963" i="1"/>
  <c r="C972" i="1"/>
  <c r="C984" i="1"/>
  <c r="C995" i="1"/>
  <c r="C1004" i="1"/>
  <c r="C1016" i="1"/>
  <c r="C1027" i="1"/>
  <c r="C1036" i="1"/>
  <c r="C1048" i="1"/>
  <c r="C1059" i="1"/>
  <c r="C1067" i="1"/>
  <c r="C1075" i="1"/>
  <c r="C1083" i="1"/>
  <c r="C1091" i="1"/>
  <c r="C1099" i="1"/>
  <c r="C1107" i="1"/>
  <c r="C1115" i="1"/>
  <c r="C1123" i="1"/>
  <c r="C472" i="1"/>
  <c r="C496" i="1"/>
  <c r="C507" i="1"/>
  <c r="C516" i="1"/>
  <c r="C528" i="1"/>
  <c r="C539" i="1"/>
  <c r="C548" i="1"/>
  <c r="C571" i="1"/>
  <c r="C612" i="1"/>
  <c r="C656" i="1"/>
  <c r="C699" i="1"/>
  <c r="C740" i="1"/>
  <c r="C784" i="1"/>
  <c r="C827" i="1"/>
  <c r="C868" i="1"/>
  <c r="C912" i="1"/>
  <c r="C955" i="1"/>
  <c r="C996" i="1"/>
  <c r="C1040" i="1"/>
  <c r="C1076" i="1"/>
  <c r="C1108" i="1"/>
  <c r="C409" i="1"/>
  <c r="C425" i="1"/>
  <c r="C441" i="1"/>
  <c r="C457" i="1"/>
  <c r="C603" i="1"/>
  <c r="C731" i="1"/>
  <c r="C816" i="1"/>
  <c r="C944" i="1"/>
  <c r="C1068" i="1"/>
  <c r="C453" i="1"/>
  <c r="C580" i="1"/>
  <c r="C624" i="1"/>
  <c r="C667" i="1"/>
  <c r="C708" i="1"/>
  <c r="C752" i="1"/>
  <c r="C795" i="1"/>
  <c r="C836" i="1"/>
  <c r="C880" i="1"/>
  <c r="C923" i="1"/>
  <c r="C964" i="1"/>
  <c r="C1008" i="1"/>
  <c r="C1051" i="1"/>
  <c r="C1084" i="1"/>
  <c r="C1116" i="1"/>
  <c r="C413" i="1"/>
  <c r="C429" i="1"/>
  <c r="C445" i="1"/>
  <c r="C417" i="1"/>
  <c r="C433" i="1"/>
  <c r="C449" i="1"/>
  <c r="C644" i="1"/>
  <c r="C772" i="1"/>
  <c r="C900" i="1"/>
  <c r="C1028" i="1"/>
  <c r="C459" i="1"/>
  <c r="C421" i="1"/>
  <c r="C484" i="1"/>
  <c r="C592" i="1"/>
  <c r="C635" i="1"/>
  <c r="C676" i="1"/>
  <c r="C720" i="1"/>
  <c r="C763" i="1"/>
  <c r="C804" i="1"/>
  <c r="C848" i="1"/>
  <c r="C891" i="1"/>
  <c r="C932" i="1"/>
  <c r="C976" i="1"/>
  <c r="C1019" i="1"/>
  <c r="C1060" i="1"/>
  <c r="C1092" i="1"/>
  <c r="C1124" i="1"/>
  <c r="C560" i="1"/>
  <c r="C688" i="1"/>
  <c r="C859" i="1"/>
  <c r="C987" i="1"/>
  <c r="C1100" i="1"/>
  <c r="C437" i="1"/>
  <c r="E13" i="1"/>
  <c r="C14" i="1"/>
  <c r="C18" i="1"/>
  <c r="C22" i="1"/>
  <c r="C26" i="1"/>
  <c r="C30" i="1"/>
  <c r="C34" i="1"/>
  <c r="C38" i="1"/>
  <c r="C42" i="1"/>
  <c r="C46" i="1"/>
  <c r="C50" i="1"/>
  <c r="J50" i="1" s="1"/>
  <c r="C54" i="1"/>
  <c r="J54" i="1" s="1"/>
  <c r="C58" i="1"/>
  <c r="J58" i="1" s="1"/>
  <c r="C62" i="1"/>
  <c r="J62" i="1" s="1"/>
  <c r="C66" i="1"/>
  <c r="J66" i="1" s="1"/>
  <c r="C70" i="1"/>
  <c r="J70" i="1" s="1"/>
  <c r="C74" i="1"/>
  <c r="J74" i="1" s="1"/>
  <c r="C78" i="1"/>
  <c r="J78" i="1" s="1"/>
  <c r="C82" i="1"/>
  <c r="J82" i="1" s="1"/>
  <c r="C86" i="1"/>
  <c r="J86" i="1" s="1"/>
  <c r="C90" i="1"/>
  <c r="J90" i="1" s="1"/>
  <c r="C94" i="1"/>
  <c r="J94" i="1" s="1"/>
  <c r="C98" i="1"/>
  <c r="J98" i="1" s="1"/>
  <c r="C102" i="1"/>
  <c r="J102" i="1" s="1"/>
  <c r="C106" i="1"/>
  <c r="J106" i="1" s="1"/>
  <c r="C15" i="1"/>
  <c r="C19" i="1"/>
  <c r="C23" i="1"/>
  <c r="C27" i="1"/>
  <c r="C31" i="1"/>
  <c r="C35" i="1"/>
  <c r="C39" i="1"/>
  <c r="C43" i="1"/>
  <c r="C47" i="1"/>
  <c r="C51" i="1"/>
  <c r="J51" i="1" s="1"/>
  <c r="C55" i="1"/>
  <c r="J55" i="1" s="1"/>
  <c r="C59" i="1"/>
  <c r="J59" i="1" s="1"/>
  <c r="C63" i="1"/>
  <c r="J63" i="1" s="1"/>
  <c r="C67" i="1"/>
  <c r="J67" i="1" s="1"/>
  <c r="C71" i="1"/>
  <c r="J71" i="1" s="1"/>
  <c r="C75" i="1"/>
  <c r="J75" i="1" s="1"/>
  <c r="C79" i="1"/>
  <c r="J79" i="1" s="1"/>
  <c r="C83" i="1"/>
  <c r="J83" i="1" s="1"/>
  <c r="C87" i="1"/>
  <c r="J87" i="1" s="1"/>
  <c r="C91" i="1"/>
  <c r="J91" i="1" s="1"/>
  <c r="C95" i="1"/>
  <c r="J95" i="1" s="1"/>
  <c r="C99" i="1"/>
  <c r="J99" i="1" s="1"/>
  <c r="C103" i="1"/>
  <c r="J103" i="1" s="1"/>
  <c r="C107" i="1"/>
  <c r="J107" i="1" s="1"/>
  <c r="C111" i="1"/>
  <c r="J111" i="1" s="1"/>
  <c r="C115" i="1"/>
  <c r="J115" i="1" s="1"/>
  <c r="C16" i="1"/>
  <c r="C20" i="1"/>
  <c r="C24" i="1"/>
  <c r="C28" i="1"/>
  <c r="C32" i="1"/>
  <c r="C36" i="1"/>
  <c r="C40" i="1"/>
  <c r="C44" i="1"/>
  <c r="C48" i="1"/>
  <c r="C52" i="1"/>
  <c r="J52" i="1" s="1"/>
  <c r="C56" i="1"/>
  <c r="J56" i="1" s="1"/>
  <c r="C60" i="1"/>
  <c r="C64" i="1"/>
  <c r="J64" i="1" s="1"/>
  <c r="C68" i="1"/>
  <c r="J68" i="1" s="1"/>
  <c r="C72" i="1"/>
  <c r="C76" i="1"/>
  <c r="J76" i="1" s="1"/>
  <c r="C80" i="1"/>
  <c r="J80" i="1" s="1"/>
  <c r="C84" i="1"/>
  <c r="C88" i="1"/>
  <c r="J88" i="1" s="1"/>
  <c r="C92" i="1"/>
  <c r="J92" i="1" s="1"/>
  <c r="C96" i="1"/>
  <c r="C100" i="1"/>
  <c r="J100" i="1" s="1"/>
  <c r="C104" i="1"/>
  <c r="J104" i="1" s="1"/>
  <c r="C108" i="1"/>
  <c r="C112" i="1"/>
  <c r="J112" i="1" s="1"/>
  <c r="C116" i="1"/>
  <c r="J116" i="1" s="1"/>
  <c r="C120" i="1"/>
  <c r="C124" i="1"/>
  <c r="J124" i="1" s="1"/>
  <c r="C128" i="1"/>
  <c r="J128" i="1" s="1"/>
  <c r="C132" i="1"/>
  <c r="C136" i="1"/>
  <c r="J136" i="1" s="1"/>
  <c r="C140" i="1"/>
  <c r="J140" i="1" s="1"/>
  <c r="C144" i="1"/>
  <c r="C148" i="1"/>
  <c r="J148" i="1" s="1"/>
  <c r="C152" i="1"/>
  <c r="J152" i="1" s="1"/>
  <c r="C156" i="1"/>
  <c r="C160" i="1"/>
  <c r="J160" i="1" s="1"/>
  <c r="C164" i="1"/>
  <c r="J164" i="1" s="1"/>
  <c r="C168" i="1"/>
  <c r="C172" i="1"/>
  <c r="J172" i="1" s="1"/>
  <c r="C176" i="1"/>
  <c r="J176" i="1" s="1"/>
  <c r="C180" i="1"/>
  <c r="C184" i="1"/>
  <c r="J184" i="1" s="1"/>
  <c r="C188" i="1"/>
  <c r="J188" i="1" s="1"/>
  <c r="C192" i="1"/>
  <c r="C196" i="1"/>
  <c r="J196" i="1" s="1"/>
  <c r="C200" i="1"/>
  <c r="J200" i="1" s="1"/>
  <c r="C204" i="1"/>
  <c r="C208" i="1"/>
  <c r="J208" i="1" s="1"/>
  <c r="C212" i="1"/>
  <c r="J212" i="1" s="1"/>
  <c r="C216" i="1"/>
  <c r="C220" i="1"/>
  <c r="J220" i="1" s="1"/>
  <c r="C224" i="1"/>
  <c r="J224" i="1" s="1"/>
  <c r="C228" i="1"/>
  <c r="C232" i="1"/>
  <c r="J232" i="1" s="1"/>
  <c r="C236" i="1"/>
  <c r="J236" i="1" s="1"/>
  <c r="C240" i="1"/>
  <c r="C244" i="1"/>
  <c r="J244" i="1" s="1"/>
  <c r="C248" i="1"/>
  <c r="J248" i="1" s="1"/>
  <c r="C252" i="1"/>
  <c r="C256" i="1"/>
  <c r="J256" i="1" s="1"/>
  <c r="C260" i="1"/>
  <c r="J260" i="1" s="1"/>
  <c r="C264" i="1"/>
  <c r="C268" i="1"/>
  <c r="J268" i="1" s="1"/>
  <c r="C272" i="1"/>
  <c r="J272" i="1" s="1"/>
  <c r="C276" i="1"/>
  <c r="C280" i="1"/>
  <c r="J280" i="1" s="1"/>
  <c r="C284" i="1"/>
  <c r="J284" i="1" s="1"/>
  <c r="C288" i="1"/>
  <c r="C292" i="1"/>
  <c r="J292" i="1" s="1"/>
  <c r="C296" i="1"/>
  <c r="J296" i="1" s="1"/>
  <c r="C300" i="1"/>
  <c r="C304" i="1"/>
  <c r="J304" i="1" s="1"/>
  <c r="C308" i="1"/>
  <c r="J308" i="1" s="1"/>
  <c r="C312" i="1"/>
  <c r="C316" i="1"/>
  <c r="C320" i="1"/>
  <c r="C324" i="1"/>
  <c r="C328" i="1"/>
  <c r="C332" i="1"/>
  <c r="C336" i="1"/>
  <c r="C340" i="1"/>
  <c r="C344" i="1"/>
  <c r="C348" i="1"/>
  <c r="C17" i="1"/>
  <c r="C33" i="1"/>
  <c r="C49" i="1"/>
  <c r="J49" i="1" s="1"/>
  <c r="C65" i="1"/>
  <c r="J65" i="1" s="1"/>
  <c r="C81" i="1"/>
  <c r="J81" i="1" s="1"/>
  <c r="C97" i="1"/>
  <c r="J97" i="1" s="1"/>
  <c r="C110" i="1"/>
  <c r="J110" i="1" s="1"/>
  <c r="C118" i="1"/>
  <c r="J118" i="1" s="1"/>
  <c r="C123" i="1"/>
  <c r="J123" i="1" s="1"/>
  <c r="C129" i="1"/>
  <c r="J129" i="1" s="1"/>
  <c r="C134" i="1"/>
  <c r="J134" i="1" s="1"/>
  <c r="C139" i="1"/>
  <c r="J139" i="1" s="1"/>
  <c r="C145" i="1"/>
  <c r="J145" i="1" s="1"/>
  <c r="C150" i="1"/>
  <c r="J150" i="1" s="1"/>
  <c r="C155" i="1"/>
  <c r="J155" i="1" s="1"/>
  <c r="C161" i="1"/>
  <c r="J161" i="1" s="1"/>
  <c r="C166" i="1"/>
  <c r="J166" i="1" s="1"/>
  <c r="C171" i="1"/>
  <c r="J171" i="1" s="1"/>
  <c r="C177" i="1"/>
  <c r="J177" i="1" s="1"/>
  <c r="C182" i="1"/>
  <c r="J182" i="1" s="1"/>
  <c r="C187" i="1"/>
  <c r="J187" i="1" s="1"/>
  <c r="C193" i="1"/>
  <c r="J193" i="1" s="1"/>
  <c r="C198" i="1"/>
  <c r="J198" i="1" s="1"/>
  <c r="C203" i="1"/>
  <c r="J203" i="1" s="1"/>
  <c r="C209" i="1"/>
  <c r="J209" i="1" s="1"/>
  <c r="C214" i="1"/>
  <c r="J214" i="1" s="1"/>
  <c r="C219" i="1"/>
  <c r="J219" i="1" s="1"/>
  <c r="C225" i="1"/>
  <c r="J225" i="1" s="1"/>
  <c r="C230" i="1"/>
  <c r="J230" i="1" s="1"/>
  <c r="C235" i="1"/>
  <c r="J235" i="1" s="1"/>
  <c r="C241" i="1"/>
  <c r="J241" i="1" s="1"/>
  <c r="C246" i="1"/>
  <c r="J246" i="1" s="1"/>
  <c r="C251" i="1"/>
  <c r="J251" i="1" s="1"/>
  <c r="C257" i="1"/>
  <c r="J257" i="1" s="1"/>
  <c r="C262" i="1"/>
  <c r="J262" i="1" s="1"/>
  <c r="C267" i="1"/>
  <c r="J267" i="1" s="1"/>
  <c r="C273" i="1"/>
  <c r="J273" i="1" s="1"/>
  <c r="C278" i="1"/>
  <c r="J278" i="1" s="1"/>
  <c r="C283" i="1"/>
  <c r="J283" i="1" s="1"/>
  <c r="C289" i="1"/>
  <c r="J289" i="1" s="1"/>
  <c r="C294" i="1"/>
  <c r="J294" i="1" s="1"/>
  <c r="C299" i="1"/>
  <c r="J299" i="1" s="1"/>
  <c r="C305" i="1"/>
  <c r="J305" i="1" s="1"/>
  <c r="C310" i="1"/>
  <c r="J310" i="1" s="1"/>
  <c r="C315" i="1"/>
  <c r="C321" i="1"/>
  <c r="C326" i="1"/>
  <c r="C331" i="1"/>
  <c r="C337" i="1"/>
  <c r="C342" i="1"/>
  <c r="C347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21" i="1"/>
  <c r="C37" i="1"/>
  <c r="C53" i="1"/>
  <c r="J53" i="1" s="1"/>
  <c r="C69" i="1"/>
  <c r="J69" i="1" s="1"/>
  <c r="C85" i="1"/>
  <c r="J85" i="1" s="1"/>
  <c r="C101" i="1"/>
  <c r="J101" i="1" s="1"/>
  <c r="C113" i="1"/>
  <c r="J113" i="1" s="1"/>
  <c r="C119" i="1"/>
  <c r="J119" i="1" s="1"/>
  <c r="C125" i="1"/>
  <c r="J125" i="1" s="1"/>
  <c r="C130" i="1"/>
  <c r="J130" i="1" s="1"/>
  <c r="C135" i="1"/>
  <c r="J135" i="1" s="1"/>
  <c r="C141" i="1"/>
  <c r="J141" i="1" s="1"/>
  <c r="C146" i="1"/>
  <c r="J146" i="1" s="1"/>
  <c r="C151" i="1"/>
  <c r="J151" i="1" s="1"/>
  <c r="C157" i="1"/>
  <c r="J157" i="1" s="1"/>
  <c r="C162" i="1"/>
  <c r="J162" i="1" s="1"/>
  <c r="C167" i="1"/>
  <c r="J167" i="1" s="1"/>
  <c r="C173" i="1"/>
  <c r="J173" i="1" s="1"/>
  <c r="C178" i="1"/>
  <c r="J178" i="1" s="1"/>
  <c r="C183" i="1"/>
  <c r="J183" i="1" s="1"/>
  <c r="C189" i="1"/>
  <c r="J189" i="1" s="1"/>
  <c r="C194" i="1"/>
  <c r="J194" i="1" s="1"/>
  <c r="C199" i="1"/>
  <c r="J199" i="1" s="1"/>
  <c r="C205" i="1"/>
  <c r="J205" i="1" s="1"/>
  <c r="C210" i="1"/>
  <c r="J210" i="1" s="1"/>
  <c r="C215" i="1"/>
  <c r="J215" i="1" s="1"/>
  <c r="C221" i="1"/>
  <c r="J221" i="1" s="1"/>
  <c r="C226" i="1"/>
  <c r="J226" i="1" s="1"/>
  <c r="C231" i="1"/>
  <c r="J231" i="1" s="1"/>
  <c r="C237" i="1"/>
  <c r="J237" i="1" s="1"/>
  <c r="C242" i="1"/>
  <c r="J242" i="1" s="1"/>
  <c r="C247" i="1"/>
  <c r="J247" i="1" s="1"/>
  <c r="C253" i="1"/>
  <c r="J253" i="1" s="1"/>
  <c r="C258" i="1"/>
  <c r="J258" i="1" s="1"/>
  <c r="C263" i="1"/>
  <c r="J263" i="1" s="1"/>
  <c r="C269" i="1"/>
  <c r="J269" i="1" s="1"/>
  <c r="C274" i="1"/>
  <c r="J274" i="1" s="1"/>
  <c r="C279" i="1"/>
  <c r="J279" i="1" s="1"/>
  <c r="C285" i="1"/>
  <c r="J285" i="1" s="1"/>
  <c r="C290" i="1"/>
  <c r="J290" i="1" s="1"/>
  <c r="C295" i="1"/>
  <c r="J295" i="1" s="1"/>
  <c r="C301" i="1"/>
  <c r="J301" i="1" s="1"/>
  <c r="C306" i="1"/>
  <c r="J306" i="1" s="1"/>
  <c r="C311" i="1"/>
  <c r="J311" i="1" s="1"/>
  <c r="C317" i="1"/>
  <c r="C322" i="1"/>
  <c r="C327" i="1"/>
  <c r="C333" i="1"/>
  <c r="C338" i="1"/>
  <c r="C343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25" i="1"/>
  <c r="C13" i="1"/>
  <c r="H13" i="1" s="1"/>
  <c r="C57" i="1"/>
  <c r="J57" i="1" s="1"/>
  <c r="C89" i="1"/>
  <c r="J89" i="1" s="1"/>
  <c r="C114" i="1"/>
  <c r="J114" i="1" s="1"/>
  <c r="C126" i="1"/>
  <c r="J126" i="1" s="1"/>
  <c r="C137" i="1"/>
  <c r="J137" i="1" s="1"/>
  <c r="C147" i="1"/>
  <c r="J147" i="1" s="1"/>
  <c r="C158" i="1"/>
  <c r="J158" i="1" s="1"/>
  <c r="C169" i="1"/>
  <c r="J169" i="1" s="1"/>
  <c r="C179" i="1"/>
  <c r="J179" i="1" s="1"/>
  <c r="C190" i="1"/>
  <c r="J190" i="1" s="1"/>
  <c r="C201" i="1"/>
  <c r="J201" i="1" s="1"/>
  <c r="C211" i="1"/>
  <c r="J211" i="1" s="1"/>
  <c r="C222" i="1"/>
  <c r="J222" i="1" s="1"/>
  <c r="C233" i="1"/>
  <c r="J233" i="1" s="1"/>
  <c r="C243" i="1"/>
  <c r="J243" i="1" s="1"/>
  <c r="C254" i="1"/>
  <c r="J254" i="1" s="1"/>
  <c r="C265" i="1"/>
  <c r="J265" i="1" s="1"/>
  <c r="C275" i="1"/>
  <c r="J275" i="1" s="1"/>
  <c r="C286" i="1"/>
  <c r="J286" i="1" s="1"/>
  <c r="C297" i="1"/>
  <c r="J297" i="1" s="1"/>
  <c r="C307" i="1"/>
  <c r="J307" i="1" s="1"/>
  <c r="C318" i="1"/>
  <c r="C329" i="1"/>
  <c r="C339" i="1"/>
  <c r="C350" i="1"/>
  <c r="C358" i="1"/>
  <c r="C366" i="1"/>
  <c r="C374" i="1"/>
  <c r="C382" i="1"/>
  <c r="C390" i="1"/>
  <c r="C398" i="1"/>
  <c r="C406" i="1"/>
  <c r="C29" i="1"/>
  <c r="C61" i="1"/>
  <c r="J61" i="1" s="1"/>
  <c r="C93" i="1"/>
  <c r="J93" i="1" s="1"/>
  <c r="C117" i="1"/>
  <c r="J117" i="1" s="1"/>
  <c r="C127" i="1"/>
  <c r="J127" i="1" s="1"/>
  <c r="C138" i="1"/>
  <c r="J138" i="1" s="1"/>
  <c r="C149" i="1"/>
  <c r="J149" i="1" s="1"/>
  <c r="C159" i="1"/>
  <c r="J159" i="1" s="1"/>
  <c r="C170" i="1"/>
  <c r="J170" i="1" s="1"/>
  <c r="C181" i="1"/>
  <c r="J181" i="1" s="1"/>
  <c r="C191" i="1"/>
  <c r="J191" i="1" s="1"/>
  <c r="C202" i="1"/>
  <c r="J202" i="1" s="1"/>
  <c r="C213" i="1"/>
  <c r="J213" i="1" s="1"/>
  <c r="C223" i="1"/>
  <c r="J223" i="1" s="1"/>
  <c r="C234" i="1"/>
  <c r="J234" i="1" s="1"/>
  <c r="C245" i="1"/>
  <c r="J245" i="1" s="1"/>
  <c r="C255" i="1"/>
  <c r="J255" i="1" s="1"/>
  <c r="C266" i="1"/>
  <c r="J266" i="1" s="1"/>
  <c r="C277" i="1"/>
  <c r="J277" i="1" s="1"/>
  <c r="C287" i="1"/>
  <c r="J287" i="1" s="1"/>
  <c r="C298" i="1"/>
  <c r="J298" i="1" s="1"/>
  <c r="C309" i="1"/>
  <c r="J309" i="1" s="1"/>
  <c r="C319" i="1"/>
  <c r="C330" i="1"/>
  <c r="C341" i="1"/>
  <c r="C351" i="1"/>
  <c r="C359" i="1"/>
  <c r="C367" i="1"/>
  <c r="C375" i="1"/>
  <c r="C383" i="1"/>
  <c r="C391" i="1"/>
  <c r="C399" i="1"/>
  <c r="C407" i="1"/>
  <c r="C41" i="1"/>
  <c r="C313" i="1"/>
  <c r="C362" i="1"/>
  <c r="C378" i="1"/>
  <c r="C394" i="1"/>
  <c r="C73" i="1"/>
  <c r="J73" i="1" s="1"/>
  <c r="C105" i="1"/>
  <c r="J105" i="1" s="1"/>
  <c r="C121" i="1"/>
  <c r="J121" i="1" s="1"/>
  <c r="C131" i="1"/>
  <c r="J131" i="1" s="1"/>
  <c r="C142" i="1"/>
  <c r="J142" i="1" s="1"/>
  <c r="C153" i="1"/>
  <c r="J153" i="1" s="1"/>
  <c r="C163" i="1"/>
  <c r="J163" i="1" s="1"/>
  <c r="C174" i="1"/>
  <c r="J174" i="1" s="1"/>
  <c r="C185" i="1"/>
  <c r="J185" i="1" s="1"/>
  <c r="C195" i="1"/>
  <c r="J195" i="1" s="1"/>
  <c r="C206" i="1"/>
  <c r="J206" i="1" s="1"/>
  <c r="C217" i="1"/>
  <c r="J217" i="1" s="1"/>
  <c r="C227" i="1"/>
  <c r="J227" i="1" s="1"/>
  <c r="C238" i="1"/>
  <c r="J238" i="1" s="1"/>
  <c r="C249" i="1"/>
  <c r="J249" i="1" s="1"/>
  <c r="C259" i="1"/>
  <c r="J259" i="1" s="1"/>
  <c r="C270" i="1"/>
  <c r="J270" i="1" s="1"/>
  <c r="C281" i="1"/>
  <c r="J281" i="1" s="1"/>
  <c r="C291" i="1"/>
  <c r="J291" i="1" s="1"/>
  <c r="C302" i="1"/>
  <c r="J302" i="1" s="1"/>
  <c r="C323" i="1"/>
  <c r="C334" i="1"/>
  <c r="C345" i="1"/>
  <c r="C354" i="1"/>
  <c r="C370" i="1"/>
  <c r="C386" i="1"/>
  <c r="C402" i="1"/>
  <c r="C45" i="1"/>
  <c r="C133" i="1"/>
  <c r="J133" i="1" s="1"/>
  <c r="C175" i="1"/>
  <c r="J175" i="1" s="1"/>
  <c r="C218" i="1"/>
  <c r="J218" i="1" s="1"/>
  <c r="C261" i="1"/>
  <c r="J261" i="1" s="1"/>
  <c r="C303" i="1"/>
  <c r="J303" i="1" s="1"/>
  <c r="C346" i="1"/>
  <c r="C379" i="1"/>
  <c r="C77" i="1"/>
  <c r="J77" i="1" s="1"/>
  <c r="C143" i="1"/>
  <c r="J143" i="1" s="1"/>
  <c r="C186" i="1"/>
  <c r="J186" i="1" s="1"/>
  <c r="C229" i="1"/>
  <c r="J229" i="1" s="1"/>
  <c r="C271" i="1"/>
  <c r="J271" i="1" s="1"/>
  <c r="C314" i="1"/>
  <c r="C355" i="1"/>
  <c r="C387" i="1"/>
  <c r="C109" i="1"/>
  <c r="J109" i="1" s="1"/>
  <c r="C154" i="1"/>
  <c r="J154" i="1" s="1"/>
  <c r="C197" i="1"/>
  <c r="J197" i="1" s="1"/>
  <c r="C239" i="1"/>
  <c r="J239" i="1" s="1"/>
  <c r="C282" i="1"/>
  <c r="J282" i="1" s="1"/>
  <c r="C325" i="1"/>
  <c r="C363" i="1"/>
  <c r="C395" i="1"/>
  <c r="C122" i="1"/>
  <c r="J122" i="1" s="1"/>
  <c r="C165" i="1"/>
  <c r="J165" i="1" s="1"/>
  <c r="C207" i="1"/>
  <c r="J207" i="1" s="1"/>
  <c r="C250" i="1"/>
  <c r="J250" i="1" s="1"/>
  <c r="C293" i="1"/>
  <c r="J293" i="1" s="1"/>
  <c r="C335" i="1"/>
  <c r="C371" i="1"/>
  <c r="C403" i="1"/>
  <c r="I14" i="1" l="1"/>
  <c r="H14" i="1" s="1"/>
  <c r="P334" i="1"/>
  <c r="P164" i="1"/>
  <c r="P369" i="1"/>
  <c r="P269" i="1"/>
  <c r="P226" i="1"/>
  <c r="P184" i="1"/>
  <c r="P72" i="1"/>
  <c r="P390" i="1"/>
  <c r="P276" i="1"/>
  <c r="P233" i="1"/>
  <c r="P190" i="1"/>
  <c r="P92" i="1"/>
  <c r="P397" i="1"/>
  <c r="P285" i="1"/>
  <c r="P242" i="1"/>
  <c r="P200" i="1"/>
  <c r="P113" i="1"/>
  <c r="P24" i="1"/>
  <c r="P376" i="1"/>
  <c r="P342" i="1"/>
  <c r="P257" i="1"/>
  <c r="P36" i="1"/>
  <c r="P559" i="1"/>
  <c r="P847" i="1"/>
  <c r="P675" i="1"/>
  <c r="P420" i="1"/>
  <c r="P771" i="1"/>
  <c r="P794" i="1"/>
  <c r="P623" i="1"/>
  <c r="P456" i="1"/>
  <c r="P611" i="1"/>
  <c r="P527" i="1"/>
  <c r="P471" i="1"/>
  <c r="P811" i="1"/>
  <c r="P642" i="1"/>
  <c r="P514" i="1"/>
  <c r="P214" i="1"/>
  <c r="P172" i="1"/>
  <c r="P100" i="1"/>
  <c r="P346" i="1"/>
  <c r="P48" i="1"/>
  <c r="P55" i="1"/>
  <c r="P898" i="1"/>
  <c r="P855" i="1"/>
  <c r="P727" i="1"/>
  <c r="P683" i="1"/>
  <c r="P599" i="1"/>
  <c r="P427" i="1"/>
  <c r="P434" i="1"/>
  <c r="P927" i="1"/>
  <c r="P883" i="1"/>
  <c r="P799" i="1"/>
  <c r="P755" i="1"/>
  <c r="P714" i="1"/>
  <c r="P627" i="1"/>
  <c r="P586" i="1"/>
  <c r="P543" i="1"/>
  <c r="P499" i="1"/>
  <c r="P437" i="1"/>
  <c r="P902" i="1"/>
  <c r="P870" i="1"/>
  <c r="P742" i="1"/>
  <c r="P646" i="1"/>
  <c r="P486" i="1"/>
  <c r="P474" i="1"/>
  <c r="P909" i="1"/>
  <c r="P813" i="1"/>
  <c r="P685" i="1"/>
  <c r="P653" i="1"/>
  <c r="P404" i="1"/>
  <c r="P324" i="1"/>
  <c r="P302" i="1"/>
  <c r="P322" i="1"/>
  <c r="P141" i="1"/>
  <c r="P358" i="1"/>
  <c r="P328" i="1"/>
  <c r="P157" i="1"/>
  <c r="P392" i="1"/>
  <c r="P321" i="1"/>
  <c r="P236" i="1"/>
  <c r="P193" i="1"/>
  <c r="P129" i="1"/>
  <c r="P379" i="1"/>
  <c r="P325" i="1"/>
  <c r="P240" i="1"/>
  <c r="P133" i="1"/>
  <c r="P343" i="1"/>
  <c r="P295" i="1"/>
  <c r="P231" i="1"/>
  <c r="P183" i="1"/>
  <c r="P119" i="1"/>
  <c r="P71" i="1"/>
  <c r="P114" i="1"/>
  <c r="P66" i="1"/>
  <c r="P18" i="1"/>
  <c r="P65" i="1"/>
  <c r="P17" i="1"/>
  <c r="P770" i="1"/>
  <c r="P418" i="1"/>
  <c r="P935" i="1"/>
  <c r="P807" i="1"/>
  <c r="P679" i="1"/>
  <c r="P551" i="1"/>
  <c r="P774" i="1"/>
  <c r="P893" i="1"/>
  <c r="P845" i="1"/>
  <c r="P797" i="1"/>
  <c r="P749" i="1"/>
  <c r="P701" i="1"/>
  <c r="P637" i="1"/>
  <c r="P589" i="1"/>
  <c r="P525" i="1"/>
  <c r="P477" i="1"/>
  <c r="P936" i="1"/>
  <c r="P888" i="1"/>
  <c r="P840" i="1"/>
  <c r="P792" i="1"/>
  <c r="P744" i="1"/>
  <c r="P696" i="1"/>
  <c r="P648" i="1"/>
  <c r="P600" i="1"/>
  <c r="P552" i="1"/>
  <c r="P536" i="1"/>
  <c r="P520" i="1"/>
  <c r="P504" i="1"/>
  <c r="P108" i="1"/>
  <c r="P44" i="1"/>
  <c r="P173" i="1"/>
  <c r="P40" i="1"/>
  <c r="P222" i="1"/>
  <c r="P60" i="1"/>
  <c r="P317" i="1"/>
  <c r="P189" i="1"/>
  <c r="P146" i="1"/>
  <c r="P88" i="1"/>
  <c r="P372" i="1"/>
  <c r="P356" i="1"/>
  <c r="P337" i="1"/>
  <c r="P316" i="1"/>
  <c r="P294" i="1"/>
  <c r="P273" i="1"/>
  <c r="P252" i="1"/>
  <c r="P230" i="1"/>
  <c r="P209" i="1"/>
  <c r="P188" i="1"/>
  <c r="P166" i="1"/>
  <c r="P145" i="1"/>
  <c r="P124" i="1"/>
  <c r="P84" i="1"/>
  <c r="P20" i="1"/>
  <c r="P391" i="1"/>
  <c r="P375" i="1"/>
  <c r="P359" i="1"/>
  <c r="P341" i="1"/>
  <c r="P320" i="1"/>
  <c r="P298" i="1"/>
  <c r="P277" i="1"/>
  <c r="P256" i="1"/>
  <c r="P234" i="1"/>
  <c r="P213" i="1"/>
  <c r="P192" i="1"/>
  <c r="P170" i="1"/>
  <c r="P149" i="1"/>
  <c r="P128" i="1"/>
  <c r="P96" i="1"/>
  <c r="P32" i="1"/>
  <c r="P339" i="1"/>
  <c r="P323" i="1"/>
  <c r="P307" i="1"/>
  <c r="P291" i="1"/>
  <c r="P275" i="1"/>
  <c r="P259" i="1"/>
  <c r="P243" i="1"/>
  <c r="P227" i="1"/>
  <c r="P211" i="1"/>
  <c r="P195" i="1"/>
  <c r="P179" i="1"/>
  <c r="P163" i="1"/>
  <c r="P147" i="1"/>
  <c r="P131" i="1"/>
  <c r="P115" i="1"/>
  <c r="P99" i="1"/>
  <c r="P83" i="1"/>
  <c r="P67" i="1"/>
  <c r="P51" i="1"/>
  <c r="P35" i="1"/>
  <c r="P19" i="1"/>
  <c r="P110" i="1"/>
  <c r="P94" i="1"/>
  <c r="P78" i="1"/>
  <c r="P62" i="1"/>
  <c r="P46" i="1"/>
  <c r="P30" i="1"/>
  <c r="P14" i="1"/>
  <c r="P93" i="1"/>
  <c r="P77" i="1"/>
  <c r="P61" i="1"/>
  <c r="P45" i="1"/>
  <c r="P29" i="1"/>
  <c r="P13" i="1"/>
  <c r="P803" i="1"/>
  <c r="P634" i="1"/>
  <c r="P458" i="1"/>
  <c r="P643" i="1"/>
  <c r="P444" i="1"/>
  <c r="P922" i="1"/>
  <c r="P751" i="1"/>
  <c r="P579" i="1"/>
  <c r="P815" i="1"/>
  <c r="P440" i="1"/>
  <c r="P911" i="1"/>
  <c r="P739" i="1"/>
  <c r="P570" i="1"/>
  <c r="P515" i="1"/>
  <c r="P930" i="1"/>
  <c r="P887" i="1"/>
  <c r="P843" i="1"/>
  <c r="P802" i="1"/>
  <c r="P759" i="1"/>
  <c r="P715" i="1"/>
  <c r="P674" i="1"/>
  <c r="P631" i="1"/>
  <c r="P587" i="1"/>
  <c r="P546" i="1"/>
  <c r="P503" i="1"/>
  <c r="P455" i="1"/>
  <c r="P419" i="1"/>
  <c r="P446" i="1"/>
  <c r="P430" i="1"/>
  <c r="P414" i="1"/>
  <c r="P915" i="1"/>
  <c r="P874" i="1"/>
  <c r="P831" i="1"/>
  <c r="P787" i="1"/>
  <c r="P746" i="1"/>
  <c r="P703" i="1"/>
  <c r="P659" i="1"/>
  <c r="P618" i="1"/>
  <c r="P575" i="1"/>
  <c r="P531" i="1"/>
  <c r="P490" i="1"/>
  <c r="P443" i="1"/>
  <c r="P415" i="1"/>
  <c r="P449" i="1"/>
  <c r="P433" i="1"/>
  <c r="P417" i="1"/>
  <c r="P923" i="1"/>
  <c r="P882" i="1"/>
  <c r="P839" i="1"/>
  <c r="P795" i="1"/>
  <c r="P754" i="1"/>
  <c r="P711" i="1"/>
  <c r="P667" i="1"/>
  <c r="P626" i="1"/>
  <c r="P583" i="1"/>
  <c r="P539" i="1"/>
  <c r="P498" i="1"/>
  <c r="P926" i="1"/>
  <c r="P894" i="1"/>
  <c r="P862" i="1"/>
  <c r="P830" i="1"/>
  <c r="P798" i="1"/>
  <c r="P766" i="1"/>
  <c r="P734" i="1"/>
  <c r="P702" i="1"/>
  <c r="P670" i="1"/>
  <c r="P638" i="1"/>
  <c r="P606" i="1"/>
  <c r="P574" i="1"/>
  <c r="P542" i="1"/>
  <c r="P510" i="1"/>
  <c r="P478" i="1"/>
  <c r="P466" i="1"/>
  <c r="P937" i="1"/>
  <c r="P921" i="1"/>
  <c r="P905" i="1"/>
  <c r="P889" i="1"/>
  <c r="P873" i="1"/>
  <c r="P857" i="1"/>
  <c r="P841" i="1"/>
  <c r="P825" i="1"/>
  <c r="P809" i="1"/>
  <c r="P793" i="1"/>
  <c r="P777" i="1"/>
  <c r="P761" i="1"/>
  <c r="P745" i="1"/>
  <c r="P729" i="1"/>
  <c r="P713" i="1"/>
  <c r="P697" i="1"/>
  <c r="P681" i="1"/>
  <c r="P665" i="1"/>
  <c r="P649" i="1"/>
  <c r="P633" i="1"/>
  <c r="P617" i="1"/>
  <c r="P601" i="1"/>
  <c r="P585" i="1"/>
  <c r="P569" i="1"/>
  <c r="P553" i="1"/>
  <c r="P537" i="1"/>
  <c r="P521" i="1"/>
  <c r="P505" i="1"/>
  <c r="P489" i="1"/>
  <c r="P473" i="1"/>
  <c r="P932" i="1"/>
  <c r="P916" i="1"/>
  <c r="P900" i="1"/>
  <c r="P884" i="1"/>
  <c r="P868" i="1"/>
  <c r="P852" i="1"/>
  <c r="P836" i="1"/>
  <c r="P820" i="1"/>
  <c r="P804" i="1"/>
  <c r="P788" i="1"/>
  <c r="P772" i="1"/>
  <c r="P756" i="1"/>
  <c r="P740" i="1"/>
  <c r="P724" i="1"/>
  <c r="P708" i="1"/>
  <c r="P692" i="1"/>
  <c r="P676" i="1"/>
  <c r="P660" i="1"/>
  <c r="P644" i="1"/>
  <c r="P628" i="1"/>
  <c r="P612" i="1"/>
  <c r="P596" i="1"/>
  <c r="P580" i="1"/>
  <c r="P564" i="1"/>
  <c r="P548" i="1"/>
  <c r="P532" i="1"/>
  <c r="P516" i="1"/>
  <c r="P500" i="1"/>
  <c r="P484" i="1"/>
  <c r="P468" i="1"/>
  <c r="P153" i="1"/>
  <c r="P142" i="1"/>
  <c r="P312" i="1"/>
  <c r="P148" i="1"/>
  <c r="P365" i="1"/>
  <c r="P360" i="1"/>
  <c r="P300" i="1"/>
  <c r="P150" i="1"/>
  <c r="P363" i="1"/>
  <c r="P304" i="1"/>
  <c r="P261" i="1"/>
  <c r="P197" i="1"/>
  <c r="P154" i="1"/>
  <c r="P311" i="1"/>
  <c r="P263" i="1"/>
  <c r="P215" i="1"/>
  <c r="P167" i="1"/>
  <c r="P135" i="1"/>
  <c r="P87" i="1"/>
  <c r="P39" i="1"/>
  <c r="P98" i="1"/>
  <c r="P50" i="1"/>
  <c r="P97" i="1"/>
  <c r="P49" i="1"/>
  <c r="P416" i="1"/>
  <c r="P783" i="1"/>
  <c r="P939" i="1"/>
  <c r="P555" i="1"/>
  <c r="P467" i="1"/>
  <c r="P450" i="1"/>
  <c r="P671" i="1"/>
  <c r="P423" i="1"/>
  <c r="P421" i="1"/>
  <c r="P850" i="1"/>
  <c r="P722" i="1"/>
  <c r="P594" i="1"/>
  <c r="P459" i="1"/>
  <c r="P806" i="1"/>
  <c r="P710" i="1"/>
  <c r="P614" i="1"/>
  <c r="P550" i="1"/>
  <c r="P861" i="1"/>
  <c r="P765" i="1"/>
  <c r="P717" i="1"/>
  <c r="P669" i="1"/>
  <c r="P621" i="1"/>
  <c r="P573" i="1"/>
  <c r="P541" i="1"/>
  <c r="P493" i="1"/>
  <c r="P904" i="1"/>
  <c r="P856" i="1"/>
  <c r="P808" i="1"/>
  <c r="P760" i="1"/>
  <c r="P712" i="1"/>
  <c r="P664" i="1"/>
  <c r="P616" i="1"/>
  <c r="P584" i="1"/>
  <c r="P472" i="1"/>
  <c r="P121" i="1"/>
  <c r="P270" i="1"/>
  <c r="P260" i="1"/>
  <c r="P301" i="1"/>
  <c r="P216" i="1"/>
  <c r="P393" i="1"/>
  <c r="P350" i="1"/>
  <c r="P265" i="1"/>
  <c r="P180" i="1"/>
  <c r="P357" i="1"/>
  <c r="P232" i="1"/>
  <c r="P388" i="1"/>
  <c r="P402" i="1"/>
  <c r="P249" i="1"/>
  <c r="P394" i="1"/>
  <c r="P238" i="1"/>
  <c r="P386" i="1"/>
  <c r="P228" i="1"/>
  <c r="P378" i="1"/>
  <c r="P217" i="1"/>
  <c r="P401" i="1"/>
  <c r="P344" i="1"/>
  <c r="P290" i="1"/>
  <c r="P248" i="1"/>
  <c r="P205" i="1"/>
  <c r="P162" i="1"/>
  <c r="P120" i="1"/>
  <c r="P377" i="1"/>
  <c r="P406" i="1"/>
  <c r="P374" i="1"/>
  <c r="P340" i="1"/>
  <c r="P297" i="1"/>
  <c r="P254" i="1"/>
  <c r="P212" i="1"/>
  <c r="P169" i="1"/>
  <c r="P126" i="1"/>
  <c r="P28" i="1"/>
  <c r="P381" i="1"/>
  <c r="P349" i="1"/>
  <c r="P306" i="1"/>
  <c r="P264" i="1"/>
  <c r="P221" i="1"/>
  <c r="P178" i="1"/>
  <c r="P136" i="1"/>
  <c r="P56" i="1"/>
  <c r="P400" i="1"/>
  <c r="P384" i="1"/>
  <c r="P368" i="1"/>
  <c r="P352" i="1"/>
  <c r="P332" i="1"/>
  <c r="P310" i="1"/>
  <c r="P289" i="1"/>
  <c r="P268" i="1"/>
  <c r="P246" i="1"/>
  <c r="P225" i="1"/>
  <c r="P204" i="1"/>
  <c r="P182" i="1"/>
  <c r="P161" i="1"/>
  <c r="P140" i="1"/>
  <c r="P118" i="1"/>
  <c r="P68" i="1"/>
  <c r="P403" i="1"/>
  <c r="P387" i="1"/>
  <c r="P371" i="1"/>
  <c r="P355" i="1"/>
  <c r="P336" i="1"/>
  <c r="P314" i="1"/>
  <c r="P293" i="1"/>
  <c r="P272" i="1"/>
  <c r="P250" i="1"/>
  <c r="P229" i="1"/>
  <c r="P208" i="1"/>
  <c r="P186" i="1"/>
  <c r="P165" i="1"/>
  <c r="P144" i="1"/>
  <c r="P122" i="1"/>
  <c r="P80" i="1"/>
  <c r="P16" i="1"/>
  <c r="P335" i="1"/>
  <c r="P319" i="1"/>
  <c r="P303" i="1"/>
  <c r="P287" i="1"/>
  <c r="P271" i="1"/>
  <c r="P255" i="1"/>
  <c r="P239" i="1"/>
  <c r="P223" i="1"/>
  <c r="P207" i="1"/>
  <c r="P191" i="1"/>
  <c r="P175" i="1"/>
  <c r="P159" i="1"/>
  <c r="P143" i="1"/>
  <c r="P127" i="1"/>
  <c r="P111" i="1"/>
  <c r="P95" i="1"/>
  <c r="P79" i="1"/>
  <c r="P63" i="1"/>
  <c r="P47" i="1"/>
  <c r="P31" i="1"/>
  <c r="P15" i="1"/>
  <c r="P106" i="1"/>
  <c r="P90" i="1"/>
  <c r="P74" i="1"/>
  <c r="P58" i="1"/>
  <c r="P42" i="1"/>
  <c r="P26" i="1"/>
  <c r="P105" i="1"/>
  <c r="P89" i="1"/>
  <c r="P73" i="1"/>
  <c r="P57" i="1"/>
  <c r="P41" i="1"/>
  <c r="P25" i="1"/>
  <c r="P858" i="1"/>
  <c r="P931" i="1"/>
  <c r="P762" i="1"/>
  <c r="P591" i="1"/>
  <c r="P448" i="1"/>
  <c r="P428" i="1"/>
  <c r="P879" i="1"/>
  <c r="P707" i="1"/>
  <c r="P452" i="1"/>
  <c r="P730" i="1"/>
  <c r="P424" i="1"/>
  <c r="P867" i="1"/>
  <c r="P698" i="1"/>
  <c r="P547" i="1"/>
  <c r="P506" i="1"/>
  <c r="P919" i="1"/>
  <c r="P875" i="1"/>
  <c r="P834" i="1"/>
  <c r="P791" i="1"/>
  <c r="P747" i="1"/>
  <c r="P706" i="1"/>
  <c r="P663" i="1"/>
  <c r="P619" i="1"/>
  <c r="P578" i="1"/>
  <c r="P535" i="1"/>
  <c r="P491" i="1"/>
  <c r="P447" i="1"/>
  <c r="P407" i="1"/>
  <c r="P442" i="1"/>
  <c r="P426" i="1"/>
  <c r="P410" i="1"/>
  <c r="P906" i="1"/>
  <c r="P863" i="1"/>
  <c r="P819" i="1"/>
  <c r="P778" i="1"/>
  <c r="P735" i="1"/>
  <c r="P691" i="1"/>
  <c r="P650" i="1"/>
  <c r="P607" i="1"/>
  <c r="P563" i="1"/>
  <c r="P522" i="1"/>
  <c r="P479" i="1"/>
  <c r="P439" i="1"/>
  <c r="P411" i="1"/>
  <c r="P445" i="1"/>
  <c r="P429" i="1"/>
  <c r="P413" i="1"/>
  <c r="P914" i="1"/>
  <c r="P871" i="1"/>
  <c r="P827" i="1"/>
  <c r="P786" i="1"/>
  <c r="P743" i="1"/>
  <c r="P699" i="1"/>
  <c r="P658" i="1"/>
  <c r="P615" i="1"/>
  <c r="P571" i="1"/>
  <c r="P530" i="1"/>
  <c r="P487" i="1"/>
  <c r="P918" i="1"/>
  <c r="P886" i="1"/>
  <c r="P854" i="1"/>
  <c r="P822" i="1"/>
  <c r="P790" i="1"/>
  <c r="P758" i="1"/>
  <c r="P726" i="1"/>
  <c r="P694" i="1"/>
  <c r="P662" i="1"/>
  <c r="P630" i="1"/>
  <c r="P598" i="1"/>
  <c r="P566" i="1"/>
  <c r="P534" i="1"/>
  <c r="P502" i="1"/>
  <c r="P470" i="1"/>
  <c r="P933" i="1"/>
  <c r="P917" i="1"/>
  <c r="P901" i="1"/>
  <c r="P885" i="1"/>
  <c r="P869" i="1"/>
  <c r="P853" i="1"/>
  <c r="P837" i="1"/>
  <c r="P821" i="1"/>
  <c r="P805" i="1"/>
  <c r="P789" i="1"/>
  <c r="P773" i="1"/>
  <c r="P757" i="1"/>
  <c r="P741" i="1"/>
  <c r="P725" i="1"/>
  <c r="P709" i="1"/>
  <c r="P693" i="1"/>
  <c r="P677" i="1"/>
  <c r="P661" i="1"/>
  <c r="P645" i="1"/>
  <c r="P629" i="1"/>
  <c r="P613" i="1"/>
  <c r="P597" i="1"/>
  <c r="P581" i="1"/>
  <c r="P565" i="1"/>
  <c r="P549" i="1"/>
  <c r="P533" i="1"/>
  <c r="P517" i="1"/>
  <c r="P501" i="1"/>
  <c r="P485" i="1"/>
  <c r="P469" i="1"/>
  <c r="P928" i="1"/>
  <c r="P912" i="1"/>
  <c r="P896" i="1"/>
  <c r="P880" i="1"/>
  <c r="P864" i="1"/>
  <c r="P848" i="1"/>
  <c r="P832" i="1"/>
  <c r="P816" i="1"/>
  <c r="P800" i="1"/>
  <c r="P784" i="1"/>
  <c r="P768" i="1"/>
  <c r="P752" i="1"/>
  <c r="P736" i="1"/>
  <c r="P720" i="1"/>
  <c r="P704" i="1"/>
  <c r="P688" i="1"/>
  <c r="P672" i="1"/>
  <c r="P656" i="1"/>
  <c r="P640" i="1"/>
  <c r="P624" i="1"/>
  <c r="P608" i="1"/>
  <c r="P592" i="1"/>
  <c r="P576" i="1"/>
  <c r="P560" i="1"/>
  <c r="P544" i="1"/>
  <c r="P528" i="1"/>
  <c r="P512" i="1"/>
  <c r="P496" i="1"/>
  <c r="P480" i="1"/>
  <c r="P464" i="1"/>
  <c r="P313" i="1"/>
  <c r="P132" i="1"/>
  <c r="P318" i="1"/>
  <c r="P278" i="1"/>
  <c r="P395" i="1"/>
  <c r="P282" i="1"/>
  <c r="P218" i="1"/>
  <c r="P176" i="1"/>
  <c r="P109" i="1"/>
  <c r="P327" i="1"/>
  <c r="P279" i="1"/>
  <c r="P247" i="1"/>
  <c r="P199" i="1"/>
  <c r="P151" i="1"/>
  <c r="P103" i="1"/>
  <c r="P23" i="1"/>
  <c r="O23" i="1" s="1"/>
  <c r="P82" i="1"/>
  <c r="P34" i="1"/>
  <c r="P81" i="1"/>
  <c r="P33" i="1"/>
  <c r="P842" i="1"/>
  <c r="P451" i="1"/>
  <c r="P453" i="1"/>
  <c r="P891" i="1"/>
  <c r="P763" i="1"/>
  <c r="P635" i="1"/>
  <c r="P507" i="1"/>
  <c r="P934" i="1"/>
  <c r="P838" i="1"/>
  <c r="P678" i="1"/>
  <c r="P582" i="1"/>
  <c r="P518" i="1"/>
  <c r="P925" i="1"/>
  <c r="P877" i="1"/>
  <c r="P829" i="1"/>
  <c r="P781" i="1"/>
  <c r="P733" i="1"/>
  <c r="P605" i="1"/>
  <c r="P557" i="1"/>
  <c r="P509" i="1"/>
  <c r="P461" i="1"/>
  <c r="P920" i="1"/>
  <c r="P872" i="1"/>
  <c r="P824" i="1"/>
  <c r="P776" i="1"/>
  <c r="P728" i="1"/>
  <c r="P680" i="1"/>
  <c r="P632" i="1"/>
  <c r="P568" i="1"/>
  <c r="P488" i="1"/>
  <c r="P292" i="1"/>
  <c r="P281" i="1"/>
  <c r="P76" i="1"/>
  <c r="P353" i="1"/>
  <c r="P258" i="1"/>
  <c r="P130" i="1"/>
  <c r="P382" i="1"/>
  <c r="P308" i="1"/>
  <c r="P137" i="1"/>
  <c r="P389" i="1"/>
  <c r="P274" i="1"/>
  <c r="P370" i="1"/>
  <c r="P206" i="1"/>
  <c r="P362" i="1"/>
  <c r="P196" i="1"/>
  <c r="P354" i="1"/>
  <c r="P185" i="1"/>
  <c r="P345" i="1"/>
  <c r="P174" i="1"/>
  <c r="P385" i="1"/>
  <c r="P333" i="1"/>
  <c r="P280" i="1"/>
  <c r="P237" i="1"/>
  <c r="P194" i="1"/>
  <c r="P152" i="1"/>
  <c r="P104" i="1"/>
  <c r="P361" i="1"/>
  <c r="P398" i="1"/>
  <c r="P366" i="1"/>
  <c r="P329" i="1"/>
  <c r="P286" i="1"/>
  <c r="P244" i="1"/>
  <c r="P201" i="1"/>
  <c r="P158" i="1"/>
  <c r="P116" i="1"/>
  <c r="P405" i="1"/>
  <c r="P373" i="1"/>
  <c r="P338" i="1"/>
  <c r="P296" i="1"/>
  <c r="P253" i="1"/>
  <c r="P210" i="1"/>
  <c r="P168" i="1"/>
  <c r="P125" i="1"/>
  <c r="P12" i="1"/>
  <c r="P396" i="1"/>
  <c r="P380" i="1"/>
  <c r="P364" i="1"/>
  <c r="P348" i="1"/>
  <c r="P326" i="1"/>
  <c r="P305" i="1"/>
  <c r="P284" i="1"/>
  <c r="P262" i="1"/>
  <c r="P241" i="1"/>
  <c r="P220" i="1"/>
  <c r="P198" i="1"/>
  <c r="P177" i="1"/>
  <c r="P156" i="1"/>
  <c r="P134" i="1"/>
  <c r="P112" i="1"/>
  <c r="P52" i="1"/>
  <c r="P399" i="1"/>
  <c r="P383" i="1"/>
  <c r="P367" i="1"/>
  <c r="P351" i="1"/>
  <c r="P330" i="1"/>
  <c r="P309" i="1"/>
  <c r="P288" i="1"/>
  <c r="P266" i="1"/>
  <c r="P245" i="1"/>
  <c r="P224" i="1"/>
  <c r="P202" i="1"/>
  <c r="P181" i="1"/>
  <c r="P160" i="1"/>
  <c r="P138" i="1"/>
  <c r="P117" i="1"/>
  <c r="P64" i="1"/>
  <c r="P347" i="1"/>
  <c r="P331" i="1"/>
  <c r="P315" i="1"/>
  <c r="P299" i="1"/>
  <c r="P283" i="1"/>
  <c r="P267" i="1"/>
  <c r="P251" i="1"/>
  <c r="P235" i="1"/>
  <c r="P219" i="1"/>
  <c r="P203" i="1"/>
  <c r="P187" i="1"/>
  <c r="P171" i="1"/>
  <c r="P155" i="1"/>
  <c r="P139" i="1"/>
  <c r="P123" i="1"/>
  <c r="P107" i="1"/>
  <c r="P91" i="1"/>
  <c r="P75" i="1"/>
  <c r="P59" i="1"/>
  <c r="P43" i="1"/>
  <c r="P27" i="1"/>
  <c r="P102" i="1"/>
  <c r="P86" i="1"/>
  <c r="P70" i="1"/>
  <c r="P54" i="1"/>
  <c r="P38" i="1"/>
  <c r="P22" i="1"/>
  <c r="P101" i="1"/>
  <c r="P85" i="1"/>
  <c r="P69" i="1"/>
  <c r="P53" i="1"/>
  <c r="P37" i="1"/>
  <c r="P21" i="1"/>
  <c r="P436" i="1"/>
  <c r="P687" i="1"/>
  <c r="P890" i="1"/>
  <c r="P719" i="1"/>
  <c r="P483" i="1"/>
  <c r="P899" i="1"/>
  <c r="P432" i="1"/>
  <c r="P412" i="1"/>
  <c r="P835" i="1"/>
  <c r="P666" i="1"/>
  <c r="P602" i="1"/>
  <c r="P408" i="1"/>
  <c r="P826" i="1"/>
  <c r="P655" i="1"/>
  <c r="P538" i="1"/>
  <c r="P495" i="1"/>
  <c r="P907" i="1"/>
  <c r="P866" i="1"/>
  <c r="P823" i="1"/>
  <c r="P779" i="1"/>
  <c r="P738" i="1"/>
  <c r="P695" i="1"/>
  <c r="P651" i="1"/>
  <c r="P610" i="1"/>
  <c r="P567" i="1"/>
  <c r="P523" i="1"/>
  <c r="P482" i="1"/>
  <c r="P435" i="1"/>
  <c r="P454" i="1"/>
  <c r="P438" i="1"/>
  <c r="P422" i="1"/>
  <c r="P938" i="1"/>
  <c r="P895" i="1"/>
  <c r="P851" i="1"/>
  <c r="P810" i="1"/>
  <c r="P767" i="1"/>
  <c r="P723" i="1"/>
  <c r="P682" i="1"/>
  <c r="P639" i="1"/>
  <c r="P595" i="1"/>
  <c r="P554" i="1"/>
  <c r="P511" i="1"/>
  <c r="P463" i="1"/>
  <c r="P431" i="1"/>
  <c r="P457" i="1"/>
  <c r="P441" i="1"/>
  <c r="P425" i="1"/>
  <c r="P409" i="1"/>
  <c r="P903" i="1"/>
  <c r="P859" i="1"/>
  <c r="P818" i="1"/>
  <c r="P775" i="1"/>
  <c r="P731" i="1"/>
  <c r="P690" i="1"/>
  <c r="P647" i="1"/>
  <c r="P603" i="1"/>
  <c r="P562" i="1"/>
  <c r="P519" i="1"/>
  <c r="P475" i="1"/>
  <c r="P910" i="1"/>
  <c r="P878" i="1"/>
  <c r="P846" i="1"/>
  <c r="P814" i="1"/>
  <c r="P782" i="1"/>
  <c r="P750" i="1"/>
  <c r="P718" i="1"/>
  <c r="P686" i="1"/>
  <c r="P654" i="1"/>
  <c r="P622" i="1"/>
  <c r="P590" i="1"/>
  <c r="P558" i="1"/>
  <c r="P526" i="1"/>
  <c r="P494" i="1"/>
  <c r="P462" i="1"/>
  <c r="P929" i="1"/>
  <c r="P913" i="1"/>
  <c r="P897" i="1"/>
  <c r="P881" i="1"/>
  <c r="P865" i="1"/>
  <c r="P849" i="1"/>
  <c r="P833" i="1"/>
  <c r="P817" i="1"/>
  <c r="P801" i="1"/>
  <c r="P785" i="1"/>
  <c r="P769" i="1"/>
  <c r="P753" i="1"/>
  <c r="P737" i="1"/>
  <c r="P721" i="1"/>
  <c r="P705" i="1"/>
  <c r="P689" i="1"/>
  <c r="P673" i="1"/>
  <c r="P657" i="1"/>
  <c r="P641" i="1"/>
  <c r="P625" i="1"/>
  <c r="P609" i="1"/>
  <c r="P593" i="1"/>
  <c r="P577" i="1"/>
  <c r="P561" i="1"/>
  <c r="P545" i="1"/>
  <c r="P529" i="1"/>
  <c r="P513" i="1"/>
  <c r="P497" i="1"/>
  <c r="P481" i="1"/>
  <c r="P465" i="1"/>
  <c r="P924" i="1"/>
  <c r="P908" i="1"/>
  <c r="P892" i="1"/>
  <c r="P876" i="1"/>
  <c r="P860" i="1"/>
  <c r="P844" i="1"/>
  <c r="P828" i="1"/>
  <c r="P812" i="1"/>
  <c r="P796" i="1"/>
  <c r="P780" i="1"/>
  <c r="P764" i="1"/>
  <c r="P748" i="1"/>
  <c r="P732" i="1"/>
  <c r="P716" i="1"/>
  <c r="P700" i="1"/>
  <c r="P684" i="1"/>
  <c r="P668" i="1"/>
  <c r="P652" i="1"/>
  <c r="P636" i="1"/>
  <c r="P620" i="1"/>
  <c r="P604" i="1"/>
  <c r="P588" i="1"/>
  <c r="P572" i="1"/>
  <c r="P556" i="1"/>
  <c r="P540" i="1"/>
  <c r="P524" i="1"/>
  <c r="P508" i="1"/>
  <c r="P492" i="1"/>
  <c r="P476" i="1"/>
  <c r="P460" i="1"/>
  <c r="F13" i="1"/>
  <c r="B24" i="1" l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O35" i="1" s="1"/>
  <c r="G13" i="1"/>
  <c r="E14" i="1" l="1"/>
  <c r="F14" i="1" s="1"/>
  <c r="G14" i="1" s="1"/>
  <c r="N36" i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O47" i="1" s="1"/>
  <c r="B36" i="1"/>
  <c r="E15" i="1" l="1"/>
  <c r="F15" i="1" s="1"/>
  <c r="G15" i="1" s="1"/>
  <c r="I15" i="1"/>
  <c r="H15" i="1" s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O59" i="1" s="1"/>
  <c r="B48" i="1"/>
  <c r="E16" i="1" l="1"/>
  <c r="F16" i="1" s="1"/>
  <c r="G16" i="1" s="1"/>
  <c r="N60" i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O71" i="1" s="1"/>
  <c r="B60" i="1"/>
  <c r="J60" i="1" s="1"/>
  <c r="E17" i="1" l="1"/>
  <c r="F17" i="1" s="1"/>
  <c r="G17" i="1" s="1"/>
  <c r="I16" i="1"/>
  <c r="H16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O83" i="1" s="1"/>
  <c r="B72" i="1"/>
  <c r="E18" i="1" l="1"/>
  <c r="F18" i="1" s="1"/>
  <c r="G18" i="1" s="1"/>
  <c r="I17" i="1"/>
  <c r="H17" i="1" s="1"/>
  <c r="N84" i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O95" i="1" s="1"/>
  <c r="B84" i="1"/>
  <c r="J84" i="1" s="1"/>
  <c r="E19" i="1" l="1"/>
  <c r="F19" i="1" s="1"/>
  <c r="I18" i="1"/>
  <c r="H18" i="1" s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O107" i="1" s="1"/>
  <c r="B96" i="1"/>
  <c r="J96" i="1" s="1"/>
  <c r="G19" i="1"/>
  <c r="I19" i="1" l="1"/>
  <c r="H19" i="1" s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O119" i="1" s="1"/>
  <c r="B108" i="1"/>
  <c r="J108" i="1" s="1"/>
  <c r="E20" i="1"/>
  <c r="F20" i="1" s="1"/>
  <c r="I20" i="1" l="1"/>
  <c r="H20" i="1" s="1"/>
  <c r="I21" i="1" s="1"/>
  <c r="N120" i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O131" i="1" s="1"/>
  <c r="B120" i="1"/>
  <c r="J120" i="1" s="1"/>
  <c r="G20" i="1"/>
  <c r="H21" i="1" l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O143" i="1" s="1"/>
  <c r="B132" i="1"/>
  <c r="J132" i="1" s="1"/>
  <c r="E21" i="1"/>
  <c r="F21" i="1" s="1"/>
  <c r="I22" i="1" l="1"/>
  <c r="H22" i="1" s="1"/>
  <c r="N144" i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O155" i="1" s="1"/>
  <c r="B144" i="1"/>
  <c r="J144" i="1" s="1"/>
  <c r="G21" i="1"/>
  <c r="N156" i="1" l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O167" i="1" s="1"/>
  <c r="B156" i="1"/>
  <c r="J156" i="1" s="1"/>
  <c r="E22" i="1"/>
  <c r="F22" i="1" s="1"/>
  <c r="G22" i="1" l="1"/>
  <c r="I23" i="1"/>
  <c r="H23" i="1" s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O179" i="1" s="1"/>
  <c r="B168" i="1"/>
  <c r="J168" i="1" s="1"/>
  <c r="E23" i="1" l="1"/>
  <c r="F23" i="1" s="1"/>
  <c r="G23" i="1" s="1"/>
  <c r="I24" i="1"/>
  <c r="H24" i="1" s="1"/>
  <c r="N180" i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O191" i="1" s="1"/>
  <c r="B180" i="1"/>
  <c r="J180" i="1" s="1"/>
  <c r="E24" i="1" l="1"/>
  <c r="F24" i="1" s="1"/>
  <c r="G24" i="1" s="1"/>
  <c r="E25" i="1" s="1"/>
  <c r="F25" i="1" s="1"/>
  <c r="G25" i="1" s="1"/>
  <c r="I25" i="1"/>
  <c r="H25" i="1" s="1"/>
  <c r="N192" i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O203" i="1" s="1"/>
  <c r="B192" i="1"/>
  <c r="J192" i="1" s="1"/>
  <c r="I26" i="1" l="1"/>
  <c r="H26" i="1" s="1"/>
  <c r="N204" i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O215" i="1" s="1"/>
  <c r="B204" i="1"/>
  <c r="J204" i="1" s="1"/>
  <c r="E26" i="1"/>
  <c r="F26" i="1" s="1"/>
  <c r="I27" i="1" l="1"/>
  <c r="H27" i="1" s="1"/>
  <c r="N216" i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O227" i="1" s="1"/>
  <c r="B216" i="1"/>
  <c r="J216" i="1" s="1"/>
  <c r="G26" i="1"/>
  <c r="N228" i="1" l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O239" i="1" s="1"/>
  <c r="B228" i="1"/>
  <c r="J228" i="1" s="1"/>
  <c r="E27" i="1"/>
  <c r="F27" i="1" s="1"/>
  <c r="I28" i="1" s="1"/>
  <c r="H28" i="1" s="1"/>
  <c r="N240" i="1" l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O251" i="1" s="1"/>
  <c r="B240" i="1"/>
  <c r="J240" i="1" s="1"/>
  <c r="G27" i="1"/>
  <c r="N252" i="1" l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O263" i="1" s="1"/>
  <c r="B252" i="1"/>
  <c r="J252" i="1" s="1"/>
  <c r="E28" i="1"/>
  <c r="F28" i="1" s="1"/>
  <c r="I29" i="1" s="1"/>
  <c r="H29" i="1" s="1"/>
  <c r="N264" i="1" l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O275" i="1" s="1"/>
  <c r="B264" i="1"/>
  <c r="J264" i="1" s="1"/>
  <c r="G28" i="1"/>
  <c r="N276" i="1" l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B276" i="1"/>
  <c r="J276" i="1" s="1"/>
  <c r="E29" i="1"/>
  <c r="F29" i="1" s="1"/>
  <c r="I30" i="1" s="1"/>
  <c r="H30" i="1" s="1"/>
  <c r="O287" i="1" l="1"/>
  <c r="B288" i="1" s="1"/>
  <c r="J288" i="1" s="1"/>
  <c r="G29" i="1"/>
  <c r="N288" i="1" l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O299" i="1" s="1"/>
  <c r="E30" i="1"/>
  <c r="F30" i="1" s="1"/>
  <c r="I31" i="1" s="1"/>
  <c r="H31" i="1" s="1"/>
  <c r="N300" i="1" l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O311" i="1" s="1"/>
  <c r="B300" i="1"/>
  <c r="J300" i="1" s="1"/>
  <c r="G30" i="1"/>
  <c r="N312" i="1" l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O323" i="1" s="1"/>
  <c r="B312" i="1"/>
  <c r="J312" i="1" s="1"/>
  <c r="E31" i="1"/>
  <c r="F31" i="1" s="1"/>
  <c r="I32" i="1" s="1"/>
  <c r="H32" i="1" s="1"/>
  <c r="N324" i="1" l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O335" i="1" s="1"/>
  <c r="B324" i="1"/>
  <c r="G31" i="1"/>
  <c r="N336" i="1" l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O347" i="1" s="1"/>
  <c r="B336" i="1"/>
  <c r="E32" i="1"/>
  <c r="F32" i="1" s="1"/>
  <c r="I33" i="1" s="1"/>
  <c r="H33" i="1" s="1"/>
  <c r="N348" i="1" l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O359" i="1" s="1"/>
  <c r="B348" i="1"/>
  <c r="G32" i="1"/>
  <c r="N360" i="1" l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O371" i="1" s="1"/>
  <c r="B360" i="1"/>
  <c r="E33" i="1"/>
  <c r="F33" i="1" s="1"/>
  <c r="I34" i="1" s="1"/>
  <c r="H34" i="1" s="1"/>
  <c r="N372" i="1" l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O383" i="1" s="1"/>
  <c r="B372" i="1"/>
  <c r="G33" i="1"/>
  <c r="N384" i="1" l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O395" i="1" s="1"/>
  <c r="B384" i="1"/>
  <c r="E34" i="1"/>
  <c r="F34" i="1" s="1"/>
  <c r="I35" i="1" s="1"/>
  <c r="H35" i="1" s="1"/>
  <c r="N396" i="1" l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O407" i="1" s="1"/>
  <c r="B396" i="1"/>
  <c r="G34" i="1"/>
  <c r="N408" i="1" l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O419" i="1" s="1"/>
  <c r="B408" i="1"/>
  <c r="E35" i="1"/>
  <c r="F35" i="1" s="1"/>
  <c r="G35" i="1" l="1"/>
  <c r="E36" i="1" s="1"/>
  <c r="F36" i="1" s="1"/>
  <c r="G36" i="1" s="1"/>
  <c r="I36" i="1"/>
  <c r="H36" i="1" s="1"/>
  <c r="N420" i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O431" i="1" s="1"/>
  <c r="B420" i="1"/>
  <c r="I37" i="1" l="1"/>
  <c r="H37" i="1" s="1"/>
  <c r="N432" i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B432" i="1"/>
  <c r="E37" i="1"/>
  <c r="F37" i="1" s="1"/>
  <c r="G37" i="1" s="1"/>
  <c r="I38" i="1" l="1"/>
  <c r="H38" i="1" s="1"/>
  <c r="O443" i="1"/>
  <c r="B444" i="1" s="1"/>
  <c r="E38" i="1"/>
  <c r="F38" i="1" s="1"/>
  <c r="G38" i="1" s="1"/>
  <c r="I39" i="1" l="1"/>
  <c r="H39" i="1" s="1"/>
  <c r="N444" i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O455" i="1" s="1"/>
  <c r="E39" i="1"/>
  <c r="F39" i="1" s="1"/>
  <c r="G39" i="1" s="1"/>
  <c r="I40" i="1" l="1"/>
  <c r="H40" i="1" s="1"/>
  <c r="N456" i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O467" i="1" s="1"/>
  <c r="B456" i="1"/>
  <c r="E40" i="1"/>
  <c r="F40" i="1" s="1"/>
  <c r="I41" i="1" l="1"/>
  <c r="H41" i="1" s="1"/>
  <c r="N468" i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O479" i="1" s="1"/>
  <c r="B468" i="1"/>
  <c r="G40" i="1"/>
  <c r="E41" i="1" l="1"/>
  <c r="F41" i="1" s="1"/>
  <c r="I42" i="1"/>
  <c r="H42" i="1" s="1"/>
  <c r="N480" i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O491" i="1" s="1"/>
  <c r="B480" i="1"/>
  <c r="G41" i="1"/>
  <c r="N492" i="1" l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O503" i="1" s="1"/>
  <c r="B492" i="1"/>
  <c r="E42" i="1"/>
  <c r="F42" i="1" s="1"/>
  <c r="G42" i="1" s="1"/>
  <c r="I43" i="1" l="1"/>
  <c r="H43" i="1" s="1"/>
  <c r="N504" i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O515" i="1" s="1"/>
  <c r="B504" i="1"/>
  <c r="E43" i="1"/>
  <c r="F43" i="1" s="1"/>
  <c r="I44" i="1" l="1"/>
  <c r="H44" i="1" s="1"/>
  <c r="N516" i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B516" i="1"/>
  <c r="G43" i="1"/>
  <c r="O527" i="1" l="1"/>
  <c r="B528" i="1" s="1"/>
  <c r="E44" i="1"/>
  <c r="F44" i="1" s="1"/>
  <c r="G44" i="1" s="1"/>
  <c r="I45" i="1" l="1"/>
  <c r="H45" i="1" s="1"/>
  <c r="N528" i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O539" i="1" s="1"/>
  <c r="E45" i="1"/>
  <c r="F45" i="1" s="1"/>
  <c r="I46" i="1" l="1"/>
  <c r="H46" i="1" s="1"/>
  <c r="N540" i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O551" i="1" s="1"/>
  <c r="B540" i="1"/>
  <c r="G45" i="1"/>
  <c r="N552" i="1" l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O563" i="1" s="1"/>
  <c r="B552" i="1"/>
  <c r="E46" i="1"/>
  <c r="F46" i="1" s="1"/>
  <c r="I47" i="1" s="1"/>
  <c r="H47" i="1" s="1"/>
  <c r="N564" i="1" l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O575" i="1" s="1"/>
  <c r="B564" i="1"/>
  <c r="G46" i="1"/>
  <c r="N576" i="1" l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O587" i="1" s="1"/>
  <c r="B576" i="1"/>
  <c r="E47" i="1"/>
  <c r="F47" i="1" s="1"/>
  <c r="G47" i="1" l="1"/>
  <c r="I48" i="1"/>
  <c r="H48" i="1" s="1"/>
  <c r="N588" i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O599" i="1" s="1"/>
  <c r="B588" i="1"/>
  <c r="E48" i="1"/>
  <c r="F48" i="1" s="1"/>
  <c r="G48" i="1" s="1"/>
  <c r="I49" i="1" l="1"/>
  <c r="H49" i="1" s="1"/>
  <c r="N600" i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B600" i="1"/>
  <c r="E49" i="1"/>
  <c r="F49" i="1" s="1"/>
  <c r="I50" i="1" l="1"/>
  <c r="H50" i="1" s="1"/>
  <c r="O611" i="1"/>
  <c r="B612" i="1" s="1"/>
  <c r="G49" i="1"/>
  <c r="N612" i="1" l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O623" i="1" s="1"/>
  <c r="E50" i="1"/>
  <c r="F50" i="1" s="1"/>
  <c r="G50" i="1" l="1"/>
  <c r="E51" i="1" s="1"/>
  <c r="F51" i="1" s="1"/>
  <c r="G51" i="1" s="1"/>
  <c r="I51" i="1"/>
  <c r="H51" i="1" s="1"/>
  <c r="N624" i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O635" i="1" s="1"/>
  <c r="B624" i="1"/>
  <c r="I52" i="1" l="1"/>
  <c r="H52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O647" i="1" s="1"/>
  <c r="B636" i="1"/>
  <c r="E52" i="1"/>
  <c r="F52" i="1" s="1"/>
  <c r="G52" i="1" s="1"/>
  <c r="I53" i="1" l="1"/>
  <c r="H53" i="1" s="1"/>
  <c r="N648" i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O659" i="1" s="1"/>
  <c r="B648" i="1"/>
  <c r="E53" i="1"/>
  <c r="F53" i="1" s="1"/>
  <c r="G53" i="1" s="1"/>
  <c r="I54" i="1" l="1"/>
  <c r="H54" i="1" s="1"/>
  <c r="N660" i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B660" i="1"/>
  <c r="E54" i="1"/>
  <c r="F54" i="1" s="1"/>
  <c r="I55" i="1" l="1"/>
  <c r="H55" i="1" s="1"/>
  <c r="O671" i="1"/>
  <c r="B672" i="1" s="1"/>
  <c r="G54" i="1"/>
  <c r="N672" i="1" l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O683" i="1" s="1"/>
  <c r="E55" i="1"/>
  <c r="F55" i="1" s="1"/>
  <c r="G55" i="1" s="1"/>
  <c r="I56" i="1" l="1"/>
  <c r="H56" i="1" s="1"/>
  <c r="N684" i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O695" i="1" s="1"/>
  <c r="B684" i="1"/>
  <c r="E56" i="1"/>
  <c r="F56" i="1" s="1"/>
  <c r="I57" i="1" l="1"/>
  <c r="H57" i="1" s="1"/>
  <c r="N696" i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O707" i="1" s="1"/>
  <c r="B696" i="1"/>
  <c r="G56" i="1"/>
  <c r="N708" i="1" l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O719" i="1" s="1"/>
  <c r="B708" i="1"/>
  <c r="E57" i="1"/>
  <c r="F57" i="1" s="1"/>
  <c r="I58" i="1" s="1"/>
  <c r="H58" i="1" s="1"/>
  <c r="N720" i="1" l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O731" i="1" s="1"/>
  <c r="B720" i="1"/>
  <c r="G57" i="1"/>
  <c r="N732" i="1" l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B732" i="1"/>
  <c r="E58" i="1"/>
  <c r="F58" i="1" s="1"/>
  <c r="I59" i="1" s="1"/>
  <c r="H59" i="1" s="1"/>
  <c r="O743" i="1" l="1"/>
  <c r="B744" i="1" s="1"/>
  <c r="G58" i="1"/>
  <c r="N744" i="1" l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E59" i="1"/>
  <c r="F59" i="1" s="1"/>
  <c r="G59" i="1" l="1"/>
  <c r="I60" i="1"/>
  <c r="H60" i="1" s="1"/>
  <c r="O755" i="1"/>
  <c r="B756" i="1" s="1"/>
  <c r="E60" i="1" l="1"/>
  <c r="F60" i="1" s="1"/>
  <c r="G60" i="1" s="1"/>
  <c r="E61" i="1" s="1"/>
  <c r="F61" i="1" s="1"/>
  <c r="I61" i="1"/>
  <c r="H61" i="1" s="1"/>
  <c r="N756" i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O767" i="1" s="1"/>
  <c r="I62" i="1" l="1"/>
  <c r="H62" i="1" s="1"/>
  <c r="N768" i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O779" i="1" s="1"/>
  <c r="B768" i="1"/>
  <c r="G61" i="1"/>
  <c r="N780" i="1" l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O791" i="1" s="1"/>
  <c r="B780" i="1"/>
  <c r="E62" i="1"/>
  <c r="F62" i="1" s="1"/>
  <c r="I63" i="1" s="1"/>
  <c r="H63" i="1" s="1"/>
  <c r="N792" i="1" l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O803" i="1" s="1"/>
  <c r="B792" i="1"/>
  <c r="G62" i="1"/>
  <c r="N804" i="1" l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O815" i="1" s="1"/>
  <c r="B804" i="1"/>
  <c r="E63" i="1"/>
  <c r="F63" i="1" s="1"/>
  <c r="I64" i="1" s="1"/>
  <c r="H64" i="1" s="1"/>
  <c r="N816" i="1" l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O827" i="1" s="1"/>
  <c r="B816" i="1"/>
  <c r="G63" i="1"/>
  <c r="N828" i="1" l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O839" i="1" s="1"/>
  <c r="B828" i="1"/>
  <c r="E64" i="1"/>
  <c r="F64" i="1" s="1"/>
  <c r="I65" i="1" s="1"/>
  <c r="H65" i="1" s="1"/>
  <c r="N840" i="1" l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O851" i="1" s="1"/>
  <c r="B840" i="1"/>
  <c r="G64" i="1"/>
  <c r="N852" i="1" l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O863" i="1" s="1"/>
  <c r="B852" i="1"/>
  <c r="E65" i="1"/>
  <c r="F65" i="1" s="1"/>
  <c r="I66" i="1" s="1"/>
  <c r="H66" i="1" s="1"/>
  <c r="N864" i="1" l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O875" i="1" s="1"/>
  <c r="B864" i="1"/>
  <c r="G65" i="1"/>
  <c r="N876" i="1" l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O887" i="1" s="1"/>
  <c r="B876" i="1"/>
  <c r="E66" i="1"/>
  <c r="F66" i="1" s="1"/>
  <c r="I67" i="1" s="1"/>
  <c r="H67" i="1" s="1"/>
  <c r="N888" i="1" l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O899" i="1" s="1"/>
  <c r="B888" i="1"/>
  <c r="G66" i="1"/>
  <c r="N900" i="1" l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B900" i="1"/>
  <c r="E67" i="1"/>
  <c r="F67" i="1" s="1"/>
  <c r="I68" i="1" s="1"/>
  <c r="H68" i="1" s="1"/>
  <c r="O911" i="1" l="1"/>
  <c r="B912" i="1" s="1"/>
  <c r="G67" i="1"/>
  <c r="N912" i="1" l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O923" i="1" s="1"/>
  <c r="E68" i="1"/>
  <c r="F68" i="1" s="1"/>
  <c r="I69" i="1" s="1"/>
  <c r="H69" i="1" s="1"/>
  <c r="N924" i="1" l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B924" i="1"/>
  <c r="G68" i="1"/>
  <c r="O935" i="1" l="1"/>
  <c r="B936" i="1" s="1"/>
  <c r="E69" i="1"/>
  <c r="F69" i="1" s="1"/>
  <c r="I70" i="1" s="1"/>
  <c r="H70" i="1" s="1"/>
  <c r="N936" i="1" l="1"/>
  <c r="N937" i="1" s="1"/>
  <c r="N938" i="1" s="1"/>
  <c r="N939" i="1" s="1"/>
  <c r="O939" i="1" s="1"/>
  <c r="B940" i="1" s="1"/>
  <c r="G69" i="1"/>
  <c r="E70" i="1" l="1"/>
  <c r="F70" i="1" s="1"/>
  <c r="I71" i="1" s="1"/>
  <c r="H71" i="1" s="1"/>
  <c r="G70" i="1" l="1"/>
  <c r="E71" i="1" s="1"/>
  <c r="F71" i="1" s="1"/>
  <c r="I72" i="1" s="1"/>
  <c r="H72" i="1" s="1"/>
  <c r="G71" i="1" l="1"/>
  <c r="E72" i="1" l="1"/>
  <c r="F72" i="1" s="1"/>
  <c r="I73" i="1" s="1"/>
  <c r="H73" i="1" s="1"/>
  <c r="G72" i="1" l="1"/>
  <c r="H5" i="1"/>
  <c r="J48" i="1" l="1"/>
  <c r="J72" i="1"/>
  <c r="E73" i="1"/>
  <c r="F73" i="1" s="1"/>
  <c r="I74" i="1" s="1"/>
  <c r="H74" i="1" s="1"/>
  <c r="I5" i="1" l="1"/>
  <c r="J5" i="1" s="1"/>
  <c r="G73" i="1"/>
  <c r="E74" i="1" s="1"/>
  <c r="F74" i="1" s="1"/>
  <c r="I75" i="1" s="1"/>
  <c r="H75" i="1" s="1"/>
  <c r="G74" i="1" l="1"/>
  <c r="E75" i="1" s="1"/>
  <c r="F75" i="1" s="1"/>
  <c r="I76" i="1" s="1"/>
  <c r="H76" i="1" s="1"/>
  <c r="G75" i="1" l="1"/>
  <c r="E76" i="1" s="1"/>
  <c r="F76" i="1" s="1"/>
  <c r="I77" i="1" s="1"/>
  <c r="H77" i="1" s="1"/>
  <c r="G76" i="1" l="1"/>
  <c r="E77" i="1" s="1"/>
  <c r="F77" i="1" s="1"/>
  <c r="I78" i="1" s="1"/>
  <c r="H78" i="1" s="1"/>
  <c r="G77" i="1" l="1"/>
  <c r="E78" i="1" s="1"/>
  <c r="F78" i="1" s="1"/>
  <c r="I79" i="1" s="1"/>
  <c r="H79" i="1" s="1"/>
  <c r="G78" i="1" l="1"/>
  <c r="E79" i="1" l="1"/>
  <c r="F79" i="1" s="1"/>
  <c r="I80" i="1" s="1"/>
  <c r="H80" i="1" s="1"/>
  <c r="G79" i="1" l="1"/>
  <c r="E80" i="1" l="1"/>
  <c r="F80" i="1" s="1"/>
  <c r="I81" i="1" s="1"/>
  <c r="H81" i="1" s="1"/>
  <c r="G80" i="1" l="1"/>
  <c r="E81" i="1" l="1"/>
  <c r="F81" i="1" s="1"/>
  <c r="I82" i="1" s="1"/>
  <c r="H82" i="1" s="1"/>
  <c r="G81" i="1" l="1"/>
  <c r="E82" i="1" l="1"/>
  <c r="F82" i="1" s="1"/>
  <c r="I83" i="1" s="1"/>
  <c r="H83" i="1" s="1"/>
  <c r="G82" i="1" l="1"/>
  <c r="E83" i="1" l="1"/>
  <c r="F83" i="1" s="1"/>
  <c r="I84" i="1" s="1"/>
  <c r="H84" i="1" s="1"/>
  <c r="G83" i="1" l="1"/>
  <c r="E84" i="1" l="1"/>
  <c r="F84" i="1" s="1"/>
  <c r="I85" i="1" s="1"/>
  <c r="H85" i="1" s="1"/>
  <c r="G84" i="1" l="1"/>
  <c r="E85" i="1" l="1"/>
  <c r="F85" i="1" s="1"/>
  <c r="I86" i="1" s="1"/>
  <c r="H86" i="1" s="1"/>
  <c r="G85" i="1" l="1"/>
  <c r="E86" i="1" l="1"/>
  <c r="F86" i="1" s="1"/>
  <c r="I87" i="1" s="1"/>
  <c r="H87" i="1" s="1"/>
  <c r="G86" i="1" l="1"/>
  <c r="E87" i="1" l="1"/>
  <c r="F87" i="1" s="1"/>
  <c r="I88" i="1" s="1"/>
  <c r="H88" i="1" s="1"/>
  <c r="G87" i="1" l="1"/>
  <c r="E88" i="1" l="1"/>
  <c r="F88" i="1" s="1"/>
  <c r="G88" i="1" l="1"/>
  <c r="I89" i="1"/>
  <c r="H89" i="1" s="1"/>
  <c r="E89" i="1" l="1"/>
  <c r="F89" i="1" s="1"/>
  <c r="G89" i="1" s="1"/>
  <c r="I90" i="1"/>
  <c r="H90" i="1" s="1"/>
  <c r="E90" i="1" l="1"/>
  <c r="F90" i="1" s="1"/>
  <c r="G90" i="1" s="1"/>
  <c r="I91" i="1" l="1"/>
  <c r="H91" i="1" s="1"/>
  <c r="E91" i="1"/>
  <c r="F91" i="1" s="1"/>
  <c r="G91" i="1" s="1"/>
  <c r="I92" i="1" l="1"/>
  <c r="H92" i="1" s="1"/>
  <c r="E92" i="1"/>
  <c r="F92" i="1" s="1"/>
  <c r="I93" i="1" l="1"/>
  <c r="H93" i="1" s="1"/>
  <c r="G92" i="1"/>
  <c r="E93" i="1" l="1"/>
  <c r="F93" i="1" s="1"/>
  <c r="G93" i="1" s="1"/>
  <c r="I94" i="1"/>
  <c r="H94" i="1" s="1"/>
  <c r="E94" i="1" l="1"/>
  <c r="F94" i="1" s="1"/>
  <c r="G94" i="1" s="1"/>
  <c r="I95" i="1"/>
  <c r="H95" i="1" s="1"/>
  <c r="E95" i="1" l="1"/>
  <c r="F95" i="1" s="1"/>
  <c r="I96" i="1" s="1"/>
  <c r="H96" i="1" s="1"/>
  <c r="G95" i="1" l="1"/>
  <c r="E96" i="1" l="1"/>
  <c r="F96" i="1" s="1"/>
  <c r="I97" i="1" s="1"/>
  <c r="H97" i="1" s="1"/>
  <c r="G96" i="1" l="1"/>
  <c r="E97" i="1" s="1"/>
  <c r="F97" i="1" s="1"/>
  <c r="I98" i="1" s="1"/>
  <c r="H98" i="1" s="1"/>
  <c r="G97" i="1" l="1"/>
  <c r="E98" i="1" s="1"/>
  <c r="F98" i="1" s="1"/>
  <c r="G98" i="1" l="1"/>
  <c r="I99" i="1"/>
  <c r="H99" i="1" s="1"/>
  <c r="E99" i="1" l="1"/>
  <c r="F99" i="1" s="1"/>
  <c r="G99" i="1" s="1"/>
  <c r="E100" i="1" s="1"/>
  <c r="F100" i="1" s="1"/>
  <c r="I100" i="1"/>
  <c r="H100" i="1" s="1"/>
  <c r="I101" i="1" l="1"/>
  <c r="H101" i="1" s="1"/>
  <c r="G100" i="1"/>
  <c r="E101" i="1" l="1"/>
  <c r="F101" i="1" s="1"/>
  <c r="G101" i="1" s="1"/>
  <c r="I102" i="1"/>
  <c r="H102" i="1" s="1"/>
  <c r="E102" i="1" l="1"/>
  <c r="F102" i="1" s="1"/>
  <c r="I103" i="1" s="1"/>
  <c r="H103" i="1" s="1"/>
  <c r="G102" i="1" l="1"/>
  <c r="E103" i="1" l="1"/>
  <c r="F103" i="1" s="1"/>
  <c r="I104" i="1" s="1"/>
  <c r="H104" i="1" s="1"/>
  <c r="G103" i="1" l="1"/>
  <c r="E104" i="1" l="1"/>
  <c r="F104" i="1" s="1"/>
  <c r="I105" i="1" s="1"/>
  <c r="H105" i="1" s="1"/>
  <c r="G104" i="1" l="1"/>
  <c r="E105" i="1" l="1"/>
  <c r="F105" i="1" s="1"/>
  <c r="I106" i="1" s="1"/>
  <c r="H106" i="1" s="1"/>
  <c r="G105" i="1" l="1"/>
  <c r="E106" i="1" s="1"/>
  <c r="F106" i="1" s="1"/>
  <c r="I107" i="1" s="1"/>
  <c r="H107" i="1" s="1"/>
  <c r="G106" i="1" l="1"/>
  <c r="E107" i="1" l="1"/>
  <c r="F107" i="1" s="1"/>
  <c r="I108" i="1" s="1"/>
  <c r="H108" i="1" s="1"/>
  <c r="G107" i="1" l="1"/>
  <c r="E108" i="1" s="1"/>
  <c r="F108" i="1" s="1"/>
  <c r="I109" i="1" s="1"/>
  <c r="H109" i="1" s="1"/>
  <c r="G108" i="1" l="1"/>
  <c r="E109" i="1" s="1"/>
  <c r="F109" i="1" s="1"/>
  <c r="I110" i="1" s="1"/>
  <c r="H110" i="1" s="1"/>
  <c r="G109" i="1" l="1"/>
  <c r="E110" i="1" s="1"/>
  <c r="F110" i="1" s="1"/>
  <c r="I111" i="1" s="1"/>
  <c r="H111" i="1" s="1"/>
  <c r="G110" i="1" l="1"/>
  <c r="E111" i="1" s="1"/>
  <c r="F111" i="1" s="1"/>
  <c r="G111" i="1" l="1"/>
  <c r="I112" i="1"/>
  <c r="H112" i="1" s="1"/>
  <c r="E112" i="1" l="1"/>
  <c r="F112" i="1" s="1"/>
  <c r="G112" i="1" s="1"/>
  <c r="I113" i="1"/>
  <c r="H113" i="1" s="1"/>
  <c r="E113" i="1" l="1"/>
  <c r="F113" i="1" s="1"/>
  <c r="G113" i="1" s="1"/>
  <c r="I114" i="1"/>
  <c r="H114" i="1" s="1"/>
  <c r="E114" i="1" l="1"/>
  <c r="F114" i="1" s="1"/>
  <c r="G114" i="1" s="1"/>
  <c r="I115" i="1"/>
  <c r="H115" i="1" s="1"/>
  <c r="E115" i="1" l="1"/>
  <c r="F115" i="1" s="1"/>
  <c r="I116" i="1" s="1"/>
  <c r="H116" i="1" s="1"/>
  <c r="G115" i="1" l="1"/>
  <c r="E116" i="1" l="1"/>
  <c r="F116" i="1" s="1"/>
  <c r="I117" i="1" s="1"/>
  <c r="H117" i="1" s="1"/>
  <c r="G116" i="1" l="1"/>
  <c r="E117" i="1" l="1"/>
  <c r="F117" i="1" s="1"/>
  <c r="I118" i="1" s="1"/>
  <c r="H118" i="1" s="1"/>
  <c r="G117" i="1" l="1"/>
  <c r="E118" i="1" s="1"/>
  <c r="F118" i="1" s="1"/>
  <c r="I119" i="1" s="1"/>
  <c r="H119" i="1" s="1"/>
  <c r="G118" i="1" l="1"/>
  <c r="E119" i="1" s="1"/>
  <c r="F119" i="1" s="1"/>
  <c r="I120" i="1" s="1"/>
  <c r="H120" i="1" s="1"/>
  <c r="G119" i="1" l="1"/>
  <c r="E120" i="1" s="1"/>
  <c r="F120" i="1" s="1"/>
  <c r="I121" i="1" s="1"/>
  <c r="H121" i="1" s="1"/>
  <c r="G120" i="1" l="1"/>
  <c r="E121" i="1" l="1"/>
  <c r="F121" i="1" s="1"/>
  <c r="I122" i="1" s="1"/>
  <c r="H122" i="1" s="1"/>
  <c r="G121" i="1" l="1"/>
  <c r="E122" i="1" s="1"/>
  <c r="F122" i="1" s="1"/>
  <c r="I123" i="1" s="1"/>
  <c r="H123" i="1" s="1"/>
  <c r="G122" i="1" l="1"/>
  <c r="E123" i="1" s="1"/>
  <c r="F123" i="1" s="1"/>
  <c r="I124" i="1" s="1"/>
  <c r="H124" i="1" s="1"/>
  <c r="G123" i="1" l="1"/>
  <c r="E124" i="1" l="1"/>
  <c r="F124" i="1" s="1"/>
  <c r="I125" i="1" s="1"/>
  <c r="H125" i="1" s="1"/>
  <c r="G124" i="1" l="1"/>
  <c r="E125" i="1" l="1"/>
  <c r="F125" i="1" s="1"/>
  <c r="I126" i="1" s="1"/>
  <c r="H126" i="1" s="1"/>
  <c r="G125" i="1" l="1"/>
  <c r="E126" i="1" s="1"/>
  <c r="F126" i="1" s="1"/>
  <c r="I127" i="1" s="1"/>
  <c r="H127" i="1" s="1"/>
  <c r="G126" i="1" l="1"/>
  <c r="E127" i="1" s="1"/>
  <c r="F127" i="1" s="1"/>
  <c r="I128" i="1" s="1"/>
  <c r="H128" i="1" s="1"/>
  <c r="G127" i="1" l="1"/>
  <c r="E128" i="1" l="1"/>
  <c r="F128" i="1" s="1"/>
  <c r="I129" i="1" s="1"/>
  <c r="H129" i="1" s="1"/>
  <c r="G128" i="1" l="1"/>
  <c r="E129" i="1" s="1"/>
  <c r="F129" i="1" s="1"/>
  <c r="I130" i="1" s="1"/>
  <c r="H130" i="1" s="1"/>
  <c r="G129" i="1" l="1"/>
  <c r="E130" i="1" s="1"/>
  <c r="F130" i="1" s="1"/>
  <c r="I131" i="1" s="1"/>
  <c r="H131" i="1" s="1"/>
  <c r="G130" i="1" l="1"/>
  <c r="E131" i="1" s="1"/>
  <c r="F131" i="1" s="1"/>
  <c r="I132" i="1" s="1"/>
  <c r="H132" i="1" s="1"/>
  <c r="I133" i="1" s="1"/>
  <c r="H133" i="1" s="1"/>
  <c r="G131" i="1" l="1"/>
  <c r="E132" i="1" s="1"/>
  <c r="F132" i="1" s="1"/>
  <c r="G132" i="1" s="1"/>
  <c r="I134" i="1"/>
  <c r="H134" i="1" s="1"/>
  <c r="E133" i="1" l="1"/>
  <c r="F133" i="1" s="1"/>
  <c r="G133" i="1" s="1"/>
  <c r="I135" i="1"/>
  <c r="H135" i="1" s="1"/>
  <c r="E134" i="1" l="1"/>
  <c r="F134" i="1" s="1"/>
  <c r="G134" i="1" s="1"/>
  <c r="E135" i="1" s="1"/>
  <c r="F135" i="1" s="1"/>
  <c r="G135" i="1" s="1"/>
  <c r="I136" i="1" l="1"/>
  <c r="H136" i="1" s="1"/>
  <c r="E136" i="1"/>
  <c r="F136" i="1" s="1"/>
  <c r="I137" i="1" l="1"/>
  <c r="H137" i="1" s="1"/>
  <c r="G136" i="1"/>
  <c r="E137" i="1" l="1"/>
  <c r="F137" i="1" s="1"/>
  <c r="G137" i="1" s="1"/>
  <c r="I138" i="1"/>
  <c r="H138" i="1" s="1"/>
  <c r="E138" i="1" l="1"/>
  <c r="F138" i="1" s="1"/>
  <c r="G138" i="1" s="1"/>
  <c r="I139" i="1" l="1"/>
  <c r="H139" i="1" s="1"/>
  <c r="E139" i="1"/>
  <c r="F139" i="1" s="1"/>
  <c r="G139" i="1" s="1"/>
  <c r="I140" i="1" l="1"/>
  <c r="H140" i="1" s="1"/>
  <c r="E140" i="1"/>
  <c r="F140" i="1" s="1"/>
  <c r="G140" i="1" s="1"/>
  <c r="I141" i="1" l="1"/>
  <c r="H141" i="1" s="1"/>
  <c r="E141" i="1"/>
  <c r="F141" i="1" s="1"/>
  <c r="G141" i="1" s="1"/>
  <c r="I142" i="1" l="1"/>
  <c r="H142" i="1" s="1"/>
  <c r="E142" i="1"/>
  <c r="F142" i="1" s="1"/>
  <c r="G142" i="1" s="1"/>
  <c r="I143" i="1" l="1"/>
  <c r="H143" i="1" s="1"/>
  <c r="E143" i="1"/>
  <c r="F143" i="1" s="1"/>
  <c r="I144" i="1" l="1"/>
  <c r="H144" i="1" s="1"/>
  <c r="G143" i="1"/>
  <c r="E144" i="1" l="1"/>
  <c r="F144" i="1" s="1"/>
  <c r="G144" i="1" s="1"/>
  <c r="I145" i="1" l="1"/>
  <c r="H145" i="1" s="1"/>
  <c r="E145" i="1"/>
  <c r="F145" i="1" s="1"/>
  <c r="G145" i="1" s="1"/>
  <c r="I146" i="1" l="1"/>
  <c r="H146" i="1" s="1"/>
  <c r="E146" i="1"/>
  <c r="F146" i="1" s="1"/>
  <c r="I147" i="1" l="1"/>
  <c r="H147" i="1" s="1"/>
  <c r="G146" i="1"/>
  <c r="E147" i="1" l="1"/>
  <c r="F147" i="1" s="1"/>
  <c r="G147" i="1" s="1"/>
  <c r="I148" i="1"/>
  <c r="H148" i="1" s="1"/>
  <c r="E148" i="1" l="1"/>
  <c r="F148" i="1" s="1"/>
  <c r="I149" i="1" s="1"/>
  <c r="H149" i="1" s="1"/>
  <c r="G148" i="1" l="1"/>
  <c r="E149" i="1" l="1"/>
  <c r="F149" i="1" s="1"/>
  <c r="G149" i="1" l="1"/>
  <c r="I150" i="1"/>
  <c r="H150" i="1" s="1"/>
  <c r="E150" i="1" l="1"/>
  <c r="F150" i="1" s="1"/>
  <c r="G150" i="1" s="1"/>
  <c r="I151" i="1"/>
  <c r="H151" i="1" s="1"/>
  <c r="E151" i="1" l="1"/>
  <c r="F151" i="1" s="1"/>
  <c r="G151" i="1" s="1"/>
  <c r="E152" i="1" s="1"/>
  <c r="F152" i="1" s="1"/>
  <c r="I152" i="1"/>
  <c r="H152" i="1" s="1"/>
  <c r="I153" i="1" l="1"/>
  <c r="H153" i="1" s="1"/>
  <c r="G152" i="1"/>
  <c r="E153" i="1" l="1"/>
  <c r="F153" i="1" s="1"/>
  <c r="G153" i="1" s="1"/>
  <c r="I154" i="1"/>
  <c r="H154" i="1" s="1"/>
  <c r="E154" i="1" l="1"/>
  <c r="F154" i="1" s="1"/>
  <c r="G154" i="1" s="1"/>
  <c r="I155" i="1"/>
  <c r="H155" i="1" s="1"/>
  <c r="E155" i="1" l="1"/>
  <c r="F155" i="1" s="1"/>
  <c r="G155" i="1" s="1"/>
  <c r="I156" i="1" l="1"/>
  <c r="H156" i="1" s="1"/>
  <c r="E156" i="1"/>
  <c r="F156" i="1" s="1"/>
  <c r="I157" i="1" l="1"/>
  <c r="H157" i="1" s="1"/>
  <c r="G156" i="1"/>
  <c r="E157" i="1" l="1"/>
  <c r="F157" i="1" s="1"/>
  <c r="G157" i="1" s="1"/>
  <c r="I158" i="1"/>
  <c r="H158" i="1" s="1"/>
  <c r="E158" i="1" l="1"/>
  <c r="F158" i="1" s="1"/>
  <c r="G158" i="1" s="1"/>
  <c r="I159" i="1"/>
  <c r="H159" i="1" s="1"/>
  <c r="E159" i="1" l="1"/>
  <c r="F159" i="1" s="1"/>
  <c r="G159" i="1" s="1"/>
  <c r="I160" i="1"/>
  <c r="H160" i="1" s="1"/>
  <c r="E160" i="1" l="1"/>
  <c r="F160" i="1" s="1"/>
  <c r="G160" i="1" s="1"/>
  <c r="I161" i="1"/>
  <c r="H161" i="1" s="1"/>
  <c r="E161" i="1" l="1"/>
  <c r="F161" i="1" s="1"/>
  <c r="G161" i="1" s="1"/>
  <c r="I162" i="1"/>
  <c r="H162" i="1" s="1"/>
  <c r="E162" i="1" l="1"/>
  <c r="F162" i="1" s="1"/>
  <c r="G162" i="1" s="1"/>
  <c r="I163" i="1"/>
  <c r="H163" i="1" s="1"/>
  <c r="E163" i="1" l="1"/>
  <c r="F163" i="1" s="1"/>
  <c r="G163" i="1" s="1"/>
  <c r="I164" i="1"/>
  <c r="H164" i="1" s="1"/>
  <c r="E164" i="1" l="1"/>
  <c r="F164" i="1" s="1"/>
  <c r="G164" i="1" s="1"/>
  <c r="I165" i="1" l="1"/>
  <c r="H165" i="1" s="1"/>
  <c r="E165" i="1"/>
  <c r="F165" i="1" s="1"/>
  <c r="G165" i="1" s="1"/>
  <c r="I166" i="1" l="1"/>
  <c r="H166" i="1" s="1"/>
  <c r="E166" i="1"/>
  <c r="F166" i="1" s="1"/>
  <c r="G166" i="1" s="1"/>
  <c r="I167" i="1" l="1"/>
  <c r="H167" i="1" s="1"/>
  <c r="E167" i="1"/>
  <c r="F167" i="1" s="1"/>
  <c r="G167" i="1" s="1"/>
  <c r="I168" i="1" l="1"/>
  <c r="H168" i="1" s="1"/>
  <c r="E168" i="1"/>
  <c r="F168" i="1" s="1"/>
  <c r="G168" i="1" s="1"/>
  <c r="I169" i="1" l="1"/>
  <c r="H169" i="1" s="1"/>
  <c r="E169" i="1"/>
  <c r="F169" i="1" s="1"/>
  <c r="I170" i="1" l="1"/>
  <c r="H170" i="1" s="1"/>
  <c r="G169" i="1"/>
  <c r="E170" i="1" l="1"/>
  <c r="F170" i="1" s="1"/>
  <c r="I171" i="1" s="1"/>
  <c r="H171" i="1" s="1"/>
  <c r="G170" i="1" l="1"/>
  <c r="E171" i="1" l="1"/>
  <c r="F171" i="1" s="1"/>
  <c r="I172" i="1" s="1"/>
  <c r="H172" i="1" s="1"/>
  <c r="G171" i="1" l="1"/>
  <c r="E172" i="1" l="1"/>
  <c r="F172" i="1" s="1"/>
  <c r="I173" i="1" s="1"/>
  <c r="H173" i="1" s="1"/>
  <c r="G172" i="1" l="1"/>
  <c r="E173" i="1" l="1"/>
  <c r="F173" i="1" s="1"/>
  <c r="I174" i="1" s="1"/>
  <c r="H174" i="1" s="1"/>
  <c r="G173" i="1" l="1"/>
  <c r="E174" i="1" l="1"/>
  <c r="F174" i="1" s="1"/>
  <c r="I175" i="1" s="1"/>
  <c r="H175" i="1" s="1"/>
  <c r="G174" i="1" l="1"/>
  <c r="E175" i="1" l="1"/>
  <c r="F175" i="1" s="1"/>
  <c r="I176" i="1" s="1"/>
  <c r="H176" i="1" s="1"/>
  <c r="G175" i="1" l="1"/>
  <c r="E176" i="1" l="1"/>
  <c r="F176" i="1" s="1"/>
  <c r="I177" i="1" s="1"/>
  <c r="H177" i="1" s="1"/>
  <c r="G176" i="1" l="1"/>
  <c r="E177" i="1" l="1"/>
  <c r="F177" i="1" s="1"/>
  <c r="I178" i="1" s="1"/>
  <c r="H178" i="1" s="1"/>
  <c r="G177" i="1" l="1"/>
  <c r="E178" i="1" l="1"/>
  <c r="F178" i="1" s="1"/>
  <c r="I179" i="1" s="1"/>
  <c r="H179" i="1" s="1"/>
  <c r="G178" i="1" l="1"/>
  <c r="E179" i="1" l="1"/>
  <c r="F179" i="1" s="1"/>
  <c r="I180" i="1" s="1"/>
  <c r="H180" i="1" s="1"/>
  <c r="G179" i="1" l="1"/>
  <c r="E180" i="1" l="1"/>
  <c r="F180" i="1" s="1"/>
  <c r="I181" i="1" s="1"/>
  <c r="H181" i="1" s="1"/>
  <c r="G180" i="1" l="1"/>
  <c r="E181" i="1" s="1"/>
  <c r="F181" i="1" s="1"/>
  <c r="I182" i="1" s="1"/>
  <c r="H182" i="1" s="1"/>
  <c r="G181" i="1" l="1"/>
  <c r="E182" i="1" l="1"/>
  <c r="F182" i="1" s="1"/>
  <c r="I183" i="1" s="1"/>
  <c r="H183" i="1" s="1"/>
  <c r="G182" i="1" l="1"/>
  <c r="E183" i="1" l="1"/>
  <c r="F183" i="1" s="1"/>
  <c r="I184" i="1" s="1"/>
  <c r="H184" i="1" s="1"/>
  <c r="G183" i="1" l="1"/>
  <c r="E184" i="1" l="1"/>
  <c r="F184" i="1" s="1"/>
  <c r="I185" i="1" s="1"/>
  <c r="H185" i="1" s="1"/>
  <c r="G184" i="1" l="1"/>
  <c r="E185" i="1" l="1"/>
  <c r="F185" i="1" s="1"/>
  <c r="I186" i="1" s="1"/>
  <c r="H186" i="1" s="1"/>
  <c r="G185" i="1" l="1"/>
  <c r="E186" i="1" l="1"/>
  <c r="F186" i="1" s="1"/>
  <c r="I187" i="1" s="1"/>
  <c r="H187" i="1" s="1"/>
  <c r="G186" i="1" l="1"/>
  <c r="E187" i="1" l="1"/>
  <c r="F187" i="1" s="1"/>
  <c r="I188" i="1" s="1"/>
  <c r="H188" i="1" s="1"/>
  <c r="G187" i="1" l="1"/>
  <c r="E188" i="1" l="1"/>
  <c r="F188" i="1" s="1"/>
  <c r="I189" i="1" s="1"/>
  <c r="H189" i="1" s="1"/>
  <c r="G188" i="1" l="1"/>
  <c r="E189" i="1" s="1"/>
  <c r="F189" i="1" s="1"/>
  <c r="I190" i="1" s="1"/>
  <c r="H190" i="1" s="1"/>
  <c r="G189" i="1" l="1"/>
  <c r="E190" i="1" l="1"/>
  <c r="F190" i="1" s="1"/>
  <c r="I191" i="1" s="1"/>
  <c r="H191" i="1" s="1"/>
  <c r="G190" i="1" l="1"/>
  <c r="E191" i="1" l="1"/>
  <c r="F191" i="1" s="1"/>
  <c r="I192" i="1" s="1"/>
  <c r="H192" i="1" s="1"/>
  <c r="I3" i="1"/>
  <c r="G191" i="1" l="1"/>
  <c r="E192" i="1" l="1"/>
  <c r="F192" i="1" s="1"/>
  <c r="I193" i="1" s="1"/>
  <c r="H193" i="1" s="1"/>
  <c r="G192" i="1" l="1"/>
  <c r="E193" i="1" l="1"/>
  <c r="F193" i="1" s="1"/>
  <c r="I194" i="1" s="1"/>
  <c r="H194" i="1" s="1"/>
  <c r="G193" i="1" l="1"/>
  <c r="E194" i="1" l="1"/>
  <c r="F194" i="1" s="1"/>
  <c r="I195" i="1" s="1"/>
  <c r="H195" i="1" s="1"/>
  <c r="G194" i="1" l="1"/>
  <c r="E195" i="1" l="1"/>
  <c r="F195" i="1" s="1"/>
  <c r="I196" i="1" s="1"/>
  <c r="H196" i="1" s="1"/>
  <c r="G195" i="1" l="1"/>
  <c r="E196" i="1" l="1"/>
  <c r="F196" i="1" s="1"/>
  <c r="I197" i="1" s="1"/>
  <c r="H197" i="1" s="1"/>
  <c r="G196" i="1" l="1"/>
  <c r="E197" i="1" l="1"/>
  <c r="F197" i="1" s="1"/>
  <c r="I198" i="1" s="1"/>
  <c r="H198" i="1" s="1"/>
  <c r="G197" i="1" l="1"/>
  <c r="E198" i="1" l="1"/>
  <c r="F198" i="1" s="1"/>
  <c r="I199" i="1" s="1"/>
  <c r="H199" i="1" s="1"/>
  <c r="G198" i="1" l="1"/>
  <c r="E199" i="1" l="1"/>
  <c r="F199" i="1" s="1"/>
  <c r="I200" i="1" s="1"/>
  <c r="H200" i="1" s="1"/>
  <c r="G199" i="1" l="1"/>
  <c r="E200" i="1" l="1"/>
  <c r="F200" i="1" s="1"/>
  <c r="I201" i="1" s="1"/>
  <c r="H201" i="1" s="1"/>
  <c r="G200" i="1" l="1"/>
  <c r="E201" i="1" l="1"/>
  <c r="F201" i="1" s="1"/>
  <c r="I202" i="1" s="1"/>
  <c r="H202" i="1" s="1"/>
  <c r="G201" i="1" l="1"/>
  <c r="E202" i="1" l="1"/>
  <c r="F202" i="1" s="1"/>
  <c r="I203" i="1" s="1"/>
  <c r="H203" i="1" s="1"/>
  <c r="G202" i="1" l="1"/>
  <c r="E203" i="1" l="1"/>
  <c r="F203" i="1" s="1"/>
  <c r="I204" i="1" s="1"/>
  <c r="H204" i="1" s="1"/>
  <c r="G203" i="1" l="1"/>
  <c r="E204" i="1" l="1"/>
  <c r="F204" i="1" s="1"/>
  <c r="I205" i="1" s="1"/>
  <c r="H205" i="1" s="1"/>
  <c r="G204" i="1" l="1"/>
  <c r="E205" i="1" l="1"/>
  <c r="F205" i="1" s="1"/>
  <c r="I206" i="1" s="1"/>
  <c r="H206" i="1" s="1"/>
  <c r="G205" i="1" l="1"/>
  <c r="E206" i="1" l="1"/>
  <c r="F206" i="1" s="1"/>
  <c r="I207" i="1" s="1"/>
  <c r="H207" i="1" s="1"/>
  <c r="G206" i="1" l="1"/>
  <c r="E207" i="1" l="1"/>
  <c r="F207" i="1" s="1"/>
  <c r="I208" i="1" s="1"/>
  <c r="H208" i="1" s="1"/>
  <c r="G207" i="1" l="1"/>
  <c r="E208" i="1" l="1"/>
  <c r="F208" i="1" s="1"/>
  <c r="I209" i="1" s="1"/>
  <c r="H209" i="1" s="1"/>
  <c r="G208" i="1" l="1"/>
  <c r="E209" i="1" l="1"/>
  <c r="F209" i="1" s="1"/>
  <c r="I210" i="1" s="1"/>
  <c r="H210" i="1" s="1"/>
  <c r="G209" i="1" l="1"/>
  <c r="E210" i="1" l="1"/>
  <c r="F210" i="1" s="1"/>
  <c r="I211" i="1" s="1"/>
  <c r="H211" i="1" s="1"/>
  <c r="G210" i="1" l="1"/>
  <c r="E211" i="1" l="1"/>
  <c r="F211" i="1" s="1"/>
  <c r="I212" i="1" s="1"/>
  <c r="H212" i="1" s="1"/>
  <c r="G211" i="1" l="1"/>
  <c r="E212" i="1" l="1"/>
  <c r="F212" i="1" s="1"/>
  <c r="I213" i="1" s="1"/>
  <c r="H213" i="1" s="1"/>
  <c r="G212" i="1" l="1"/>
  <c r="E213" i="1" l="1"/>
  <c r="F213" i="1" s="1"/>
  <c r="I214" i="1" s="1"/>
  <c r="H214" i="1" s="1"/>
  <c r="G213" i="1" l="1"/>
  <c r="E214" i="1" l="1"/>
  <c r="F214" i="1" s="1"/>
  <c r="I215" i="1" s="1"/>
  <c r="H215" i="1" s="1"/>
  <c r="G214" i="1" l="1"/>
  <c r="E215" i="1" l="1"/>
  <c r="F215" i="1" s="1"/>
  <c r="I216" i="1" s="1"/>
  <c r="H216" i="1" s="1"/>
  <c r="G215" i="1" l="1"/>
  <c r="E216" i="1" l="1"/>
  <c r="F216" i="1" s="1"/>
  <c r="I217" i="1" s="1"/>
  <c r="H217" i="1" s="1"/>
  <c r="G216" i="1" l="1"/>
  <c r="E217" i="1" s="1"/>
  <c r="F217" i="1" s="1"/>
  <c r="I218" i="1" s="1"/>
  <c r="H218" i="1" s="1"/>
  <c r="G217" i="1" l="1"/>
  <c r="E218" i="1" l="1"/>
  <c r="F218" i="1" s="1"/>
  <c r="I219" i="1" s="1"/>
  <c r="H219" i="1" s="1"/>
  <c r="G218" i="1" l="1"/>
  <c r="E219" i="1" l="1"/>
  <c r="F219" i="1" s="1"/>
  <c r="I220" i="1" s="1"/>
  <c r="H220" i="1" s="1"/>
  <c r="G219" i="1" l="1"/>
  <c r="E220" i="1" l="1"/>
  <c r="F220" i="1" s="1"/>
  <c r="I221" i="1" s="1"/>
  <c r="H221" i="1" s="1"/>
  <c r="G220" i="1" l="1"/>
  <c r="E221" i="1" l="1"/>
  <c r="F221" i="1" s="1"/>
  <c r="I222" i="1" s="1"/>
  <c r="H222" i="1" s="1"/>
  <c r="G221" i="1" l="1"/>
  <c r="E222" i="1" l="1"/>
  <c r="F222" i="1" s="1"/>
  <c r="I223" i="1" s="1"/>
  <c r="H223" i="1" s="1"/>
  <c r="G222" i="1" l="1"/>
  <c r="E223" i="1" l="1"/>
  <c r="F223" i="1" s="1"/>
  <c r="I224" i="1" s="1"/>
  <c r="H224" i="1" s="1"/>
  <c r="G223" i="1" l="1"/>
  <c r="E224" i="1" l="1"/>
  <c r="F224" i="1" s="1"/>
  <c r="I225" i="1" s="1"/>
  <c r="H225" i="1" s="1"/>
  <c r="G224" i="1" l="1"/>
  <c r="E225" i="1" l="1"/>
  <c r="F225" i="1" s="1"/>
  <c r="I226" i="1" s="1"/>
  <c r="H226" i="1" s="1"/>
  <c r="G225" i="1" l="1"/>
  <c r="E226" i="1" s="1"/>
  <c r="F226" i="1" s="1"/>
  <c r="I227" i="1" s="1"/>
  <c r="H227" i="1" s="1"/>
  <c r="G226" i="1" l="1"/>
  <c r="E227" i="1" s="1"/>
  <c r="F227" i="1" s="1"/>
  <c r="I228" i="1" s="1"/>
  <c r="H228" i="1" s="1"/>
  <c r="G227" i="1" l="1"/>
  <c r="E228" i="1" l="1"/>
  <c r="F228" i="1" s="1"/>
  <c r="I229" i="1" s="1"/>
  <c r="H229" i="1" s="1"/>
  <c r="G228" i="1" l="1"/>
  <c r="E229" i="1" l="1"/>
  <c r="F229" i="1" s="1"/>
  <c r="I230" i="1" s="1"/>
  <c r="H230" i="1" s="1"/>
  <c r="G229" i="1" l="1"/>
  <c r="E230" i="1" l="1"/>
  <c r="F230" i="1" s="1"/>
  <c r="I231" i="1" s="1"/>
  <c r="H231" i="1" s="1"/>
  <c r="G230" i="1" l="1"/>
  <c r="E231" i="1" s="1"/>
  <c r="F231" i="1" s="1"/>
  <c r="I232" i="1" s="1"/>
  <c r="H232" i="1" s="1"/>
  <c r="G231" i="1" l="1"/>
  <c r="E232" i="1" l="1"/>
  <c r="F232" i="1" s="1"/>
  <c r="I233" i="1" s="1"/>
  <c r="H233" i="1" s="1"/>
  <c r="G232" i="1" l="1"/>
  <c r="E233" i="1" l="1"/>
  <c r="F233" i="1" s="1"/>
  <c r="I234" i="1" s="1"/>
  <c r="H234" i="1" s="1"/>
  <c r="G233" i="1" l="1"/>
  <c r="E234" i="1" l="1"/>
  <c r="F234" i="1" s="1"/>
  <c r="I235" i="1" s="1"/>
  <c r="H235" i="1" s="1"/>
  <c r="G234" i="1" l="1"/>
  <c r="E235" i="1" l="1"/>
  <c r="F235" i="1" s="1"/>
  <c r="I236" i="1" s="1"/>
  <c r="H236" i="1" s="1"/>
  <c r="G235" i="1" l="1"/>
  <c r="E236" i="1" l="1"/>
  <c r="F236" i="1" s="1"/>
  <c r="I237" i="1" s="1"/>
  <c r="H237" i="1" s="1"/>
  <c r="G236" i="1" l="1"/>
  <c r="E237" i="1" l="1"/>
  <c r="F237" i="1" s="1"/>
  <c r="I238" i="1" s="1"/>
  <c r="H238" i="1" s="1"/>
  <c r="G237" i="1" l="1"/>
  <c r="E238" i="1" l="1"/>
  <c r="F238" i="1" s="1"/>
  <c r="I239" i="1" s="1"/>
  <c r="H239" i="1" s="1"/>
  <c r="G238" i="1" l="1"/>
  <c r="E239" i="1" l="1"/>
  <c r="F239" i="1" s="1"/>
  <c r="G239" i="1" l="1"/>
  <c r="I240" i="1"/>
  <c r="H240" i="1" s="1"/>
  <c r="E240" i="1" l="1"/>
  <c r="F240" i="1" s="1"/>
  <c r="G240" i="1" s="1"/>
  <c r="I241" i="1"/>
  <c r="H241" i="1" s="1"/>
  <c r="E241" i="1" l="1"/>
  <c r="F241" i="1" s="1"/>
  <c r="I242" i="1" s="1"/>
  <c r="H242" i="1" s="1"/>
  <c r="G241" i="1" l="1"/>
  <c r="E242" i="1" l="1"/>
  <c r="F242" i="1" s="1"/>
  <c r="I243" i="1" s="1"/>
  <c r="H243" i="1" s="1"/>
  <c r="G242" i="1" l="1"/>
  <c r="E243" i="1" l="1"/>
  <c r="F243" i="1" s="1"/>
  <c r="I244" i="1" s="1"/>
  <c r="H244" i="1" s="1"/>
  <c r="G243" i="1" l="1"/>
  <c r="E244" i="1" l="1"/>
  <c r="F244" i="1" s="1"/>
  <c r="I245" i="1" s="1"/>
  <c r="H245" i="1" s="1"/>
  <c r="G244" i="1" l="1"/>
  <c r="E245" i="1" l="1"/>
  <c r="F245" i="1" s="1"/>
  <c r="I246" i="1" s="1"/>
  <c r="H246" i="1" s="1"/>
  <c r="G245" i="1" l="1"/>
  <c r="E246" i="1" l="1"/>
  <c r="F246" i="1" s="1"/>
  <c r="I247" i="1" s="1"/>
  <c r="H247" i="1" s="1"/>
  <c r="G246" i="1" l="1"/>
  <c r="E247" i="1" l="1"/>
  <c r="F247" i="1" s="1"/>
  <c r="I248" i="1" s="1"/>
  <c r="H248" i="1" s="1"/>
  <c r="G247" i="1" l="1"/>
  <c r="E248" i="1" l="1"/>
  <c r="F248" i="1" s="1"/>
  <c r="I249" i="1" s="1"/>
  <c r="H249" i="1" s="1"/>
  <c r="G248" i="1" l="1"/>
  <c r="E249" i="1" l="1"/>
  <c r="F249" i="1" s="1"/>
  <c r="I250" i="1" s="1"/>
  <c r="H250" i="1" s="1"/>
  <c r="G249" i="1" l="1"/>
  <c r="E250" i="1" l="1"/>
  <c r="F250" i="1" s="1"/>
  <c r="I251" i="1" s="1"/>
  <c r="H251" i="1" s="1"/>
  <c r="G250" i="1" l="1"/>
  <c r="E251" i="1" l="1"/>
  <c r="F251" i="1" s="1"/>
  <c r="I252" i="1" s="1"/>
  <c r="H252" i="1" s="1"/>
  <c r="G251" i="1" l="1"/>
  <c r="E252" i="1" l="1"/>
  <c r="F252" i="1" s="1"/>
  <c r="I253" i="1" s="1"/>
  <c r="H253" i="1" s="1"/>
  <c r="G252" i="1" l="1"/>
  <c r="E253" i="1" l="1"/>
  <c r="F253" i="1" s="1"/>
  <c r="I254" i="1" s="1"/>
  <c r="H254" i="1" s="1"/>
  <c r="G253" i="1" l="1"/>
  <c r="E254" i="1" l="1"/>
  <c r="F254" i="1" s="1"/>
  <c r="I255" i="1" s="1"/>
  <c r="H255" i="1" s="1"/>
  <c r="G254" i="1" l="1"/>
  <c r="E255" i="1" s="1"/>
  <c r="F255" i="1" s="1"/>
  <c r="I256" i="1" s="1"/>
  <c r="H256" i="1" s="1"/>
  <c r="G255" i="1" l="1"/>
  <c r="E256" i="1" s="1"/>
  <c r="F256" i="1" s="1"/>
  <c r="I257" i="1" s="1"/>
  <c r="H257" i="1" s="1"/>
  <c r="G256" i="1" l="1"/>
  <c r="E257" i="1" l="1"/>
  <c r="F257" i="1" s="1"/>
  <c r="I258" i="1" s="1"/>
  <c r="H258" i="1" s="1"/>
  <c r="G257" i="1" l="1"/>
  <c r="E258" i="1" l="1"/>
  <c r="F258" i="1" s="1"/>
  <c r="I259" i="1" s="1"/>
  <c r="H259" i="1" s="1"/>
  <c r="G258" i="1" l="1"/>
  <c r="E259" i="1" l="1"/>
  <c r="F259" i="1" s="1"/>
  <c r="I260" i="1" s="1"/>
  <c r="H260" i="1" s="1"/>
  <c r="G259" i="1" l="1"/>
  <c r="E260" i="1" l="1"/>
  <c r="F260" i="1" s="1"/>
  <c r="I261" i="1" s="1"/>
  <c r="H261" i="1" s="1"/>
  <c r="G260" i="1" l="1"/>
  <c r="E261" i="1" l="1"/>
  <c r="F261" i="1" s="1"/>
  <c r="G261" i="1" l="1"/>
  <c r="I262" i="1"/>
  <c r="H262" i="1" s="1"/>
  <c r="E262" i="1" l="1"/>
  <c r="F262" i="1" s="1"/>
  <c r="G262" i="1" s="1"/>
  <c r="E263" i="1" s="1"/>
  <c r="F263" i="1" s="1"/>
  <c r="I263" i="1"/>
  <c r="H263" i="1" s="1"/>
  <c r="I264" i="1" l="1"/>
  <c r="H264" i="1" s="1"/>
  <c r="G263" i="1"/>
  <c r="E264" i="1" l="1"/>
  <c r="F264" i="1" s="1"/>
  <c r="G264" i="1" s="1"/>
  <c r="I265" i="1"/>
  <c r="H265" i="1" s="1"/>
  <c r="E265" i="1" l="1"/>
  <c r="F265" i="1" s="1"/>
  <c r="G265" i="1" s="1"/>
  <c r="I266" i="1"/>
  <c r="H266" i="1" s="1"/>
  <c r="E266" i="1" l="1"/>
  <c r="F266" i="1" s="1"/>
  <c r="G266" i="1" s="1"/>
  <c r="I267" i="1"/>
  <c r="H267" i="1" s="1"/>
  <c r="E267" i="1" l="1"/>
  <c r="F267" i="1" s="1"/>
  <c r="I268" i="1" s="1"/>
  <c r="H268" i="1" s="1"/>
  <c r="G267" i="1" l="1"/>
  <c r="E268" i="1" l="1"/>
  <c r="F268" i="1" s="1"/>
  <c r="I269" i="1" s="1"/>
  <c r="H269" i="1" s="1"/>
  <c r="G268" i="1" l="1"/>
  <c r="E269" i="1" s="1"/>
  <c r="F269" i="1" s="1"/>
  <c r="I270" i="1" s="1"/>
  <c r="H270" i="1" s="1"/>
  <c r="G269" i="1" l="1"/>
  <c r="E270" i="1" s="1"/>
  <c r="F270" i="1" s="1"/>
  <c r="I271" i="1" s="1"/>
  <c r="H271" i="1" s="1"/>
  <c r="G270" i="1" l="1"/>
  <c r="E271" i="1" l="1"/>
  <c r="F271" i="1" s="1"/>
  <c r="I272" i="1" s="1"/>
  <c r="H272" i="1" s="1"/>
  <c r="G271" i="1" l="1"/>
  <c r="E272" i="1" l="1"/>
  <c r="F272" i="1" s="1"/>
  <c r="I273" i="1" s="1"/>
  <c r="H273" i="1" s="1"/>
  <c r="G272" i="1" l="1"/>
  <c r="E273" i="1" l="1"/>
  <c r="F273" i="1" s="1"/>
  <c r="I274" i="1" s="1"/>
  <c r="H274" i="1" s="1"/>
  <c r="G273" i="1" l="1"/>
  <c r="E274" i="1" l="1"/>
  <c r="F274" i="1" s="1"/>
  <c r="I275" i="1" s="1"/>
  <c r="H275" i="1" s="1"/>
  <c r="G274" i="1" l="1"/>
  <c r="E275" i="1" l="1"/>
  <c r="F275" i="1" s="1"/>
  <c r="I276" i="1" s="1"/>
  <c r="H276" i="1" s="1"/>
  <c r="G275" i="1" l="1"/>
  <c r="E276" i="1" l="1"/>
  <c r="F276" i="1" s="1"/>
  <c r="I277" i="1" s="1"/>
  <c r="H277" i="1" s="1"/>
  <c r="G276" i="1" l="1"/>
  <c r="E277" i="1" l="1"/>
  <c r="F277" i="1" s="1"/>
  <c r="I278" i="1" s="1"/>
  <c r="H278" i="1" s="1"/>
  <c r="G277" i="1" l="1"/>
  <c r="E278" i="1" l="1"/>
  <c r="F278" i="1" s="1"/>
  <c r="I279" i="1" s="1"/>
  <c r="H279" i="1" s="1"/>
  <c r="G278" i="1" l="1"/>
  <c r="E279" i="1" l="1"/>
  <c r="F279" i="1" s="1"/>
  <c r="I280" i="1" s="1"/>
  <c r="H280" i="1" s="1"/>
  <c r="G279" i="1" l="1"/>
  <c r="E280" i="1" l="1"/>
  <c r="F280" i="1" s="1"/>
  <c r="I281" i="1" s="1"/>
  <c r="H281" i="1" s="1"/>
  <c r="G280" i="1" l="1"/>
  <c r="E281" i="1" l="1"/>
  <c r="F281" i="1" s="1"/>
  <c r="G281" i="1" l="1"/>
  <c r="I282" i="1"/>
  <c r="H282" i="1" s="1"/>
  <c r="E282" i="1" l="1"/>
  <c r="F282" i="1" s="1"/>
  <c r="G282" i="1" s="1"/>
  <c r="I283" i="1"/>
  <c r="H283" i="1" s="1"/>
  <c r="E283" i="1" l="1"/>
  <c r="F283" i="1" s="1"/>
  <c r="I284" i="1" s="1"/>
  <c r="H284" i="1" s="1"/>
  <c r="G283" i="1" l="1"/>
  <c r="E284" i="1" l="1"/>
  <c r="F284" i="1" s="1"/>
  <c r="I285" i="1" s="1"/>
  <c r="H285" i="1" s="1"/>
  <c r="G284" i="1" l="1"/>
  <c r="E285" i="1" l="1"/>
  <c r="F285" i="1" s="1"/>
  <c r="I286" i="1" s="1"/>
  <c r="H286" i="1" s="1"/>
  <c r="G285" i="1" l="1"/>
  <c r="E286" i="1" l="1"/>
  <c r="F286" i="1" s="1"/>
  <c r="I287" i="1" s="1"/>
  <c r="H287" i="1" s="1"/>
  <c r="G286" i="1" l="1"/>
  <c r="E287" i="1" l="1"/>
  <c r="F287" i="1" s="1"/>
  <c r="I288" i="1" s="1"/>
  <c r="H288" i="1" s="1"/>
  <c r="G287" i="1" l="1"/>
  <c r="E288" i="1" l="1"/>
  <c r="F288" i="1" s="1"/>
  <c r="I289" i="1" s="1"/>
  <c r="H289" i="1" s="1"/>
  <c r="G288" i="1" l="1"/>
  <c r="E289" i="1" s="1"/>
  <c r="F289" i="1" s="1"/>
  <c r="I290" i="1" s="1"/>
  <c r="H290" i="1" s="1"/>
  <c r="G289" i="1" l="1"/>
  <c r="E290" i="1" l="1"/>
  <c r="F290" i="1" s="1"/>
  <c r="I291" i="1" s="1"/>
  <c r="H291" i="1" s="1"/>
  <c r="G290" i="1" l="1"/>
  <c r="E291" i="1" l="1"/>
  <c r="F291" i="1" s="1"/>
  <c r="I292" i="1" s="1"/>
  <c r="H292" i="1" s="1"/>
  <c r="G291" i="1" l="1"/>
  <c r="E292" i="1" l="1"/>
  <c r="F292" i="1" s="1"/>
  <c r="I293" i="1" s="1"/>
  <c r="H293" i="1" s="1"/>
  <c r="G292" i="1" l="1"/>
  <c r="E293" i="1" l="1"/>
  <c r="F293" i="1" s="1"/>
  <c r="I294" i="1" s="1"/>
  <c r="H294" i="1" s="1"/>
  <c r="G293" i="1" l="1"/>
  <c r="E294" i="1" l="1"/>
  <c r="F294" i="1" s="1"/>
  <c r="I295" i="1" s="1"/>
  <c r="H295" i="1" s="1"/>
  <c r="G294" i="1" l="1"/>
  <c r="E295" i="1" l="1"/>
  <c r="F295" i="1" s="1"/>
  <c r="I296" i="1" s="1"/>
  <c r="H296" i="1" s="1"/>
  <c r="G295" i="1" l="1"/>
  <c r="E296" i="1" l="1"/>
  <c r="F296" i="1" s="1"/>
  <c r="I297" i="1" s="1"/>
  <c r="H297" i="1" s="1"/>
  <c r="G296" i="1" l="1"/>
  <c r="E297" i="1" l="1"/>
  <c r="F297" i="1" s="1"/>
  <c r="I298" i="1" s="1"/>
  <c r="H298" i="1" s="1"/>
  <c r="G297" i="1" l="1"/>
  <c r="E298" i="1" l="1"/>
  <c r="F298" i="1" s="1"/>
  <c r="I299" i="1" s="1"/>
  <c r="H299" i="1" s="1"/>
  <c r="G298" i="1" l="1"/>
  <c r="E299" i="1" l="1"/>
  <c r="F299" i="1" s="1"/>
  <c r="I300" i="1" s="1"/>
  <c r="H300" i="1" s="1"/>
  <c r="G299" i="1" l="1"/>
  <c r="E300" i="1" l="1"/>
  <c r="F300" i="1" s="1"/>
  <c r="I301" i="1" s="1"/>
  <c r="H301" i="1" s="1"/>
  <c r="G300" i="1" l="1"/>
  <c r="E301" i="1" l="1"/>
  <c r="F301" i="1" s="1"/>
  <c r="I302" i="1" s="1"/>
  <c r="H302" i="1" s="1"/>
  <c r="G301" i="1" l="1"/>
  <c r="E302" i="1" l="1"/>
  <c r="F302" i="1" s="1"/>
  <c r="I303" i="1" s="1"/>
  <c r="H303" i="1" s="1"/>
  <c r="G302" i="1" l="1"/>
  <c r="E303" i="1" l="1"/>
  <c r="F303" i="1" s="1"/>
  <c r="I304" i="1" s="1"/>
  <c r="H304" i="1" s="1"/>
  <c r="G303" i="1" l="1"/>
  <c r="E304" i="1" l="1"/>
  <c r="F304" i="1" s="1"/>
  <c r="I305" i="1" s="1"/>
  <c r="H305" i="1" s="1"/>
  <c r="G304" i="1" l="1"/>
  <c r="E305" i="1" l="1"/>
  <c r="F305" i="1" s="1"/>
  <c r="I306" i="1" s="1"/>
  <c r="H306" i="1" s="1"/>
  <c r="G305" i="1" l="1"/>
  <c r="E306" i="1" l="1"/>
  <c r="F306" i="1" s="1"/>
  <c r="I307" i="1" s="1"/>
  <c r="H307" i="1" s="1"/>
  <c r="G306" i="1" l="1"/>
  <c r="E307" i="1" l="1"/>
  <c r="F307" i="1" s="1"/>
  <c r="I308" i="1" s="1"/>
  <c r="H308" i="1" s="1"/>
  <c r="G307" i="1" l="1"/>
  <c r="E308" i="1" l="1"/>
  <c r="F308" i="1" s="1"/>
  <c r="I309" i="1" s="1"/>
  <c r="H309" i="1" s="1"/>
  <c r="G308" i="1" l="1"/>
  <c r="E309" i="1" l="1"/>
  <c r="F309" i="1" s="1"/>
  <c r="I310" i="1" s="1"/>
  <c r="H310" i="1" s="1"/>
  <c r="G309" i="1" l="1"/>
  <c r="E310" i="1" l="1"/>
  <c r="F310" i="1" s="1"/>
  <c r="I311" i="1" s="1"/>
  <c r="H311" i="1" s="1"/>
  <c r="G310" i="1" l="1"/>
  <c r="E311" i="1" l="1"/>
  <c r="F311" i="1" s="1"/>
  <c r="I312" i="1" s="1"/>
  <c r="H312" i="1" s="1"/>
  <c r="G311" i="1" l="1"/>
  <c r="E312" i="1" l="1"/>
  <c r="F312" i="1" s="1"/>
  <c r="I313" i="1" s="1"/>
  <c r="H313" i="1" s="1"/>
  <c r="G312" i="1" l="1"/>
  <c r="E313" i="1" l="1"/>
  <c r="F313" i="1" s="1"/>
  <c r="I314" i="1" s="1"/>
  <c r="H314" i="1" s="1"/>
  <c r="G313" i="1" l="1"/>
  <c r="E314" i="1" l="1"/>
  <c r="F314" i="1" s="1"/>
  <c r="I315" i="1" s="1"/>
  <c r="H315" i="1" s="1"/>
  <c r="G314" i="1" l="1"/>
  <c r="E315" i="1" l="1"/>
  <c r="F315" i="1" s="1"/>
  <c r="I316" i="1" s="1"/>
  <c r="H316" i="1" s="1"/>
  <c r="G315" i="1" l="1"/>
  <c r="E316" i="1" l="1"/>
  <c r="F316" i="1" s="1"/>
  <c r="I317" i="1" s="1"/>
  <c r="H317" i="1" s="1"/>
  <c r="G316" i="1" l="1"/>
  <c r="E317" i="1" l="1"/>
  <c r="F317" i="1" s="1"/>
  <c r="I318" i="1" s="1"/>
  <c r="H318" i="1" s="1"/>
  <c r="G317" i="1" l="1"/>
  <c r="E318" i="1" l="1"/>
  <c r="F318" i="1" s="1"/>
  <c r="I319" i="1" s="1"/>
  <c r="H319" i="1" s="1"/>
  <c r="G318" i="1" l="1"/>
  <c r="E319" i="1" l="1"/>
  <c r="F319" i="1" s="1"/>
  <c r="I320" i="1" s="1"/>
  <c r="H320" i="1" s="1"/>
  <c r="G319" i="1" l="1"/>
  <c r="E320" i="1" l="1"/>
  <c r="F320" i="1" s="1"/>
  <c r="I321" i="1" s="1"/>
  <c r="H321" i="1" s="1"/>
  <c r="G320" i="1" l="1"/>
  <c r="E321" i="1" l="1"/>
  <c r="F321" i="1" s="1"/>
  <c r="I322" i="1" s="1"/>
  <c r="H322" i="1" s="1"/>
  <c r="G321" i="1" l="1"/>
  <c r="E322" i="1" l="1"/>
  <c r="F322" i="1" s="1"/>
  <c r="I323" i="1" s="1"/>
  <c r="H323" i="1" s="1"/>
  <c r="G322" i="1" l="1"/>
  <c r="E323" i="1" l="1"/>
  <c r="F323" i="1" s="1"/>
  <c r="I324" i="1" s="1"/>
  <c r="H324" i="1" s="1"/>
  <c r="G323" i="1" l="1"/>
  <c r="E324" i="1" l="1"/>
  <c r="F324" i="1" s="1"/>
  <c r="I325" i="1" s="1"/>
  <c r="H325" i="1" s="1"/>
  <c r="G324" i="1" l="1"/>
  <c r="E325" i="1" l="1"/>
  <c r="F325" i="1" s="1"/>
  <c r="I326" i="1" s="1"/>
  <c r="H326" i="1" s="1"/>
  <c r="G325" i="1" l="1"/>
  <c r="E326" i="1" l="1"/>
  <c r="F326" i="1" s="1"/>
  <c r="I327" i="1" s="1"/>
  <c r="H327" i="1" s="1"/>
  <c r="G326" i="1" l="1"/>
  <c r="E327" i="1" l="1"/>
  <c r="F327" i="1" s="1"/>
  <c r="I328" i="1" s="1"/>
  <c r="H328" i="1" s="1"/>
  <c r="G327" i="1" l="1"/>
  <c r="E328" i="1" l="1"/>
  <c r="F328" i="1" s="1"/>
  <c r="I329" i="1" s="1"/>
  <c r="H329" i="1" s="1"/>
  <c r="G328" i="1" l="1"/>
  <c r="E329" i="1" l="1"/>
  <c r="F329" i="1" s="1"/>
  <c r="I330" i="1" s="1"/>
  <c r="H330" i="1" s="1"/>
  <c r="G329" i="1" l="1"/>
  <c r="E330" i="1" l="1"/>
  <c r="F330" i="1" s="1"/>
  <c r="I331" i="1" s="1"/>
  <c r="H331" i="1" s="1"/>
  <c r="G330" i="1" l="1"/>
  <c r="E331" i="1" l="1"/>
  <c r="F331" i="1" s="1"/>
  <c r="G331" i="1" l="1"/>
  <c r="I332" i="1"/>
  <c r="H332" i="1" s="1"/>
  <c r="E332" i="1" l="1"/>
  <c r="F332" i="1" s="1"/>
  <c r="G332" i="1" s="1"/>
  <c r="E333" i="1" s="1"/>
  <c r="F333" i="1" s="1"/>
  <c r="G333" i="1" s="1"/>
  <c r="I333" i="1"/>
  <c r="H333" i="1" s="1"/>
  <c r="I334" i="1" l="1"/>
  <c r="H334" i="1" s="1"/>
  <c r="E334" i="1"/>
  <c r="F334" i="1" s="1"/>
  <c r="I335" i="1" l="1"/>
  <c r="H335" i="1" s="1"/>
  <c r="G334" i="1"/>
  <c r="E335" i="1" l="1"/>
  <c r="F335" i="1" s="1"/>
  <c r="I336" i="1" s="1"/>
  <c r="H336" i="1" s="1"/>
  <c r="G335" i="1" l="1"/>
  <c r="E336" i="1" l="1"/>
  <c r="F336" i="1" s="1"/>
  <c r="I337" i="1" s="1"/>
  <c r="H337" i="1" s="1"/>
  <c r="G336" i="1" l="1"/>
  <c r="E337" i="1" l="1"/>
  <c r="F337" i="1" s="1"/>
  <c r="I338" i="1" s="1"/>
  <c r="H338" i="1" s="1"/>
  <c r="G337" i="1" l="1"/>
  <c r="E338" i="1" l="1"/>
  <c r="F338" i="1" s="1"/>
  <c r="I339" i="1" s="1"/>
  <c r="H339" i="1" s="1"/>
  <c r="G338" i="1" l="1"/>
  <c r="E339" i="1" l="1"/>
  <c r="F339" i="1" s="1"/>
  <c r="I340" i="1" s="1"/>
  <c r="H340" i="1" s="1"/>
  <c r="G339" i="1" l="1"/>
  <c r="E340" i="1" l="1"/>
  <c r="F340" i="1" s="1"/>
  <c r="I341" i="1" s="1"/>
  <c r="H341" i="1" s="1"/>
  <c r="G340" i="1" l="1"/>
  <c r="E341" i="1" l="1"/>
  <c r="F341" i="1" s="1"/>
  <c r="I342" i="1" s="1"/>
  <c r="H342" i="1" s="1"/>
  <c r="G341" i="1" l="1"/>
  <c r="E342" i="1" l="1"/>
  <c r="F342" i="1" s="1"/>
  <c r="I343" i="1" s="1"/>
  <c r="H343" i="1" s="1"/>
  <c r="G342" i="1" l="1"/>
  <c r="E343" i="1" l="1"/>
  <c r="F343" i="1" s="1"/>
  <c r="I344" i="1" s="1"/>
  <c r="H344" i="1" s="1"/>
  <c r="G343" i="1" l="1"/>
  <c r="E344" i="1" l="1"/>
  <c r="F344" i="1" s="1"/>
  <c r="I345" i="1" s="1"/>
  <c r="H345" i="1" s="1"/>
  <c r="G344" i="1" l="1"/>
  <c r="E345" i="1" l="1"/>
  <c r="F345" i="1" s="1"/>
  <c r="I346" i="1" s="1"/>
  <c r="H346" i="1" s="1"/>
  <c r="G345" i="1" l="1"/>
  <c r="E346" i="1" l="1"/>
  <c r="F346" i="1" s="1"/>
  <c r="I347" i="1" s="1"/>
  <c r="H347" i="1" s="1"/>
  <c r="G346" i="1" l="1"/>
  <c r="E347" i="1" l="1"/>
  <c r="F347" i="1" s="1"/>
  <c r="I348" i="1" s="1"/>
  <c r="H348" i="1" s="1"/>
  <c r="G347" i="1" l="1"/>
  <c r="E348" i="1" l="1"/>
  <c r="F348" i="1" s="1"/>
  <c r="I349" i="1" s="1"/>
  <c r="H349" i="1" s="1"/>
  <c r="G348" i="1" l="1"/>
  <c r="E349" i="1" l="1"/>
  <c r="F349" i="1" s="1"/>
  <c r="I350" i="1" s="1"/>
  <c r="H350" i="1" s="1"/>
  <c r="G349" i="1" l="1"/>
  <c r="E350" i="1" l="1"/>
  <c r="F350" i="1" s="1"/>
  <c r="I351" i="1" s="1"/>
  <c r="H351" i="1" s="1"/>
  <c r="G350" i="1" l="1"/>
  <c r="E351" i="1" l="1"/>
  <c r="F351" i="1" s="1"/>
  <c r="I352" i="1" s="1"/>
  <c r="H352" i="1" s="1"/>
  <c r="G351" i="1" l="1"/>
  <c r="E352" i="1" l="1"/>
  <c r="F352" i="1" s="1"/>
  <c r="I353" i="1" s="1"/>
  <c r="H353" i="1" s="1"/>
  <c r="G352" i="1" l="1"/>
  <c r="E353" i="1" l="1"/>
  <c r="F353" i="1" s="1"/>
  <c r="I354" i="1" s="1"/>
  <c r="H354" i="1" s="1"/>
  <c r="G353" i="1" l="1"/>
  <c r="E354" i="1" l="1"/>
  <c r="F354" i="1" s="1"/>
  <c r="I355" i="1" s="1"/>
  <c r="H355" i="1" s="1"/>
  <c r="G354" i="1" l="1"/>
  <c r="E355" i="1" l="1"/>
  <c r="F355" i="1" s="1"/>
  <c r="I356" i="1" s="1"/>
  <c r="H356" i="1" s="1"/>
  <c r="G355" i="1" l="1"/>
  <c r="E356" i="1" l="1"/>
  <c r="F356" i="1" s="1"/>
  <c r="I357" i="1" s="1"/>
  <c r="H357" i="1" s="1"/>
  <c r="G356" i="1" l="1"/>
  <c r="E357" i="1" l="1"/>
  <c r="F357" i="1" s="1"/>
  <c r="I358" i="1" s="1"/>
  <c r="H358" i="1" s="1"/>
  <c r="G357" i="1" l="1"/>
  <c r="E358" i="1" l="1"/>
  <c r="F358" i="1" s="1"/>
  <c r="I359" i="1" s="1"/>
  <c r="H359" i="1" s="1"/>
  <c r="G358" i="1" l="1"/>
  <c r="E359" i="1" l="1"/>
  <c r="F359" i="1" s="1"/>
  <c r="G359" i="1" l="1"/>
  <c r="I360" i="1"/>
  <c r="H360" i="1" s="1"/>
  <c r="E360" i="1" l="1"/>
  <c r="F360" i="1" s="1"/>
  <c r="G360" i="1" s="1"/>
  <c r="E361" i="1" s="1"/>
  <c r="F361" i="1" s="1"/>
  <c r="G361" i="1" s="1"/>
  <c r="I361" i="1"/>
  <c r="H361" i="1" s="1"/>
  <c r="I362" i="1" l="1"/>
  <c r="H362" i="1" s="1"/>
  <c r="E362" i="1"/>
  <c r="F362" i="1" s="1"/>
  <c r="G362" i="1" s="1"/>
  <c r="I363" i="1" l="1"/>
  <c r="H363" i="1" s="1"/>
  <c r="E363" i="1"/>
  <c r="F363" i="1" s="1"/>
  <c r="G363" i="1" s="1"/>
  <c r="I364" i="1" l="1"/>
  <c r="H364" i="1" s="1"/>
  <c r="E364" i="1"/>
  <c r="F364" i="1" s="1"/>
  <c r="I365" i="1" l="1"/>
  <c r="H365" i="1" s="1"/>
  <c r="G364" i="1"/>
  <c r="E365" i="1" l="1"/>
  <c r="F365" i="1" s="1"/>
  <c r="I366" i="1" s="1"/>
  <c r="H366" i="1" s="1"/>
  <c r="G365" i="1" l="1"/>
  <c r="E366" i="1" l="1"/>
  <c r="F366" i="1" s="1"/>
  <c r="I367" i="1" s="1"/>
  <c r="H367" i="1" s="1"/>
  <c r="G366" i="1" l="1"/>
  <c r="E367" i="1" l="1"/>
  <c r="F367" i="1" s="1"/>
  <c r="I368" i="1" s="1"/>
  <c r="H368" i="1" s="1"/>
  <c r="G367" i="1" l="1"/>
  <c r="E368" i="1" l="1"/>
  <c r="F368" i="1" s="1"/>
  <c r="I369" i="1" s="1"/>
  <c r="H369" i="1" s="1"/>
  <c r="G368" i="1" l="1"/>
  <c r="E369" i="1" l="1"/>
  <c r="F369" i="1" s="1"/>
  <c r="I370" i="1" s="1"/>
  <c r="H370" i="1" s="1"/>
  <c r="G369" i="1" l="1"/>
  <c r="E370" i="1" l="1"/>
  <c r="F370" i="1" s="1"/>
  <c r="I371" i="1" s="1"/>
  <c r="H371" i="1" s="1"/>
  <c r="G370" i="1" l="1"/>
  <c r="E371" i="1" l="1"/>
  <c r="F371" i="1" s="1"/>
  <c r="I372" i="1" s="1"/>
  <c r="H372" i="1" s="1"/>
  <c r="G371" i="1" l="1"/>
  <c r="E372" i="1" l="1"/>
  <c r="F372" i="1" s="1"/>
  <c r="I373" i="1" s="1"/>
  <c r="H373" i="1" s="1"/>
  <c r="G372" i="1" l="1"/>
  <c r="E373" i="1" l="1"/>
  <c r="F373" i="1" s="1"/>
  <c r="I374" i="1" s="1"/>
  <c r="H374" i="1" s="1"/>
  <c r="G373" i="1" l="1"/>
  <c r="E374" i="1" l="1"/>
  <c r="F374" i="1" s="1"/>
  <c r="I375" i="1" s="1"/>
  <c r="H375" i="1" s="1"/>
  <c r="G374" i="1" l="1"/>
  <c r="E375" i="1" s="1"/>
  <c r="F375" i="1" s="1"/>
  <c r="I376" i="1" s="1"/>
  <c r="H376" i="1" s="1"/>
  <c r="G375" i="1" l="1"/>
  <c r="E376" i="1" s="1"/>
  <c r="F376" i="1" s="1"/>
  <c r="I377" i="1" s="1"/>
  <c r="H377" i="1" s="1"/>
  <c r="G376" i="1" l="1"/>
  <c r="E377" i="1" l="1"/>
  <c r="F377" i="1" s="1"/>
  <c r="I378" i="1" s="1"/>
  <c r="H378" i="1" s="1"/>
  <c r="G377" i="1" l="1"/>
  <c r="E378" i="1" l="1"/>
  <c r="F378" i="1" s="1"/>
  <c r="I379" i="1" s="1"/>
  <c r="H379" i="1" s="1"/>
  <c r="G378" i="1" l="1"/>
  <c r="E379" i="1" l="1"/>
  <c r="F379" i="1" s="1"/>
  <c r="I380" i="1" s="1"/>
  <c r="H380" i="1" s="1"/>
  <c r="G379" i="1" l="1"/>
  <c r="E380" i="1" l="1"/>
  <c r="F380" i="1" s="1"/>
  <c r="I381" i="1" s="1"/>
  <c r="H381" i="1" s="1"/>
  <c r="G380" i="1" l="1"/>
  <c r="E381" i="1" l="1"/>
  <c r="F381" i="1" s="1"/>
  <c r="I382" i="1" s="1"/>
  <c r="H382" i="1" s="1"/>
  <c r="G381" i="1" l="1"/>
  <c r="E382" i="1" l="1"/>
  <c r="F382" i="1" s="1"/>
  <c r="I383" i="1" s="1"/>
  <c r="H383" i="1" s="1"/>
  <c r="G382" i="1" l="1"/>
  <c r="E383" i="1" l="1"/>
  <c r="F383" i="1" s="1"/>
  <c r="I384" i="1" s="1"/>
  <c r="H384" i="1" s="1"/>
  <c r="G383" i="1" l="1"/>
  <c r="E384" i="1" l="1"/>
  <c r="F384" i="1" s="1"/>
  <c r="I385" i="1" s="1"/>
  <c r="H385" i="1" s="1"/>
  <c r="G384" i="1" l="1"/>
  <c r="E385" i="1" l="1"/>
  <c r="F385" i="1" s="1"/>
  <c r="I386" i="1" s="1"/>
  <c r="H386" i="1" s="1"/>
  <c r="G385" i="1" l="1"/>
  <c r="E386" i="1" l="1"/>
  <c r="F386" i="1" s="1"/>
  <c r="I387" i="1" s="1"/>
  <c r="H387" i="1" s="1"/>
  <c r="G386" i="1" l="1"/>
  <c r="E387" i="1" l="1"/>
  <c r="F387" i="1" s="1"/>
  <c r="I388" i="1" s="1"/>
  <c r="H388" i="1" s="1"/>
  <c r="G387" i="1" l="1"/>
  <c r="E388" i="1" l="1"/>
  <c r="F388" i="1" s="1"/>
  <c r="I389" i="1" s="1"/>
  <c r="H389" i="1" s="1"/>
  <c r="G388" i="1" l="1"/>
  <c r="E389" i="1" l="1"/>
  <c r="F389" i="1" s="1"/>
  <c r="I390" i="1" s="1"/>
  <c r="H390" i="1" s="1"/>
  <c r="G389" i="1" l="1"/>
  <c r="E390" i="1" s="1"/>
  <c r="F390" i="1" s="1"/>
  <c r="I391" i="1" s="1"/>
  <c r="H391" i="1" s="1"/>
  <c r="G390" i="1" l="1"/>
  <c r="E391" i="1" l="1"/>
  <c r="F391" i="1" s="1"/>
  <c r="I392" i="1" s="1"/>
  <c r="H392" i="1" s="1"/>
  <c r="G391" i="1" l="1"/>
  <c r="E392" i="1" l="1"/>
  <c r="F392" i="1" s="1"/>
  <c r="I393" i="1" s="1"/>
  <c r="H393" i="1" s="1"/>
  <c r="G392" i="1" l="1"/>
  <c r="E393" i="1" s="1"/>
  <c r="F393" i="1" s="1"/>
  <c r="I394" i="1" s="1"/>
  <c r="H394" i="1" s="1"/>
  <c r="G393" i="1" l="1"/>
  <c r="E394" i="1" s="1"/>
  <c r="F394" i="1" s="1"/>
  <c r="I395" i="1" s="1"/>
  <c r="H395" i="1" s="1"/>
  <c r="G394" i="1" l="1"/>
  <c r="E395" i="1" l="1"/>
  <c r="F395" i="1" s="1"/>
  <c r="I396" i="1" s="1"/>
  <c r="H396" i="1" s="1"/>
  <c r="G395" i="1" l="1"/>
  <c r="E396" i="1" l="1"/>
  <c r="F396" i="1" s="1"/>
  <c r="I397" i="1" s="1"/>
  <c r="H397" i="1" s="1"/>
  <c r="G396" i="1" l="1"/>
  <c r="E397" i="1" l="1"/>
  <c r="F397" i="1" s="1"/>
  <c r="I398" i="1" s="1"/>
  <c r="H398" i="1" s="1"/>
  <c r="G397" i="1" l="1"/>
  <c r="E398" i="1" l="1"/>
  <c r="F398" i="1" s="1"/>
  <c r="I399" i="1" s="1"/>
  <c r="H399" i="1" s="1"/>
  <c r="G398" i="1" l="1"/>
  <c r="E399" i="1" s="1"/>
  <c r="F399" i="1" s="1"/>
  <c r="I400" i="1" s="1"/>
  <c r="H400" i="1" s="1"/>
  <c r="G399" i="1" l="1"/>
  <c r="E400" i="1" l="1"/>
  <c r="F400" i="1" s="1"/>
  <c r="I401" i="1" s="1"/>
  <c r="H401" i="1" s="1"/>
  <c r="G400" i="1" l="1"/>
  <c r="E401" i="1" l="1"/>
  <c r="F401" i="1" s="1"/>
  <c r="G401" i="1" l="1"/>
  <c r="I402" i="1"/>
  <c r="H402" i="1" s="1"/>
  <c r="E402" i="1" l="1"/>
  <c r="F402" i="1" s="1"/>
  <c r="G402" i="1" s="1"/>
  <c r="I403" i="1"/>
  <c r="H403" i="1" s="1"/>
  <c r="E403" i="1" l="1"/>
  <c r="F403" i="1" s="1"/>
  <c r="I404" i="1" s="1"/>
  <c r="H404" i="1" s="1"/>
  <c r="G403" i="1" l="1"/>
  <c r="E404" i="1" l="1"/>
  <c r="F404" i="1" s="1"/>
  <c r="I405" i="1" s="1"/>
  <c r="H405" i="1" s="1"/>
  <c r="G404" i="1" l="1"/>
  <c r="E405" i="1" l="1"/>
  <c r="F405" i="1" s="1"/>
  <c r="I406" i="1" s="1"/>
  <c r="H406" i="1" s="1"/>
  <c r="G405" i="1" l="1"/>
  <c r="E406" i="1" l="1"/>
  <c r="F406" i="1" s="1"/>
  <c r="I407" i="1" s="1"/>
  <c r="H407" i="1" s="1"/>
  <c r="G406" i="1" l="1"/>
  <c r="E407" i="1" l="1"/>
  <c r="F407" i="1" s="1"/>
  <c r="G407" i="1" l="1"/>
  <c r="I408" i="1"/>
  <c r="H408" i="1" s="1"/>
  <c r="E408" i="1" l="1"/>
  <c r="F408" i="1" s="1"/>
  <c r="G408" i="1" s="1"/>
  <c r="E409" i="1" s="1"/>
  <c r="F409" i="1" s="1"/>
  <c r="I409" i="1"/>
  <c r="H409" i="1" s="1"/>
  <c r="I410" i="1" l="1"/>
  <c r="H410" i="1" s="1"/>
  <c r="G409" i="1"/>
  <c r="E410" i="1" l="1"/>
  <c r="F410" i="1" s="1"/>
  <c r="I411" i="1" s="1"/>
  <c r="H411" i="1" s="1"/>
  <c r="G410" i="1" l="1"/>
  <c r="E411" i="1" l="1"/>
  <c r="F411" i="1" s="1"/>
  <c r="G411" i="1" l="1"/>
  <c r="I412" i="1"/>
  <c r="H412" i="1" s="1"/>
  <c r="E412" i="1" l="1"/>
  <c r="F412" i="1" s="1"/>
  <c r="G412" i="1" s="1"/>
  <c r="E413" i="1" s="1"/>
  <c r="F413" i="1" s="1"/>
  <c r="G413" i="1" s="1"/>
  <c r="I413" i="1"/>
  <c r="H413" i="1" s="1"/>
  <c r="I414" i="1" l="1"/>
  <c r="H414" i="1" s="1"/>
  <c r="E414" i="1"/>
  <c r="F414" i="1" s="1"/>
  <c r="I415" i="1" l="1"/>
  <c r="H415" i="1" s="1"/>
  <c r="G414" i="1"/>
  <c r="E415" i="1" l="1"/>
  <c r="F415" i="1" s="1"/>
  <c r="G415" i="1" s="1"/>
  <c r="I416" i="1" l="1"/>
  <c r="H416" i="1" s="1"/>
  <c r="E416" i="1"/>
  <c r="F416" i="1" s="1"/>
  <c r="I417" i="1" l="1"/>
  <c r="H417" i="1" s="1"/>
  <c r="G416" i="1"/>
  <c r="E417" i="1" l="1"/>
  <c r="F417" i="1" s="1"/>
  <c r="I418" i="1" s="1"/>
  <c r="H418" i="1" s="1"/>
  <c r="G417" i="1" l="1"/>
  <c r="E418" i="1" l="1"/>
  <c r="F418" i="1" s="1"/>
  <c r="I419" i="1" s="1"/>
  <c r="H419" i="1" s="1"/>
  <c r="G418" i="1" l="1"/>
  <c r="E419" i="1" l="1"/>
  <c r="F419" i="1" s="1"/>
  <c r="G419" i="1" l="1"/>
  <c r="I420" i="1"/>
  <c r="H420" i="1" s="1"/>
  <c r="E420" i="1" l="1"/>
  <c r="F420" i="1" s="1"/>
  <c r="G420" i="1" s="1"/>
  <c r="I421" i="1"/>
  <c r="H421" i="1" s="1"/>
  <c r="E421" i="1" l="1"/>
  <c r="F421" i="1" s="1"/>
  <c r="I422" i="1" s="1"/>
  <c r="H422" i="1" s="1"/>
  <c r="G421" i="1" l="1"/>
  <c r="E422" i="1" l="1"/>
  <c r="F422" i="1" s="1"/>
  <c r="I423" i="1" s="1"/>
  <c r="H423" i="1" s="1"/>
  <c r="G422" i="1" l="1"/>
  <c r="E423" i="1" l="1"/>
  <c r="F423" i="1" s="1"/>
  <c r="G423" i="1" l="1"/>
  <c r="I424" i="1"/>
  <c r="H424" i="1" s="1"/>
  <c r="E424" i="1" l="1"/>
  <c r="F424" i="1" s="1"/>
  <c r="G424" i="1" s="1"/>
  <c r="I425" i="1"/>
  <c r="H425" i="1" s="1"/>
  <c r="E425" i="1" l="1"/>
  <c r="F425" i="1" s="1"/>
  <c r="I426" i="1" s="1"/>
  <c r="H426" i="1" s="1"/>
  <c r="G425" i="1" l="1"/>
  <c r="E426" i="1" l="1"/>
  <c r="F426" i="1" s="1"/>
  <c r="G426" i="1" l="1"/>
  <c r="I427" i="1"/>
  <c r="H427" i="1" s="1"/>
  <c r="E427" i="1" l="1"/>
  <c r="F427" i="1" s="1"/>
  <c r="G427" i="1" s="1"/>
  <c r="I428" i="1"/>
  <c r="H428" i="1" s="1"/>
  <c r="E428" i="1" l="1"/>
  <c r="F428" i="1" s="1"/>
  <c r="I429" i="1" s="1"/>
  <c r="H429" i="1" s="1"/>
  <c r="G428" i="1" l="1"/>
  <c r="E429" i="1" l="1"/>
  <c r="F429" i="1" s="1"/>
  <c r="I430" i="1" s="1"/>
  <c r="H430" i="1" s="1"/>
  <c r="G429" i="1" l="1"/>
  <c r="E430" i="1" l="1"/>
  <c r="F430" i="1" s="1"/>
  <c r="I431" i="1" s="1"/>
  <c r="H431" i="1" s="1"/>
  <c r="G430" i="1" l="1"/>
  <c r="E431" i="1" l="1"/>
  <c r="F431" i="1" s="1"/>
  <c r="I432" i="1" s="1"/>
  <c r="H432" i="1" s="1"/>
  <c r="G431" i="1" l="1"/>
  <c r="E432" i="1" l="1"/>
  <c r="F432" i="1" s="1"/>
  <c r="I433" i="1" s="1"/>
  <c r="H433" i="1" s="1"/>
  <c r="G432" i="1" l="1"/>
  <c r="E433" i="1" l="1"/>
  <c r="F433" i="1" s="1"/>
  <c r="I434" i="1" s="1"/>
  <c r="H434" i="1" s="1"/>
  <c r="G433" i="1" l="1"/>
  <c r="E434" i="1" s="1"/>
  <c r="F434" i="1" s="1"/>
  <c r="I435" i="1" s="1"/>
  <c r="H435" i="1" s="1"/>
  <c r="G434" i="1" l="1"/>
  <c r="E435" i="1" s="1"/>
  <c r="F435" i="1" s="1"/>
  <c r="I436" i="1" s="1"/>
  <c r="H436" i="1" s="1"/>
  <c r="G435" i="1" l="1"/>
  <c r="E436" i="1" l="1"/>
  <c r="F436" i="1" s="1"/>
  <c r="I437" i="1" s="1"/>
  <c r="H437" i="1" s="1"/>
  <c r="G436" i="1" l="1"/>
  <c r="E437" i="1" l="1"/>
  <c r="F437" i="1" s="1"/>
  <c r="I438" i="1" s="1"/>
  <c r="H438" i="1" s="1"/>
  <c r="G437" i="1" l="1"/>
  <c r="E438" i="1" l="1"/>
  <c r="F438" i="1" s="1"/>
  <c r="I439" i="1" s="1"/>
  <c r="H439" i="1" s="1"/>
  <c r="G438" i="1" l="1"/>
  <c r="E439" i="1" l="1"/>
  <c r="F439" i="1" s="1"/>
  <c r="G439" i="1" l="1"/>
  <c r="I440" i="1"/>
  <c r="H440" i="1" s="1"/>
  <c r="E440" i="1" l="1"/>
  <c r="F440" i="1" s="1"/>
  <c r="G440" i="1" s="1"/>
  <c r="I441" i="1"/>
  <c r="H441" i="1" s="1"/>
  <c r="E441" i="1" l="1"/>
  <c r="F441" i="1" s="1"/>
  <c r="I442" i="1" s="1"/>
  <c r="H442" i="1" s="1"/>
  <c r="G441" i="1" l="1"/>
  <c r="E442" i="1" l="1"/>
  <c r="F442" i="1" s="1"/>
  <c r="G442" i="1" l="1"/>
  <c r="I443" i="1"/>
  <c r="H443" i="1" s="1"/>
  <c r="E443" i="1" l="1"/>
  <c r="F443" i="1" s="1"/>
  <c r="G443" i="1" s="1"/>
  <c r="I444" i="1"/>
  <c r="H444" i="1" s="1"/>
  <c r="E444" i="1" l="1"/>
  <c r="F444" i="1" s="1"/>
  <c r="I445" i="1" s="1"/>
  <c r="H445" i="1" s="1"/>
  <c r="G444" i="1" l="1"/>
  <c r="E445" i="1" l="1"/>
  <c r="F445" i="1" s="1"/>
  <c r="I446" i="1" s="1"/>
  <c r="H446" i="1" s="1"/>
  <c r="G445" i="1" l="1"/>
  <c r="E446" i="1" l="1"/>
  <c r="F446" i="1" s="1"/>
  <c r="I447" i="1" s="1"/>
  <c r="H447" i="1" s="1"/>
  <c r="G446" i="1" l="1"/>
  <c r="E447" i="1" l="1"/>
  <c r="F447" i="1" s="1"/>
  <c r="I448" i="1" s="1"/>
  <c r="H448" i="1" s="1"/>
  <c r="G447" i="1" l="1"/>
  <c r="E448" i="1" l="1"/>
  <c r="F448" i="1" s="1"/>
  <c r="G448" i="1" l="1"/>
  <c r="I449" i="1"/>
  <c r="H449" i="1" s="1"/>
  <c r="E449" i="1" l="1"/>
  <c r="F449" i="1" s="1"/>
  <c r="G449" i="1" s="1"/>
  <c r="I450" i="1"/>
  <c r="H450" i="1" s="1"/>
  <c r="E450" i="1" l="1"/>
  <c r="F450" i="1" s="1"/>
  <c r="G450" i="1" s="1"/>
  <c r="I451" i="1"/>
  <c r="H451" i="1" s="1"/>
  <c r="E451" i="1" l="1"/>
  <c r="F451" i="1" s="1"/>
  <c r="I452" i="1" s="1"/>
  <c r="H452" i="1" s="1"/>
  <c r="G451" i="1" l="1"/>
  <c r="E452" i="1" l="1"/>
  <c r="F452" i="1" s="1"/>
  <c r="I453" i="1" s="1"/>
  <c r="H453" i="1" s="1"/>
  <c r="G452" i="1" l="1"/>
  <c r="E453" i="1" l="1"/>
  <c r="F453" i="1" s="1"/>
  <c r="I454" i="1" s="1"/>
  <c r="H454" i="1" s="1"/>
  <c r="G453" i="1" l="1"/>
  <c r="E454" i="1" s="1"/>
  <c r="F454" i="1" s="1"/>
  <c r="I455" i="1" s="1"/>
  <c r="H455" i="1" s="1"/>
  <c r="G454" i="1" l="1"/>
  <c r="E455" i="1" l="1"/>
  <c r="F455" i="1" s="1"/>
  <c r="G455" i="1" l="1"/>
  <c r="I456" i="1"/>
  <c r="H456" i="1" s="1"/>
  <c r="E456" i="1" l="1"/>
  <c r="F456" i="1" s="1"/>
  <c r="G456" i="1" s="1"/>
  <c r="I457" i="1"/>
  <c r="H457" i="1" s="1"/>
  <c r="E457" i="1" l="1"/>
  <c r="F457" i="1" s="1"/>
  <c r="G457" i="1" s="1"/>
  <c r="I458" i="1" l="1"/>
  <c r="H458" i="1" s="1"/>
  <c r="E458" i="1"/>
  <c r="F458" i="1" s="1"/>
  <c r="G458" i="1" s="1"/>
  <c r="I459" i="1" l="1"/>
  <c r="H459" i="1" s="1"/>
  <c r="E459" i="1"/>
  <c r="F459" i="1" s="1"/>
  <c r="G459" i="1" s="1"/>
  <c r="I460" i="1" l="1"/>
  <c r="H460" i="1" s="1"/>
  <c r="E460" i="1"/>
  <c r="F460" i="1" s="1"/>
  <c r="G460" i="1" s="1"/>
  <c r="I461" i="1" l="1"/>
  <c r="H461" i="1" s="1"/>
  <c r="E461" i="1"/>
  <c r="F461" i="1" s="1"/>
  <c r="G461" i="1" s="1"/>
  <c r="I462" i="1" l="1"/>
  <c r="H462" i="1" s="1"/>
  <c r="E462" i="1"/>
  <c r="F462" i="1" s="1"/>
  <c r="G462" i="1" s="1"/>
  <c r="I463" i="1" l="1"/>
  <c r="H463" i="1" s="1"/>
  <c r="E463" i="1"/>
  <c r="F463" i="1" s="1"/>
  <c r="G463" i="1" s="1"/>
  <c r="I464" i="1" l="1"/>
  <c r="H464" i="1" s="1"/>
  <c r="E464" i="1"/>
  <c r="F464" i="1" s="1"/>
  <c r="G464" i="1" s="1"/>
  <c r="I465" i="1" l="1"/>
  <c r="H465" i="1" s="1"/>
  <c r="E465" i="1"/>
  <c r="F465" i="1" s="1"/>
  <c r="G465" i="1" s="1"/>
  <c r="I466" i="1" l="1"/>
  <c r="H466" i="1" s="1"/>
  <c r="E466" i="1"/>
  <c r="F466" i="1" s="1"/>
  <c r="G466" i="1" s="1"/>
  <c r="I467" i="1" l="1"/>
  <c r="H467" i="1" s="1"/>
  <c r="E467" i="1"/>
  <c r="F467" i="1" s="1"/>
  <c r="G467" i="1" s="1"/>
  <c r="I468" i="1" l="1"/>
  <c r="H468" i="1" s="1"/>
  <c r="E468" i="1"/>
  <c r="F468" i="1" s="1"/>
  <c r="G468" i="1" s="1"/>
  <c r="I469" i="1" l="1"/>
  <c r="H469" i="1" s="1"/>
  <c r="E469" i="1"/>
  <c r="F469" i="1" s="1"/>
  <c r="G469" i="1" s="1"/>
  <c r="I470" i="1" l="1"/>
  <c r="H470" i="1" s="1"/>
  <c r="E470" i="1"/>
  <c r="F470" i="1" s="1"/>
  <c r="G470" i="1" s="1"/>
  <c r="I471" i="1" l="1"/>
  <c r="H471" i="1" s="1"/>
  <c r="E471" i="1"/>
  <c r="F471" i="1" s="1"/>
  <c r="G471" i="1" s="1"/>
  <c r="I472" i="1" l="1"/>
  <c r="H472" i="1" s="1"/>
  <c r="E472" i="1"/>
  <c r="F472" i="1" s="1"/>
  <c r="G472" i="1" s="1"/>
  <c r="I473" i="1" l="1"/>
  <c r="H473" i="1" s="1"/>
  <c r="E473" i="1"/>
  <c r="F473" i="1" s="1"/>
  <c r="G473" i="1" s="1"/>
  <c r="I474" i="1" l="1"/>
  <c r="H474" i="1" s="1"/>
  <c r="E474" i="1"/>
  <c r="F474" i="1" s="1"/>
  <c r="G474" i="1" s="1"/>
  <c r="I475" i="1" l="1"/>
  <c r="H475" i="1" s="1"/>
  <c r="E475" i="1"/>
  <c r="F475" i="1" s="1"/>
  <c r="G475" i="1" s="1"/>
  <c r="I476" i="1" l="1"/>
  <c r="H476" i="1" s="1"/>
  <c r="E476" i="1"/>
  <c r="F476" i="1" s="1"/>
  <c r="G476" i="1" s="1"/>
  <c r="I477" i="1" l="1"/>
  <c r="H477" i="1" s="1"/>
  <c r="E477" i="1"/>
  <c r="F477" i="1" s="1"/>
  <c r="G477" i="1" s="1"/>
  <c r="I478" i="1" l="1"/>
  <c r="H478" i="1" s="1"/>
  <c r="E478" i="1"/>
  <c r="F478" i="1" s="1"/>
  <c r="G478" i="1" s="1"/>
  <c r="I479" i="1" l="1"/>
  <c r="H479" i="1" s="1"/>
  <c r="E479" i="1"/>
  <c r="F479" i="1" s="1"/>
  <c r="G479" i="1" s="1"/>
  <c r="I480" i="1" l="1"/>
  <c r="H480" i="1" s="1"/>
  <c r="E480" i="1"/>
  <c r="F480" i="1" s="1"/>
  <c r="G480" i="1" s="1"/>
  <c r="I481" i="1" l="1"/>
  <c r="H481" i="1" s="1"/>
  <c r="E481" i="1"/>
  <c r="F481" i="1" s="1"/>
  <c r="G481" i="1" s="1"/>
  <c r="I482" i="1" l="1"/>
  <c r="H482" i="1" s="1"/>
  <c r="E482" i="1"/>
  <c r="F482" i="1" s="1"/>
  <c r="G482" i="1" s="1"/>
  <c r="I483" i="1" l="1"/>
  <c r="H483" i="1" s="1"/>
  <c r="E483" i="1"/>
  <c r="F483" i="1" s="1"/>
  <c r="G483" i="1" s="1"/>
  <c r="I484" i="1" l="1"/>
  <c r="H484" i="1" s="1"/>
  <c r="E484" i="1"/>
  <c r="F484" i="1" s="1"/>
  <c r="G484" i="1" s="1"/>
  <c r="I485" i="1" l="1"/>
  <c r="H485" i="1" s="1"/>
  <c r="E485" i="1"/>
  <c r="F485" i="1" s="1"/>
  <c r="G485" i="1" s="1"/>
  <c r="I486" i="1" l="1"/>
  <c r="H486" i="1" s="1"/>
  <c r="E486" i="1"/>
  <c r="F486" i="1" s="1"/>
  <c r="G486" i="1" s="1"/>
  <c r="I487" i="1" l="1"/>
  <c r="H487" i="1" s="1"/>
  <c r="E487" i="1"/>
  <c r="F487" i="1" s="1"/>
  <c r="G487" i="1" s="1"/>
  <c r="I488" i="1" l="1"/>
  <c r="H488" i="1" s="1"/>
  <c r="E488" i="1"/>
  <c r="F488" i="1" s="1"/>
  <c r="G488" i="1" s="1"/>
  <c r="I489" i="1" l="1"/>
  <c r="H489" i="1" s="1"/>
  <c r="E489" i="1"/>
  <c r="F489" i="1" s="1"/>
  <c r="G489" i="1" s="1"/>
  <c r="I490" i="1" l="1"/>
  <c r="H490" i="1" s="1"/>
  <c r="E490" i="1"/>
  <c r="F490" i="1" s="1"/>
  <c r="G490" i="1" s="1"/>
  <c r="I491" i="1" l="1"/>
  <c r="H491" i="1" s="1"/>
  <c r="E491" i="1"/>
  <c r="F491" i="1" s="1"/>
  <c r="G491" i="1" s="1"/>
  <c r="I492" i="1" l="1"/>
  <c r="H492" i="1" s="1"/>
  <c r="E492" i="1"/>
  <c r="F492" i="1" s="1"/>
  <c r="G492" i="1" s="1"/>
  <c r="I493" i="1" l="1"/>
  <c r="H493" i="1" s="1"/>
  <c r="E493" i="1"/>
  <c r="F493" i="1" s="1"/>
  <c r="G493" i="1" s="1"/>
  <c r="I494" i="1" l="1"/>
  <c r="H494" i="1" s="1"/>
  <c r="E494" i="1"/>
  <c r="F494" i="1" s="1"/>
  <c r="G494" i="1" s="1"/>
  <c r="I495" i="1" l="1"/>
  <c r="H495" i="1" s="1"/>
  <c r="E495" i="1"/>
  <c r="F495" i="1" s="1"/>
  <c r="G495" i="1" s="1"/>
  <c r="I496" i="1" l="1"/>
  <c r="H496" i="1" s="1"/>
  <c r="E496" i="1"/>
  <c r="F496" i="1" s="1"/>
  <c r="G496" i="1" s="1"/>
  <c r="I497" i="1" l="1"/>
  <c r="H497" i="1" s="1"/>
  <c r="E497" i="1"/>
  <c r="F497" i="1" s="1"/>
  <c r="G497" i="1" s="1"/>
  <c r="I498" i="1" l="1"/>
  <c r="H498" i="1" s="1"/>
  <c r="E498" i="1"/>
  <c r="F498" i="1" s="1"/>
  <c r="G498" i="1" s="1"/>
  <c r="I499" i="1" l="1"/>
  <c r="H499" i="1" s="1"/>
  <c r="E499" i="1"/>
  <c r="F499" i="1" s="1"/>
  <c r="G499" i="1" s="1"/>
  <c r="I500" i="1" l="1"/>
  <c r="H500" i="1" s="1"/>
  <c r="E500" i="1"/>
  <c r="F500" i="1" s="1"/>
  <c r="G500" i="1" s="1"/>
  <c r="I501" i="1" l="1"/>
  <c r="H501" i="1" s="1"/>
  <c r="E501" i="1"/>
  <c r="F501" i="1" s="1"/>
  <c r="G501" i="1" s="1"/>
  <c r="I502" i="1" l="1"/>
  <c r="H502" i="1" s="1"/>
  <c r="E502" i="1"/>
  <c r="F502" i="1" s="1"/>
  <c r="G502" i="1" s="1"/>
  <c r="I503" i="1" l="1"/>
  <c r="H503" i="1" s="1"/>
  <c r="E503" i="1"/>
  <c r="F503" i="1" s="1"/>
  <c r="G503" i="1" s="1"/>
  <c r="I504" i="1" l="1"/>
  <c r="H504" i="1" s="1"/>
  <c r="E504" i="1"/>
  <c r="F504" i="1" s="1"/>
  <c r="G504" i="1" s="1"/>
  <c r="I505" i="1" l="1"/>
  <c r="H505" i="1" s="1"/>
  <c r="E505" i="1"/>
  <c r="F505" i="1" s="1"/>
  <c r="G505" i="1" s="1"/>
  <c r="I506" i="1" l="1"/>
  <c r="H506" i="1" s="1"/>
  <c r="E506" i="1"/>
  <c r="F506" i="1" s="1"/>
  <c r="G506" i="1" s="1"/>
  <c r="I507" i="1" l="1"/>
  <c r="H507" i="1" s="1"/>
  <c r="E507" i="1"/>
  <c r="F507" i="1" s="1"/>
  <c r="G507" i="1" s="1"/>
  <c r="I508" i="1" l="1"/>
  <c r="H508" i="1" s="1"/>
  <c r="E508" i="1"/>
  <c r="F508" i="1" s="1"/>
  <c r="G508" i="1" s="1"/>
  <c r="I509" i="1" l="1"/>
  <c r="H509" i="1" s="1"/>
  <c r="E509" i="1"/>
  <c r="F509" i="1" s="1"/>
  <c r="G509" i="1" s="1"/>
  <c r="I510" i="1" l="1"/>
  <c r="H510" i="1" s="1"/>
  <c r="E510" i="1"/>
  <c r="F510" i="1" s="1"/>
  <c r="G510" i="1" s="1"/>
  <c r="I511" i="1" l="1"/>
  <c r="H511" i="1" s="1"/>
  <c r="E511" i="1"/>
  <c r="F511" i="1" s="1"/>
  <c r="G511" i="1" s="1"/>
  <c r="I512" i="1" l="1"/>
  <c r="H512" i="1" s="1"/>
  <c r="E512" i="1"/>
  <c r="F512" i="1" s="1"/>
  <c r="G512" i="1" s="1"/>
  <c r="I513" i="1" l="1"/>
  <c r="H513" i="1" s="1"/>
  <c r="E513" i="1"/>
  <c r="F513" i="1" s="1"/>
  <c r="G513" i="1" s="1"/>
  <c r="I514" i="1" l="1"/>
  <c r="H514" i="1" s="1"/>
  <c r="E514" i="1"/>
  <c r="F514" i="1" s="1"/>
  <c r="G514" i="1" s="1"/>
  <c r="I515" i="1" l="1"/>
  <c r="H515" i="1" s="1"/>
  <c r="E515" i="1"/>
  <c r="F515" i="1" s="1"/>
  <c r="G515" i="1" s="1"/>
  <c r="I516" i="1" l="1"/>
  <c r="H516" i="1" s="1"/>
  <c r="E516" i="1"/>
  <c r="F516" i="1" s="1"/>
  <c r="G516" i="1" s="1"/>
  <c r="I517" i="1" l="1"/>
  <c r="H517" i="1" s="1"/>
  <c r="E517" i="1"/>
  <c r="F517" i="1" s="1"/>
  <c r="G517" i="1" s="1"/>
  <c r="I518" i="1" l="1"/>
  <c r="H518" i="1" s="1"/>
  <c r="E518" i="1"/>
  <c r="F518" i="1" s="1"/>
  <c r="G518" i="1" s="1"/>
  <c r="I519" i="1" l="1"/>
  <c r="H519" i="1" s="1"/>
  <c r="E519" i="1"/>
  <c r="F519" i="1" s="1"/>
  <c r="G519" i="1" s="1"/>
  <c r="I520" i="1" l="1"/>
  <c r="H520" i="1" s="1"/>
  <c r="E520" i="1"/>
  <c r="F520" i="1" s="1"/>
  <c r="G520" i="1" s="1"/>
  <c r="I521" i="1" l="1"/>
  <c r="H521" i="1" s="1"/>
  <c r="E521" i="1"/>
  <c r="F521" i="1" s="1"/>
  <c r="G521" i="1" s="1"/>
  <c r="I522" i="1" l="1"/>
  <c r="H522" i="1" s="1"/>
  <c r="E522" i="1"/>
  <c r="F522" i="1" s="1"/>
  <c r="G522" i="1" s="1"/>
  <c r="I523" i="1" l="1"/>
  <c r="H523" i="1" s="1"/>
  <c r="E523" i="1"/>
  <c r="F523" i="1" s="1"/>
  <c r="G523" i="1" s="1"/>
  <c r="I524" i="1" l="1"/>
  <c r="H524" i="1" s="1"/>
  <c r="E524" i="1"/>
  <c r="F524" i="1" s="1"/>
  <c r="G524" i="1" s="1"/>
  <c r="I525" i="1" l="1"/>
  <c r="H525" i="1" s="1"/>
  <c r="E525" i="1"/>
  <c r="F525" i="1" s="1"/>
  <c r="G525" i="1" s="1"/>
  <c r="I526" i="1" l="1"/>
  <c r="H526" i="1" s="1"/>
  <c r="E526" i="1"/>
  <c r="F526" i="1" s="1"/>
  <c r="G526" i="1" s="1"/>
  <c r="I527" i="1" l="1"/>
  <c r="H527" i="1" s="1"/>
  <c r="E527" i="1"/>
  <c r="F527" i="1" s="1"/>
  <c r="G527" i="1" s="1"/>
  <c r="I528" i="1" l="1"/>
  <c r="H528" i="1" s="1"/>
  <c r="E528" i="1"/>
  <c r="F528" i="1" s="1"/>
  <c r="G528" i="1" s="1"/>
  <c r="I529" i="1" l="1"/>
  <c r="H529" i="1" s="1"/>
  <c r="E529" i="1"/>
  <c r="F529" i="1" s="1"/>
  <c r="G529" i="1" s="1"/>
  <c r="I530" i="1" l="1"/>
  <c r="H530" i="1" s="1"/>
  <c r="E530" i="1"/>
  <c r="F530" i="1" s="1"/>
  <c r="G530" i="1" s="1"/>
  <c r="I531" i="1" l="1"/>
  <c r="H531" i="1" s="1"/>
  <c r="E531" i="1"/>
  <c r="F531" i="1" s="1"/>
  <c r="G531" i="1" s="1"/>
  <c r="I532" i="1" l="1"/>
  <c r="H532" i="1" s="1"/>
  <c r="E532" i="1"/>
  <c r="F532" i="1" s="1"/>
  <c r="G532" i="1" s="1"/>
  <c r="I533" i="1" l="1"/>
  <c r="H533" i="1" s="1"/>
  <c r="E533" i="1"/>
  <c r="F533" i="1" s="1"/>
  <c r="G533" i="1" s="1"/>
  <c r="I534" i="1" l="1"/>
  <c r="H534" i="1" s="1"/>
  <c r="E534" i="1"/>
  <c r="F534" i="1" s="1"/>
  <c r="G534" i="1" s="1"/>
  <c r="I535" i="1" l="1"/>
  <c r="H535" i="1" s="1"/>
  <c r="E535" i="1"/>
  <c r="F535" i="1" s="1"/>
  <c r="G535" i="1" s="1"/>
  <c r="I536" i="1" l="1"/>
  <c r="H536" i="1" s="1"/>
  <c r="E536" i="1"/>
  <c r="F536" i="1" s="1"/>
  <c r="G536" i="1" s="1"/>
  <c r="I537" i="1" l="1"/>
  <c r="H537" i="1" s="1"/>
  <c r="E537" i="1"/>
  <c r="F537" i="1" s="1"/>
  <c r="G537" i="1" s="1"/>
  <c r="I538" i="1" l="1"/>
  <c r="H538" i="1" s="1"/>
  <c r="E538" i="1"/>
  <c r="F538" i="1" s="1"/>
  <c r="G538" i="1" s="1"/>
  <c r="I539" i="1" l="1"/>
  <c r="H539" i="1" s="1"/>
  <c r="E539" i="1"/>
  <c r="F539" i="1" s="1"/>
  <c r="G539" i="1" s="1"/>
  <c r="I540" i="1" l="1"/>
  <c r="H540" i="1" s="1"/>
  <c r="E540" i="1"/>
  <c r="F540" i="1" s="1"/>
  <c r="G540" i="1" s="1"/>
  <c r="I541" i="1" l="1"/>
  <c r="H541" i="1" s="1"/>
  <c r="E541" i="1"/>
  <c r="F541" i="1" s="1"/>
  <c r="G541" i="1" s="1"/>
  <c r="I542" i="1" l="1"/>
  <c r="H542" i="1" s="1"/>
  <c r="E542" i="1"/>
  <c r="F542" i="1" s="1"/>
  <c r="G542" i="1" s="1"/>
  <c r="I543" i="1" l="1"/>
  <c r="H543" i="1" s="1"/>
  <c r="E543" i="1"/>
  <c r="F543" i="1" s="1"/>
  <c r="G543" i="1" s="1"/>
  <c r="I544" i="1" l="1"/>
  <c r="H544" i="1" s="1"/>
  <c r="E544" i="1"/>
  <c r="F544" i="1" s="1"/>
  <c r="G544" i="1" s="1"/>
  <c r="I545" i="1" l="1"/>
  <c r="H545" i="1" s="1"/>
  <c r="E545" i="1"/>
  <c r="F545" i="1" s="1"/>
  <c r="G545" i="1" s="1"/>
  <c r="I546" i="1" l="1"/>
  <c r="H546" i="1" s="1"/>
  <c r="E546" i="1"/>
  <c r="F546" i="1" s="1"/>
  <c r="G546" i="1" s="1"/>
  <c r="I547" i="1" l="1"/>
  <c r="H547" i="1" s="1"/>
  <c r="E547" i="1"/>
  <c r="F547" i="1" s="1"/>
  <c r="G547" i="1" s="1"/>
  <c r="I548" i="1" l="1"/>
  <c r="H548" i="1" s="1"/>
  <c r="E548" i="1"/>
  <c r="F548" i="1" s="1"/>
  <c r="G548" i="1" s="1"/>
  <c r="I549" i="1" l="1"/>
  <c r="H549" i="1" s="1"/>
  <c r="E549" i="1"/>
  <c r="F549" i="1" s="1"/>
  <c r="G549" i="1" s="1"/>
  <c r="I550" i="1" l="1"/>
  <c r="H550" i="1" s="1"/>
  <c r="E550" i="1"/>
  <c r="F550" i="1" s="1"/>
  <c r="G550" i="1" s="1"/>
  <c r="I551" i="1" l="1"/>
  <c r="H551" i="1" s="1"/>
  <c r="E551" i="1"/>
  <c r="F551" i="1" s="1"/>
  <c r="G551" i="1" s="1"/>
  <c r="I552" i="1" l="1"/>
  <c r="H552" i="1" s="1"/>
  <c r="E552" i="1"/>
  <c r="F552" i="1" s="1"/>
  <c r="G552" i="1" s="1"/>
  <c r="I553" i="1" l="1"/>
  <c r="H553" i="1" s="1"/>
  <c r="E553" i="1"/>
  <c r="F553" i="1" s="1"/>
  <c r="G553" i="1" s="1"/>
  <c r="I554" i="1" l="1"/>
  <c r="H554" i="1" s="1"/>
  <c r="E554" i="1"/>
  <c r="F554" i="1" s="1"/>
  <c r="G554" i="1" s="1"/>
  <c r="I555" i="1" l="1"/>
  <c r="H555" i="1" s="1"/>
  <c r="E555" i="1"/>
  <c r="F555" i="1" s="1"/>
  <c r="G555" i="1" s="1"/>
  <c r="I556" i="1" l="1"/>
  <c r="H556" i="1" s="1"/>
  <c r="E556" i="1"/>
  <c r="F556" i="1" s="1"/>
  <c r="G556" i="1" s="1"/>
  <c r="I557" i="1" l="1"/>
  <c r="H557" i="1" s="1"/>
  <c r="E557" i="1"/>
  <c r="F557" i="1" s="1"/>
  <c r="G557" i="1" s="1"/>
  <c r="I558" i="1" l="1"/>
  <c r="H558" i="1" s="1"/>
  <c r="E558" i="1"/>
  <c r="F558" i="1" s="1"/>
  <c r="G558" i="1" s="1"/>
  <c r="I559" i="1" l="1"/>
  <c r="H559" i="1" s="1"/>
  <c r="E559" i="1"/>
  <c r="F559" i="1" s="1"/>
  <c r="G559" i="1" s="1"/>
  <c r="I560" i="1" l="1"/>
  <c r="H560" i="1" s="1"/>
  <c r="E560" i="1"/>
  <c r="F560" i="1" s="1"/>
  <c r="G560" i="1" s="1"/>
  <c r="I561" i="1" l="1"/>
  <c r="H561" i="1" s="1"/>
  <c r="E561" i="1"/>
  <c r="F561" i="1" s="1"/>
  <c r="G561" i="1" s="1"/>
  <c r="I562" i="1" l="1"/>
  <c r="H562" i="1" s="1"/>
  <c r="E562" i="1"/>
  <c r="F562" i="1" s="1"/>
  <c r="G562" i="1" s="1"/>
  <c r="I563" i="1" l="1"/>
  <c r="H563" i="1" s="1"/>
  <c r="E563" i="1"/>
  <c r="F563" i="1" s="1"/>
  <c r="G563" i="1" s="1"/>
  <c r="I564" i="1" l="1"/>
  <c r="H564" i="1" s="1"/>
  <c r="E564" i="1"/>
  <c r="F564" i="1" s="1"/>
  <c r="G564" i="1" s="1"/>
  <c r="I565" i="1" l="1"/>
  <c r="H565" i="1" s="1"/>
  <c r="E565" i="1"/>
  <c r="F565" i="1" s="1"/>
  <c r="G565" i="1" s="1"/>
  <c r="I566" i="1" l="1"/>
  <c r="H566" i="1" s="1"/>
  <c r="E566" i="1"/>
  <c r="F566" i="1" s="1"/>
  <c r="G566" i="1" s="1"/>
  <c r="I567" i="1" l="1"/>
  <c r="H567" i="1" s="1"/>
  <c r="E567" i="1"/>
  <c r="F567" i="1" s="1"/>
  <c r="G567" i="1" s="1"/>
  <c r="I568" i="1" l="1"/>
  <c r="H568" i="1" s="1"/>
  <c r="E568" i="1"/>
  <c r="F568" i="1" s="1"/>
  <c r="G568" i="1" s="1"/>
  <c r="I569" i="1" l="1"/>
  <c r="H569" i="1" s="1"/>
  <c r="E569" i="1"/>
  <c r="F569" i="1" s="1"/>
  <c r="G569" i="1" s="1"/>
  <c r="I570" i="1" l="1"/>
  <c r="H570" i="1" s="1"/>
  <c r="E570" i="1"/>
  <c r="F570" i="1" s="1"/>
  <c r="G570" i="1" s="1"/>
  <c r="I571" i="1" l="1"/>
  <c r="H571" i="1" s="1"/>
  <c r="E571" i="1"/>
  <c r="F571" i="1" s="1"/>
  <c r="G571" i="1" s="1"/>
  <c r="I572" i="1" l="1"/>
  <c r="H572" i="1" s="1"/>
  <c r="E572" i="1"/>
  <c r="F572" i="1" s="1"/>
  <c r="G572" i="1" s="1"/>
  <c r="I573" i="1" l="1"/>
  <c r="H573" i="1" s="1"/>
  <c r="E573" i="1"/>
  <c r="F573" i="1" s="1"/>
  <c r="G573" i="1" s="1"/>
  <c r="I574" i="1" l="1"/>
  <c r="H574" i="1" s="1"/>
  <c r="E574" i="1"/>
  <c r="F574" i="1" s="1"/>
  <c r="G574" i="1" s="1"/>
  <c r="I575" i="1" l="1"/>
  <c r="H575" i="1" s="1"/>
  <c r="E575" i="1"/>
  <c r="F575" i="1" s="1"/>
  <c r="G575" i="1" s="1"/>
  <c r="I576" i="1" l="1"/>
  <c r="H576" i="1" s="1"/>
  <c r="E576" i="1"/>
  <c r="F576" i="1" s="1"/>
  <c r="G576" i="1" s="1"/>
  <c r="I577" i="1" l="1"/>
  <c r="H577" i="1" s="1"/>
  <c r="E577" i="1"/>
  <c r="F577" i="1" s="1"/>
  <c r="G577" i="1" s="1"/>
  <c r="I578" i="1" l="1"/>
  <c r="H578" i="1" s="1"/>
  <c r="E578" i="1"/>
  <c r="F578" i="1" s="1"/>
  <c r="G578" i="1" s="1"/>
  <c r="I579" i="1" l="1"/>
  <c r="H579" i="1" s="1"/>
  <c r="E579" i="1"/>
  <c r="F579" i="1" s="1"/>
  <c r="G579" i="1" s="1"/>
  <c r="I580" i="1" l="1"/>
  <c r="H580" i="1" s="1"/>
  <c r="E580" i="1"/>
  <c r="F580" i="1" s="1"/>
  <c r="G580" i="1" s="1"/>
  <c r="I581" i="1" l="1"/>
  <c r="H581" i="1" s="1"/>
  <c r="E581" i="1"/>
  <c r="F581" i="1" s="1"/>
  <c r="G581" i="1" s="1"/>
  <c r="I582" i="1" l="1"/>
  <c r="H582" i="1" s="1"/>
  <c r="E582" i="1"/>
  <c r="F582" i="1" s="1"/>
  <c r="G582" i="1" s="1"/>
  <c r="I583" i="1" l="1"/>
  <c r="H583" i="1" s="1"/>
  <c r="E583" i="1"/>
  <c r="F583" i="1" s="1"/>
  <c r="G583" i="1" s="1"/>
  <c r="I584" i="1" l="1"/>
  <c r="H584" i="1" s="1"/>
  <c r="E584" i="1"/>
  <c r="F584" i="1" s="1"/>
  <c r="G584" i="1" s="1"/>
  <c r="I585" i="1" l="1"/>
  <c r="H585" i="1" s="1"/>
  <c r="E585" i="1"/>
  <c r="F585" i="1" s="1"/>
  <c r="G585" i="1" s="1"/>
  <c r="I586" i="1" l="1"/>
  <c r="H586" i="1" s="1"/>
  <c r="E586" i="1"/>
  <c r="F586" i="1" s="1"/>
  <c r="G586" i="1" s="1"/>
  <c r="I587" i="1" l="1"/>
  <c r="H587" i="1" s="1"/>
  <c r="E587" i="1"/>
  <c r="F587" i="1" s="1"/>
  <c r="G587" i="1" s="1"/>
  <c r="I588" i="1" l="1"/>
  <c r="H588" i="1" s="1"/>
  <c r="E588" i="1"/>
  <c r="F588" i="1" s="1"/>
  <c r="G588" i="1" s="1"/>
  <c r="I589" i="1" l="1"/>
  <c r="H589" i="1" s="1"/>
  <c r="E589" i="1"/>
  <c r="F589" i="1" s="1"/>
  <c r="G589" i="1" s="1"/>
  <c r="I590" i="1" l="1"/>
  <c r="H590" i="1" s="1"/>
  <c r="E590" i="1"/>
  <c r="F590" i="1" s="1"/>
  <c r="G590" i="1" s="1"/>
  <c r="I591" i="1" l="1"/>
  <c r="H591" i="1" s="1"/>
  <c r="E591" i="1"/>
  <c r="F591" i="1" s="1"/>
  <c r="G591" i="1" s="1"/>
  <c r="I592" i="1" l="1"/>
  <c r="H592" i="1" s="1"/>
  <c r="E592" i="1"/>
  <c r="F592" i="1" s="1"/>
  <c r="G592" i="1" s="1"/>
  <c r="I593" i="1" l="1"/>
  <c r="H593" i="1" s="1"/>
  <c r="E593" i="1"/>
  <c r="F593" i="1" s="1"/>
  <c r="G593" i="1" s="1"/>
  <c r="I594" i="1" l="1"/>
  <c r="H594" i="1" s="1"/>
  <c r="E594" i="1"/>
  <c r="F594" i="1" s="1"/>
  <c r="G594" i="1" s="1"/>
  <c r="I595" i="1" l="1"/>
  <c r="H595" i="1" s="1"/>
  <c r="E595" i="1"/>
  <c r="F595" i="1" s="1"/>
  <c r="G595" i="1" s="1"/>
  <c r="I596" i="1" l="1"/>
  <c r="H596" i="1" s="1"/>
  <c r="E596" i="1"/>
  <c r="F596" i="1" s="1"/>
  <c r="G596" i="1" s="1"/>
  <c r="I597" i="1" l="1"/>
  <c r="H597" i="1" s="1"/>
  <c r="E597" i="1"/>
  <c r="F597" i="1" s="1"/>
  <c r="G597" i="1" s="1"/>
  <c r="I598" i="1" l="1"/>
  <c r="H598" i="1" s="1"/>
  <c r="E598" i="1"/>
  <c r="F598" i="1" s="1"/>
  <c r="G598" i="1" s="1"/>
  <c r="I599" i="1" l="1"/>
  <c r="H599" i="1" s="1"/>
  <c r="E599" i="1"/>
  <c r="F599" i="1" s="1"/>
  <c r="G599" i="1" s="1"/>
  <c r="I600" i="1" l="1"/>
  <c r="H600" i="1" s="1"/>
  <c r="E600" i="1"/>
  <c r="F600" i="1" s="1"/>
  <c r="G600" i="1" s="1"/>
  <c r="I601" i="1" l="1"/>
  <c r="H601" i="1" s="1"/>
  <c r="E601" i="1"/>
  <c r="F601" i="1" s="1"/>
  <c r="G601" i="1" s="1"/>
  <c r="I602" i="1" l="1"/>
  <c r="H602" i="1" s="1"/>
  <c r="E602" i="1"/>
  <c r="F602" i="1" s="1"/>
  <c r="G602" i="1" s="1"/>
  <c r="I603" i="1" l="1"/>
  <c r="H603" i="1" s="1"/>
  <c r="E603" i="1"/>
  <c r="F603" i="1" s="1"/>
  <c r="G603" i="1" s="1"/>
  <c r="I604" i="1" l="1"/>
  <c r="H604" i="1" s="1"/>
  <c r="E604" i="1"/>
  <c r="F604" i="1" s="1"/>
  <c r="G604" i="1" s="1"/>
  <c r="I605" i="1" l="1"/>
  <c r="H605" i="1" s="1"/>
  <c r="E605" i="1"/>
  <c r="F605" i="1" s="1"/>
  <c r="G605" i="1" s="1"/>
  <c r="I606" i="1" l="1"/>
  <c r="H606" i="1" s="1"/>
  <c r="E606" i="1"/>
  <c r="F606" i="1" s="1"/>
  <c r="G606" i="1" s="1"/>
  <c r="I607" i="1" l="1"/>
  <c r="H607" i="1" s="1"/>
  <c r="E607" i="1"/>
  <c r="F607" i="1" s="1"/>
  <c r="G607" i="1" s="1"/>
  <c r="I608" i="1" l="1"/>
  <c r="H608" i="1" s="1"/>
  <c r="E608" i="1"/>
  <c r="F608" i="1" s="1"/>
  <c r="G608" i="1" s="1"/>
  <c r="I609" i="1" l="1"/>
  <c r="H609" i="1" s="1"/>
  <c r="E609" i="1"/>
  <c r="F609" i="1" s="1"/>
  <c r="G609" i="1" s="1"/>
  <c r="I610" i="1" l="1"/>
  <c r="H610" i="1" s="1"/>
  <c r="E610" i="1"/>
  <c r="F610" i="1" s="1"/>
  <c r="G610" i="1" s="1"/>
  <c r="I611" i="1" l="1"/>
  <c r="H611" i="1" s="1"/>
  <c r="E611" i="1"/>
  <c r="F611" i="1" s="1"/>
  <c r="G611" i="1" s="1"/>
  <c r="I612" i="1" l="1"/>
  <c r="H612" i="1" s="1"/>
  <c r="E612" i="1"/>
  <c r="F612" i="1" s="1"/>
  <c r="G612" i="1" s="1"/>
  <c r="I613" i="1" l="1"/>
  <c r="H613" i="1" s="1"/>
  <c r="E613" i="1"/>
  <c r="F613" i="1" s="1"/>
  <c r="G613" i="1" s="1"/>
  <c r="I614" i="1" l="1"/>
  <c r="H614" i="1" s="1"/>
  <c r="E614" i="1"/>
  <c r="F614" i="1" s="1"/>
  <c r="G614" i="1" s="1"/>
  <c r="I615" i="1" l="1"/>
  <c r="H615" i="1" s="1"/>
  <c r="E615" i="1"/>
  <c r="F615" i="1" s="1"/>
  <c r="G615" i="1" s="1"/>
  <c r="I616" i="1" l="1"/>
  <c r="H616" i="1" s="1"/>
  <c r="E616" i="1"/>
  <c r="F616" i="1" s="1"/>
  <c r="G616" i="1" s="1"/>
  <c r="I617" i="1" l="1"/>
  <c r="H617" i="1" s="1"/>
  <c r="E617" i="1"/>
  <c r="F617" i="1" s="1"/>
  <c r="G617" i="1" s="1"/>
  <c r="I618" i="1" l="1"/>
  <c r="H618" i="1" s="1"/>
  <c r="E618" i="1"/>
  <c r="F618" i="1" s="1"/>
  <c r="G618" i="1" s="1"/>
  <c r="I619" i="1" l="1"/>
  <c r="H619" i="1" s="1"/>
  <c r="E619" i="1"/>
  <c r="F619" i="1" s="1"/>
  <c r="G619" i="1" s="1"/>
  <c r="I620" i="1" l="1"/>
  <c r="H620" i="1" s="1"/>
  <c r="E620" i="1"/>
  <c r="F620" i="1" s="1"/>
  <c r="G620" i="1" s="1"/>
  <c r="I621" i="1" l="1"/>
  <c r="H621" i="1" s="1"/>
  <c r="E621" i="1"/>
  <c r="F621" i="1" s="1"/>
  <c r="G621" i="1" s="1"/>
  <c r="I622" i="1" l="1"/>
  <c r="H622" i="1" s="1"/>
  <c r="E622" i="1"/>
  <c r="F622" i="1" s="1"/>
  <c r="G622" i="1" s="1"/>
  <c r="I623" i="1" l="1"/>
  <c r="H623" i="1" s="1"/>
  <c r="E623" i="1"/>
  <c r="F623" i="1" s="1"/>
  <c r="G623" i="1" s="1"/>
  <c r="I624" i="1" l="1"/>
  <c r="H624" i="1" s="1"/>
  <c r="E624" i="1"/>
  <c r="F624" i="1" s="1"/>
  <c r="G624" i="1" s="1"/>
  <c r="I625" i="1" l="1"/>
  <c r="H625" i="1" s="1"/>
  <c r="E625" i="1"/>
  <c r="F625" i="1" s="1"/>
  <c r="G625" i="1" s="1"/>
  <c r="I626" i="1" l="1"/>
  <c r="H626" i="1" s="1"/>
  <c r="E626" i="1"/>
  <c r="F626" i="1" s="1"/>
  <c r="G626" i="1" s="1"/>
  <c r="I627" i="1" l="1"/>
  <c r="H627" i="1" s="1"/>
  <c r="E627" i="1"/>
  <c r="F627" i="1" s="1"/>
  <c r="G627" i="1" s="1"/>
  <c r="I628" i="1" l="1"/>
  <c r="H628" i="1" s="1"/>
  <c r="E628" i="1"/>
  <c r="F628" i="1" s="1"/>
  <c r="G628" i="1" s="1"/>
  <c r="I629" i="1" l="1"/>
  <c r="H629" i="1" s="1"/>
  <c r="E629" i="1"/>
  <c r="F629" i="1" s="1"/>
  <c r="G629" i="1" s="1"/>
  <c r="I630" i="1" l="1"/>
  <c r="H630" i="1" s="1"/>
  <c r="E630" i="1"/>
  <c r="F630" i="1" s="1"/>
  <c r="G630" i="1" s="1"/>
  <c r="I631" i="1" l="1"/>
  <c r="H631" i="1" s="1"/>
  <c r="E631" i="1"/>
  <c r="F631" i="1" s="1"/>
  <c r="G631" i="1" s="1"/>
  <c r="I632" i="1" l="1"/>
  <c r="H632" i="1" s="1"/>
  <c r="E632" i="1"/>
  <c r="F632" i="1" s="1"/>
  <c r="G632" i="1" s="1"/>
  <c r="I633" i="1" l="1"/>
  <c r="H633" i="1" s="1"/>
  <c r="E633" i="1"/>
  <c r="F633" i="1" s="1"/>
  <c r="G633" i="1" s="1"/>
  <c r="I634" i="1" l="1"/>
  <c r="H634" i="1" s="1"/>
  <c r="E634" i="1"/>
  <c r="F634" i="1" s="1"/>
  <c r="G634" i="1" s="1"/>
  <c r="I635" i="1" l="1"/>
  <c r="H635" i="1" s="1"/>
  <c r="E635" i="1"/>
  <c r="F635" i="1" s="1"/>
  <c r="G635" i="1" s="1"/>
  <c r="I636" i="1" l="1"/>
  <c r="H636" i="1" s="1"/>
  <c r="E636" i="1"/>
  <c r="F636" i="1" s="1"/>
  <c r="G636" i="1" s="1"/>
  <c r="I637" i="1" l="1"/>
  <c r="H637" i="1" s="1"/>
  <c r="E637" i="1"/>
  <c r="F637" i="1" s="1"/>
  <c r="G637" i="1" s="1"/>
  <c r="I638" i="1" l="1"/>
  <c r="H638" i="1" s="1"/>
  <c r="E638" i="1"/>
  <c r="F638" i="1" s="1"/>
  <c r="G638" i="1" s="1"/>
  <c r="I639" i="1" l="1"/>
  <c r="H639" i="1" s="1"/>
  <c r="E639" i="1"/>
  <c r="F639" i="1" s="1"/>
  <c r="G639" i="1" s="1"/>
  <c r="I640" i="1" l="1"/>
  <c r="H640" i="1" s="1"/>
  <c r="E640" i="1"/>
  <c r="F640" i="1" s="1"/>
  <c r="G640" i="1" s="1"/>
  <c r="I641" i="1" l="1"/>
  <c r="H641" i="1" s="1"/>
  <c r="E641" i="1"/>
  <c r="F641" i="1" s="1"/>
  <c r="G641" i="1" s="1"/>
  <c r="I642" i="1" l="1"/>
  <c r="H642" i="1" s="1"/>
  <c r="E642" i="1"/>
  <c r="F642" i="1" s="1"/>
  <c r="G642" i="1" s="1"/>
  <c r="I643" i="1" l="1"/>
  <c r="H643" i="1" s="1"/>
  <c r="E643" i="1"/>
  <c r="F643" i="1" s="1"/>
  <c r="G643" i="1" s="1"/>
  <c r="I644" i="1" l="1"/>
  <c r="H644" i="1" s="1"/>
  <c r="E644" i="1"/>
  <c r="F644" i="1" s="1"/>
  <c r="G644" i="1" s="1"/>
  <c r="I645" i="1" l="1"/>
  <c r="H645" i="1" s="1"/>
  <c r="E645" i="1"/>
  <c r="F645" i="1" s="1"/>
  <c r="G645" i="1" s="1"/>
  <c r="I646" i="1" l="1"/>
  <c r="H646" i="1" s="1"/>
  <c r="E646" i="1"/>
  <c r="F646" i="1" s="1"/>
  <c r="G646" i="1" s="1"/>
  <c r="I647" i="1" l="1"/>
  <c r="H647" i="1" s="1"/>
  <c r="E647" i="1"/>
  <c r="F647" i="1" s="1"/>
  <c r="G647" i="1" s="1"/>
  <c r="I648" i="1" l="1"/>
  <c r="H648" i="1" s="1"/>
  <c r="E648" i="1"/>
  <c r="F648" i="1" s="1"/>
  <c r="G648" i="1" s="1"/>
  <c r="I649" i="1" l="1"/>
  <c r="H649" i="1" s="1"/>
  <c r="E649" i="1"/>
  <c r="F649" i="1" s="1"/>
  <c r="G649" i="1" s="1"/>
  <c r="I650" i="1" l="1"/>
  <c r="H650" i="1" s="1"/>
  <c r="E650" i="1"/>
  <c r="F650" i="1" s="1"/>
  <c r="G650" i="1" s="1"/>
  <c r="I651" i="1" l="1"/>
  <c r="H651" i="1" s="1"/>
  <c r="E651" i="1"/>
  <c r="F651" i="1" s="1"/>
  <c r="G651" i="1" s="1"/>
  <c r="I652" i="1" l="1"/>
  <c r="H652" i="1" s="1"/>
  <c r="E652" i="1"/>
  <c r="F652" i="1" s="1"/>
  <c r="G652" i="1" s="1"/>
  <c r="I653" i="1" l="1"/>
  <c r="H653" i="1" s="1"/>
  <c r="E653" i="1"/>
  <c r="F653" i="1" s="1"/>
  <c r="G653" i="1" s="1"/>
  <c r="I654" i="1" l="1"/>
  <c r="H654" i="1" s="1"/>
  <c r="E654" i="1"/>
  <c r="F654" i="1" s="1"/>
  <c r="G654" i="1" s="1"/>
  <c r="I655" i="1" l="1"/>
  <c r="H655" i="1" s="1"/>
  <c r="E655" i="1"/>
  <c r="F655" i="1" s="1"/>
  <c r="G655" i="1" s="1"/>
  <c r="I656" i="1" l="1"/>
  <c r="H656" i="1" s="1"/>
  <c r="E656" i="1"/>
  <c r="F656" i="1" s="1"/>
  <c r="G656" i="1" s="1"/>
  <c r="I657" i="1" l="1"/>
  <c r="H657" i="1" s="1"/>
  <c r="E657" i="1"/>
  <c r="F657" i="1" s="1"/>
  <c r="G657" i="1" s="1"/>
  <c r="I658" i="1" l="1"/>
  <c r="H658" i="1" s="1"/>
  <c r="E658" i="1"/>
  <c r="F658" i="1" s="1"/>
  <c r="G658" i="1" s="1"/>
  <c r="I659" i="1" l="1"/>
  <c r="H659" i="1" s="1"/>
  <c r="E659" i="1"/>
  <c r="F659" i="1" s="1"/>
  <c r="G659" i="1" s="1"/>
  <c r="I660" i="1" l="1"/>
  <c r="H660" i="1" s="1"/>
  <c r="E660" i="1"/>
  <c r="F660" i="1" s="1"/>
  <c r="G660" i="1" s="1"/>
  <c r="I661" i="1" l="1"/>
  <c r="H661" i="1" s="1"/>
  <c r="E661" i="1"/>
  <c r="F661" i="1" s="1"/>
  <c r="G661" i="1" s="1"/>
  <c r="I662" i="1" l="1"/>
  <c r="H662" i="1" s="1"/>
  <c r="E662" i="1"/>
  <c r="F662" i="1" s="1"/>
  <c r="G662" i="1" s="1"/>
  <c r="I663" i="1" l="1"/>
  <c r="H663" i="1" s="1"/>
  <c r="E663" i="1"/>
  <c r="F663" i="1" s="1"/>
  <c r="G663" i="1" s="1"/>
  <c r="I664" i="1" l="1"/>
  <c r="H664" i="1" s="1"/>
  <c r="E664" i="1"/>
  <c r="F664" i="1" s="1"/>
  <c r="G664" i="1" s="1"/>
  <c r="I665" i="1" l="1"/>
  <c r="H665" i="1" s="1"/>
  <c r="E665" i="1"/>
  <c r="F665" i="1" s="1"/>
  <c r="G665" i="1" s="1"/>
  <c r="I666" i="1" l="1"/>
  <c r="H666" i="1" s="1"/>
  <c r="E666" i="1"/>
  <c r="F666" i="1" s="1"/>
  <c r="G666" i="1" s="1"/>
  <c r="I667" i="1" l="1"/>
  <c r="H667" i="1" s="1"/>
  <c r="E667" i="1"/>
  <c r="F667" i="1" s="1"/>
  <c r="G667" i="1" s="1"/>
  <c r="I668" i="1" l="1"/>
  <c r="H668" i="1" s="1"/>
  <c r="E668" i="1"/>
  <c r="F668" i="1" s="1"/>
  <c r="G668" i="1" s="1"/>
  <c r="I669" i="1" l="1"/>
  <c r="H669" i="1" s="1"/>
  <c r="E669" i="1"/>
  <c r="F669" i="1" s="1"/>
  <c r="G669" i="1" s="1"/>
  <c r="I670" i="1" l="1"/>
  <c r="H670" i="1" s="1"/>
  <c r="E670" i="1"/>
  <c r="F670" i="1" s="1"/>
  <c r="G670" i="1" s="1"/>
  <c r="I671" i="1" l="1"/>
  <c r="H671" i="1" s="1"/>
  <c r="E671" i="1"/>
  <c r="F671" i="1" s="1"/>
  <c r="G671" i="1" s="1"/>
  <c r="I672" i="1" l="1"/>
  <c r="H672" i="1" s="1"/>
  <c r="E672" i="1"/>
  <c r="F672" i="1" s="1"/>
  <c r="G672" i="1" s="1"/>
  <c r="I673" i="1" l="1"/>
  <c r="H673" i="1" s="1"/>
  <c r="E673" i="1"/>
  <c r="F673" i="1" s="1"/>
  <c r="G673" i="1" s="1"/>
  <c r="I674" i="1" l="1"/>
  <c r="H674" i="1" s="1"/>
  <c r="E674" i="1"/>
  <c r="F674" i="1" s="1"/>
  <c r="G674" i="1" s="1"/>
  <c r="I675" i="1" l="1"/>
  <c r="H675" i="1" s="1"/>
  <c r="E675" i="1"/>
  <c r="F675" i="1" s="1"/>
  <c r="G675" i="1" s="1"/>
  <c r="I676" i="1" l="1"/>
  <c r="H676" i="1" s="1"/>
  <c r="E676" i="1"/>
  <c r="F676" i="1" s="1"/>
  <c r="G676" i="1" s="1"/>
  <c r="I677" i="1" l="1"/>
  <c r="H677" i="1" s="1"/>
  <c r="E677" i="1"/>
  <c r="F677" i="1" s="1"/>
  <c r="G677" i="1" s="1"/>
  <c r="I678" i="1" l="1"/>
  <c r="H678" i="1" s="1"/>
  <c r="E678" i="1"/>
  <c r="F678" i="1" s="1"/>
  <c r="G678" i="1" s="1"/>
  <c r="I679" i="1" l="1"/>
  <c r="H679" i="1" s="1"/>
  <c r="E679" i="1"/>
  <c r="F679" i="1" s="1"/>
  <c r="G679" i="1" s="1"/>
  <c r="I680" i="1" l="1"/>
  <c r="H680" i="1" s="1"/>
  <c r="E680" i="1"/>
  <c r="F680" i="1" s="1"/>
  <c r="G680" i="1" s="1"/>
  <c r="I681" i="1" l="1"/>
  <c r="H681" i="1" s="1"/>
  <c r="E681" i="1"/>
  <c r="F681" i="1" s="1"/>
  <c r="G681" i="1" s="1"/>
  <c r="I682" i="1" l="1"/>
  <c r="H682" i="1" s="1"/>
  <c r="E682" i="1"/>
  <c r="F682" i="1" s="1"/>
  <c r="G682" i="1" s="1"/>
  <c r="I683" i="1" l="1"/>
  <c r="H683" i="1" s="1"/>
  <c r="E683" i="1"/>
  <c r="F683" i="1" s="1"/>
  <c r="G683" i="1" s="1"/>
  <c r="I684" i="1" l="1"/>
  <c r="H684" i="1" s="1"/>
  <c r="E684" i="1"/>
  <c r="F684" i="1" s="1"/>
  <c r="G684" i="1" s="1"/>
  <c r="I685" i="1" l="1"/>
  <c r="H685" i="1" s="1"/>
  <c r="E685" i="1"/>
  <c r="F685" i="1" s="1"/>
  <c r="G685" i="1" s="1"/>
  <c r="I686" i="1" l="1"/>
  <c r="H686" i="1" s="1"/>
  <c r="E686" i="1"/>
  <c r="F686" i="1" s="1"/>
  <c r="G686" i="1" s="1"/>
  <c r="I687" i="1" l="1"/>
  <c r="H687" i="1" s="1"/>
  <c r="E687" i="1"/>
  <c r="F687" i="1" s="1"/>
  <c r="G687" i="1" s="1"/>
  <c r="I688" i="1" l="1"/>
  <c r="H688" i="1" s="1"/>
  <c r="E688" i="1"/>
  <c r="F688" i="1" s="1"/>
  <c r="G688" i="1" s="1"/>
  <c r="I689" i="1" l="1"/>
  <c r="H689" i="1" s="1"/>
  <c r="E689" i="1"/>
  <c r="F689" i="1" s="1"/>
  <c r="G689" i="1" s="1"/>
  <c r="I690" i="1" l="1"/>
  <c r="H690" i="1" s="1"/>
  <c r="E690" i="1"/>
  <c r="F690" i="1" s="1"/>
  <c r="G690" i="1" s="1"/>
  <c r="I691" i="1" l="1"/>
  <c r="H691" i="1" s="1"/>
  <c r="E691" i="1"/>
  <c r="F691" i="1" s="1"/>
  <c r="G691" i="1" s="1"/>
  <c r="I692" i="1" l="1"/>
  <c r="H692" i="1" s="1"/>
  <c r="E692" i="1"/>
  <c r="F692" i="1" s="1"/>
  <c r="G692" i="1" s="1"/>
  <c r="I693" i="1" l="1"/>
  <c r="H693" i="1" s="1"/>
  <c r="E693" i="1"/>
  <c r="F693" i="1" s="1"/>
  <c r="G693" i="1" s="1"/>
  <c r="I694" i="1" l="1"/>
  <c r="H694" i="1" s="1"/>
  <c r="E694" i="1"/>
  <c r="F694" i="1" s="1"/>
  <c r="G694" i="1" s="1"/>
  <c r="I695" i="1" l="1"/>
  <c r="H695" i="1" s="1"/>
  <c r="E695" i="1"/>
  <c r="F695" i="1" s="1"/>
  <c r="G695" i="1" s="1"/>
  <c r="I696" i="1" l="1"/>
  <c r="H696" i="1" s="1"/>
  <c r="E696" i="1"/>
  <c r="F696" i="1" s="1"/>
  <c r="G696" i="1" s="1"/>
  <c r="I697" i="1" l="1"/>
  <c r="H697" i="1" s="1"/>
  <c r="E697" i="1"/>
  <c r="F697" i="1" s="1"/>
  <c r="G697" i="1" s="1"/>
  <c r="I698" i="1" l="1"/>
  <c r="H698" i="1" s="1"/>
  <c r="E698" i="1"/>
  <c r="F698" i="1" s="1"/>
  <c r="G698" i="1" s="1"/>
  <c r="I699" i="1" l="1"/>
  <c r="H699" i="1" s="1"/>
  <c r="E699" i="1"/>
  <c r="F699" i="1" s="1"/>
  <c r="G699" i="1" s="1"/>
  <c r="I700" i="1" l="1"/>
  <c r="H700" i="1" s="1"/>
  <c r="E700" i="1"/>
  <c r="F700" i="1" s="1"/>
  <c r="G700" i="1" s="1"/>
  <c r="I701" i="1" l="1"/>
  <c r="H701" i="1" s="1"/>
  <c r="E701" i="1"/>
  <c r="F701" i="1" s="1"/>
  <c r="G701" i="1" s="1"/>
  <c r="I702" i="1" l="1"/>
  <c r="H702" i="1" s="1"/>
  <c r="E702" i="1"/>
  <c r="F702" i="1" s="1"/>
  <c r="G702" i="1" s="1"/>
  <c r="I703" i="1" l="1"/>
  <c r="H703" i="1" s="1"/>
  <c r="E703" i="1"/>
  <c r="F703" i="1" s="1"/>
  <c r="G703" i="1" s="1"/>
  <c r="I704" i="1" l="1"/>
  <c r="H704" i="1" s="1"/>
  <c r="E704" i="1"/>
  <c r="F704" i="1" s="1"/>
  <c r="G704" i="1" s="1"/>
  <c r="I705" i="1" l="1"/>
  <c r="H705" i="1" s="1"/>
  <c r="E705" i="1"/>
  <c r="F705" i="1" s="1"/>
  <c r="G705" i="1" s="1"/>
  <c r="I706" i="1" l="1"/>
  <c r="H706" i="1" s="1"/>
  <c r="E706" i="1"/>
  <c r="F706" i="1" s="1"/>
  <c r="G706" i="1" s="1"/>
  <c r="I707" i="1" l="1"/>
  <c r="H707" i="1" s="1"/>
  <c r="E707" i="1"/>
  <c r="F707" i="1" s="1"/>
  <c r="G707" i="1" s="1"/>
  <c r="I708" i="1" l="1"/>
  <c r="H708" i="1" s="1"/>
  <c r="E708" i="1"/>
  <c r="F708" i="1" s="1"/>
  <c r="G708" i="1" s="1"/>
  <c r="I709" i="1" l="1"/>
  <c r="H709" i="1" s="1"/>
  <c r="E709" i="1"/>
  <c r="F709" i="1" s="1"/>
  <c r="G709" i="1" s="1"/>
  <c r="I710" i="1" l="1"/>
  <c r="H710" i="1" s="1"/>
  <c r="E710" i="1"/>
  <c r="F710" i="1" s="1"/>
  <c r="G710" i="1" s="1"/>
  <c r="I711" i="1" l="1"/>
  <c r="H711" i="1" s="1"/>
  <c r="E711" i="1"/>
  <c r="F711" i="1" s="1"/>
  <c r="G711" i="1" s="1"/>
  <c r="I712" i="1" l="1"/>
  <c r="H712" i="1" s="1"/>
  <c r="E712" i="1"/>
  <c r="F712" i="1" s="1"/>
  <c r="G712" i="1" s="1"/>
  <c r="I713" i="1" l="1"/>
  <c r="H713" i="1" s="1"/>
  <c r="E713" i="1"/>
  <c r="F713" i="1" s="1"/>
  <c r="G713" i="1" s="1"/>
  <c r="I714" i="1" l="1"/>
  <c r="H714" i="1" s="1"/>
  <c r="E714" i="1"/>
  <c r="F714" i="1" s="1"/>
  <c r="G714" i="1" s="1"/>
  <c r="I715" i="1" l="1"/>
  <c r="H715" i="1" s="1"/>
  <c r="E715" i="1"/>
  <c r="F715" i="1" s="1"/>
  <c r="G715" i="1" s="1"/>
  <c r="I716" i="1" l="1"/>
  <c r="H716" i="1" s="1"/>
  <c r="E716" i="1"/>
  <c r="F716" i="1" s="1"/>
  <c r="G716" i="1" s="1"/>
  <c r="I717" i="1" l="1"/>
  <c r="H717" i="1" s="1"/>
  <c r="E717" i="1"/>
  <c r="F717" i="1" s="1"/>
  <c r="G717" i="1" s="1"/>
  <c r="I718" i="1" l="1"/>
  <c r="H718" i="1" s="1"/>
  <c r="E718" i="1"/>
  <c r="F718" i="1" s="1"/>
  <c r="G718" i="1" s="1"/>
  <c r="I719" i="1" l="1"/>
  <c r="H719" i="1" s="1"/>
  <c r="E719" i="1"/>
  <c r="F719" i="1" s="1"/>
  <c r="G719" i="1" s="1"/>
  <c r="I720" i="1" l="1"/>
  <c r="H720" i="1" s="1"/>
  <c r="E720" i="1"/>
  <c r="F720" i="1" s="1"/>
  <c r="G720" i="1" s="1"/>
  <c r="I721" i="1" l="1"/>
  <c r="H721" i="1" s="1"/>
  <c r="E721" i="1"/>
  <c r="F721" i="1" s="1"/>
  <c r="G721" i="1" s="1"/>
  <c r="I722" i="1" l="1"/>
  <c r="H722" i="1" s="1"/>
  <c r="E722" i="1"/>
  <c r="F722" i="1" s="1"/>
  <c r="G722" i="1" s="1"/>
  <c r="I723" i="1" l="1"/>
  <c r="H723" i="1" s="1"/>
  <c r="E723" i="1"/>
  <c r="F723" i="1" s="1"/>
  <c r="G723" i="1" s="1"/>
  <c r="I724" i="1" l="1"/>
  <c r="H724" i="1" s="1"/>
  <c r="E724" i="1"/>
  <c r="F724" i="1" s="1"/>
  <c r="G724" i="1" s="1"/>
  <c r="I725" i="1" l="1"/>
  <c r="H725" i="1" s="1"/>
  <c r="E725" i="1"/>
  <c r="F725" i="1" s="1"/>
  <c r="G725" i="1" s="1"/>
  <c r="I726" i="1" l="1"/>
  <c r="H726" i="1" s="1"/>
  <c r="E726" i="1"/>
  <c r="F726" i="1" s="1"/>
  <c r="G726" i="1" s="1"/>
  <c r="I727" i="1" l="1"/>
  <c r="H727" i="1" s="1"/>
  <c r="E727" i="1"/>
  <c r="F727" i="1" s="1"/>
  <c r="G727" i="1" s="1"/>
  <c r="I728" i="1" l="1"/>
  <c r="H728" i="1" s="1"/>
  <c r="E728" i="1"/>
  <c r="F728" i="1" s="1"/>
  <c r="G728" i="1" s="1"/>
  <c r="I729" i="1" l="1"/>
  <c r="H729" i="1" s="1"/>
  <c r="E729" i="1"/>
  <c r="F729" i="1" s="1"/>
  <c r="G729" i="1" s="1"/>
  <c r="I730" i="1" l="1"/>
  <c r="H730" i="1" s="1"/>
  <c r="E730" i="1"/>
  <c r="F730" i="1" s="1"/>
  <c r="G730" i="1" s="1"/>
  <c r="I731" i="1" l="1"/>
  <c r="H731" i="1" s="1"/>
  <c r="E731" i="1"/>
  <c r="F731" i="1" s="1"/>
  <c r="G731" i="1" s="1"/>
  <c r="I732" i="1" l="1"/>
  <c r="H732" i="1" s="1"/>
  <c r="E732" i="1"/>
  <c r="F732" i="1" s="1"/>
  <c r="G732" i="1" s="1"/>
  <c r="I733" i="1" l="1"/>
  <c r="H733" i="1" s="1"/>
  <c r="E733" i="1"/>
  <c r="F733" i="1" s="1"/>
  <c r="G733" i="1" s="1"/>
  <c r="I734" i="1" l="1"/>
  <c r="H734" i="1" s="1"/>
  <c r="E734" i="1"/>
  <c r="F734" i="1" s="1"/>
  <c r="G734" i="1" s="1"/>
  <c r="I735" i="1" l="1"/>
  <c r="H735" i="1" s="1"/>
  <c r="E735" i="1"/>
  <c r="F735" i="1" s="1"/>
  <c r="G735" i="1" s="1"/>
  <c r="I736" i="1" l="1"/>
  <c r="H736" i="1" s="1"/>
  <c r="E736" i="1"/>
  <c r="F736" i="1" s="1"/>
  <c r="G736" i="1" s="1"/>
  <c r="I737" i="1" l="1"/>
  <c r="H737" i="1" s="1"/>
  <c r="E737" i="1"/>
  <c r="F737" i="1" s="1"/>
  <c r="G737" i="1" s="1"/>
  <c r="I738" i="1" l="1"/>
  <c r="H738" i="1" s="1"/>
  <c r="E738" i="1"/>
  <c r="F738" i="1" s="1"/>
  <c r="G738" i="1" s="1"/>
  <c r="I739" i="1" l="1"/>
  <c r="H739" i="1" s="1"/>
  <c r="E739" i="1"/>
  <c r="F739" i="1" s="1"/>
  <c r="G739" i="1" s="1"/>
  <c r="I740" i="1" l="1"/>
  <c r="H740" i="1" s="1"/>
  <c r="E740" i="1"/>
  <c r="F740" i="1" s="1"/>
  <c r="G740" i="1" s="1"/>
  <c r="I741" i="1" l="1"/>
  <c r="H741" i="1" s="1"/>
  <c r="E741" i="1"/>
  <c r="F741" i="1" s="1"/>
  <c r="G741" i="1" s="1"/>
  <c r="I742" i="1" l="1"/>
  <c r="H742" i="1" s="1"/>
  <c r="E742" i="1"/>
  <c r="F742" i="1" s="1"/>
  <c r="G742" i="1" s="1"/>
  <c r="I743" i="1" l="1"/>
  <c r="H743" i="1" s="1"/>
  <c r="E743" i="1"/>
  <c r="F743" i="1" s="1"/>
  <c r="G743" i="1" s="1"/>
  <c r="I744" i="1" l="1"/>
  <c r="H744" i="1" s="1"/>
  <c r="E744" i="1"/>
  <c r="F744" i="1" s="1"/>
  <c r="G744" i="1" s="1"/>
  <c r="I745" i="1" l="1"/>
  <c r="H745" i="1" s="1"/>
  <c r="E745" i="1"/>
  <c r="F745" i="1" s="1"/>
  <c r="G745" i="1" s="1"/>
  <c r="I746" i="1" l="1"/>
  <c r="H746" i="1" s="1"/>
  <c r="E746" i="1"/>
  <c r="F746" i="1" s="1"/>
  <c r="G746" i="1" s="1"/>
  <c r="I747" i="1" l="1"/>
  <c r="H747" i="1" s="1"/>
  <c r="E747" i="1"/>
  <c r="F747" i="1" s="1"/>
  <c r="G747" i="1" s="1"/>
  <c r="I748" i="1" l="1"/>
  <c r="H748" i="1" s="1"/>
  <c r="E748" i="1"/>
  <c r="F748" i="1" s="1"/>
  <c r="G748" i="1" s="1"/>
  <c r="I749" i="1" l="1"/>
  <c r="H749" i="1" s="1"/>
  <c r="E749" i="1"/>
  <c r="F749" i="1" s="1"/>
  <c r="G749" i="1" s="1"/>
  <c r="I750" i="1" l="1"/>
  <c r="H750" i="1" s="1"/>
  <c r="E750" i="1"/>
  <c r="F750" i="1" s="1"/>
  <c r="G750" i="1" s="1"/>
  <c r="I751" i="1" l="1"/>
  <c r="H751" i="1" s="1"/>
  <c r="E751" i="1"/>
  <c r="F751" i="1" s="1"/>
  <c r="G751" i="1" s="1"/>
  <c r="I752" i="1" l="1"/>
  <c r="H752" i="1" s="1"/>
  <c r="E752" i="1"/>
  <c r="F752" i="1" s="1"/>
  <c r="G752" i="1" s="1"/>
  <c r="I753" i="1" l="1"/>
  <c r="H753" i="1" s="1"/>
  <c r="E753" i="1"/>
  <c r="F753" i="1" s="1"/>
  <c r="G753" i="1" s="1"/>
  <c r="I754" i="1" l="1"/>
  <c r="H754" i="1" s="1"/>
  <c r="E754" i="1"/>
  <c r="F754" i="1" s="1"/>
  <c r="G754" i="1" s="1"/>
  <c r="I755" i="1" l="1"/>
  <c r="H755" i="1" s="1"/>
  <c r="E755" i="1"/>
  <c r="F755" i="1" s="1"/>
  <c r="G755" i="1" s="1"/>
  <c r="I756" i="1" l="1"/>
  <c r="H756" i="1" s="1"/>
  <c r="E756" i="1"/>
  <c r="F756" i="1" s="1"/>
  <c r="G756" i="1" s="1"/>
  <c r="I757" i="1" l="1"/>
  <c r="H757" i="1" s="1"/>
  <c r="E757" i="1"/>
  <c r="F757" i="1" s="1"/>
  <c r="G757" i="1" s="1"/>
  <c r="I758" i="1" l="1"/>
  <c r="H758" i="1" s="1"/>
  <c r="E758" i="1"/>
  <c r="F758" i="1" s="1"/>
  <c r="G758" i="1" s="1"/>
  <c r="I759" i="1" l="1"/>
  <c r="H759" i="1" s="1"/>
  <c r="E759" i="1"/>
  <c r="F759" i="1" s="1"/>
  <c r="G759" i="1" s="1"/>
  <c r="I760" i="1" l="1"/>
  <c r="H760" i="1" s="1"/>
  <c r="E760" i="1"/>
  <c r="F760" i="1" s="1"/>
  <c r="G760" i="1" s="1"/>
  <c r="I761" i="1" l="1"/>
  <c r="H761" i="1" s="1"/>
  <c r="E761" i="1"/>
  <c r="F761" i="1" s="1"/>
  <c r="G761" i="1" s="1"/>
  <c r="I762" i="1" l="1"/>
  <c r="H762" i="1" s="1"/>
  <c r="E762" i="1"/>
  <c r="F762" i="1" s="1"/>
  <c r="G762" i="1" s="1"/>
  <c r="I763" i="1" l="1"/>
  <c r="H763" i="1" s="1"/>
  <c r="E763" i="1"/>
  <c r="F763" i="1" s="1"/>
  <c r="G763" i="1" s="1"/>
  <c r="I764" i="1" l="1"/>
  <c r="H764" i="1" s="1"/>
  <c r="E764" i="1"/>
  <c r="F764" i="1" s="1"/>
  <c r="G764" i="1" s="1"/>
  <c r="I765" i="1" l="1"/>
  <c r="H765" i="1" s="1"/>
  <c r="E765" i="1"/>
  <c r="F765" i="1" s="1"/>
  <c r="G765" i="1" s="1"/>
  <c r="I766" i="1" l="1"/>
  <c r="H766" i="1" s="1"/>
  <c r="E766" i="1"/>
  <c r="F766" i="1" s="1"/>
  <c r="G766" i="1" s="1"/>
  <c r="I767" i="1" l="1"/>
  <c r="H767" i="1" s="1"/>
  <c r="E767" i="1"/>
  <c r="F767" i="1" s="1"/>
  <c r="G767" i="1" s="1"/>
  <c r="I768" i="1" l="1"/>
  <c r="H768" i="1" s="1"/>
  <c r="E768" i="1"/>
  <c r="F768" i="1" s="1"/>
  <c r="G768" i="1" s="1"/>
  <c r="I769" i="1" l="1"/>
  <c r="H769" i="1" s="1"/>
  <c r="E769" i="1"/>
  <c r="F769" i="1" s="1"/>
  <c r="G769" i="1" s="1"/>
  <c r="I770" i="1" l="1"/>
  <c r="H770" i="1" s="1"/>
  <c r="E770" i="1"/>
  <c r="F770" i="1" s="1"/>
  <c r="G770" i="1" s="1"/>
  <c r="I771" i="1" l="1"/>
  <c r="H771" i="1" s="1"/>
  <c r="E771" i="1"/>
  <c r="F771" i="1" s="1"/>
  <c r="G771" i="1" s="1"/>
  <c r="I772" i="1" l="1"/>
  <c r="H772" i="1" s="1"/>
  <c r="E772" i="1"/>
  <c r="F772" i="1" s="1"/>
  <c r="G772" i="1" s="1"/>
  <c r="I773" i="1" l="1"/>
  <c r="H773" i="1" s="1"/>
  <c r="E773" i="1"/>
  <c r="F773" i="1" s="1"/>
  <c r="G773" i="1" s="1"/>
  <c r="I774" i="1" l="1"/>
  <c r="H774" i="1" s="1"/>
  <c r="E774" i="1"/>
  <c r="F774" i="1" s="1"/>
  <c r="G774" i="1" s="1"/>
  <c r="I775" i="1" l="1"/>
  <c r="H775" i="1" s="1"/>
  <c r="E775" i="1"/>
  <c r="F775" i="1" s="1"/>
  <c r="G775" i="1" s="1"/>
  <c r="I776" i="1" l="1"/>
  <c r="H776" i="1" s="1"/>
  <c r="E776" i="1"/>
  <c r="F776" i="1" s="1"/>
  <c r="G776" i="1" s="1"/>
  <c r="I777" i="1" l="1"/>
  <c r="H777" i="1" s="1"/>
  <c r="E777" i="1"/>
  <c r="F777" i="1" s="1"/>
  <c r="G777" i="1" s="1"/>
  <c r="I778" i="1" l="1"/>
  <c r="H778" i="1" s="1"/>
  <c r="E778" i="1"/>
  <c r="F778" i="1" s="1"/>
  <c r="G778" i="1" s="1"/>
  <c r="I779" i="1" l="1"/>
  <c r="H779" i="1" s="1"/>
  <c r="E779" i="1"/>
  <c r="F779" i="1" s="1"/>
  <c r="G779" i="1" s="1"/>
  <c r="I780" i="1" l="1"/>
  <c r="H780" i="1" s="1"/>
  <c r="E780" i="1"/>
  <c r="F780" i="1" s="1"/>
  <c r="G780" i="1" s="1"/>
  <c r="I781" i="1" l="1"/>
  <c r="H781" i="1" s="1"/>
  <c r="E781" i="1"/>
  <c r="F781" i="1" s="1"/>
  <c r="G781" i="1" s="1"/>
  <c r="I782" i="1" l="1"/>
  <c r="H782" i="1" s="1"/>
  <c r="E782" i="1"/>
  <c r="F782" i="1" s="1"/>
  <c r="G782" i="1" s="1"/>
  <c r="I783" i="1" l="1"/>
  <c r="H783" i="1" s="1"/>
  <c r="E783" i="1"/>
  <c r="F783" i="1" s="1"/>
  <c r="G783" i="1" s="1"/>
  <c r="I784" i="1" l="1"/>
  <c r="H784" i="1" s="1"/>
  <c r="E784" i="1"/>
  <c r="F784" i="1" s="1"/>
  <c r="G784" i="1" s="1"/>
  <c r="I785" i="1" l="1"/>
  <c r="H785" i="1" s="1"/>
  <c r="E785" i="1"/>
  <c r="F785" i="1" s="1"/>
  <c r="G785" i="1" s="1"/>
  <c r="I786" i="1" l="1"/>
  <c r="H786" i="1" s="1"/>
  <c r="E786" i="1"/>
  <c r="F786" i="1" s="1"/>
  <c r="G786" i="1" s="1"/>
  <c r="I787" i="1" l="1"/>
  <c r="H787" i="1" s="1"/>
  <c r="E787" i="1"/>
  <c r="F787" i="1" s="1"/>
  <c r="G787" i="1" s="1"/>
  <c r="I788" i="1" l="1"/>
  <c r="H788" i="1" s="1"/>
  <c r="E788" i="1"/>
  <c r="F788" i="1" s="1"/>
  <c r="G788" i="1" s="1"/>
  <c r="I789" i="1" l="1"/>
  <c r="H789" i="1" s="1"/>
  <c r="E789" i="1"/>
  <c r="F789" i="1" s="1"/>
  <c r="G789" i="1" s="1"/>
  <c r="I790" i="1" l="1"/>
  <c r="H790" i="1" s="1"/>
  <c r="E790" i="1"/>
  <c r="F790" i="1" s="1"/>
  <c r="G790" i="1" s="1"/>
  <c r="I791" i="1" l="1"/>
  <c r="H791" i="1" s="1"/>
  <c r="E791" i="1"/>
  <c r="F791" i="1" s="1"/>
  <c r="G791" i="1" s="1"/>
  <c r="I792" i="1" l="1"/>
  <c r="H792" i="1" s="1"/>
  <c r="E792" i="1"/>
  <c r="F792" i="1" s="1"/>
  <c r="G792" i="1" s="1"/>
  <c r="I793" i="1" l="1"/>
  <c r="H793" i="1" s="1"/>
  <c r="E793" i="1"/>
  <c r="F793" i="1" s="1"/>
  <c r="G793" i="1" s="1"/>
  <c r="I794" i="1" l="1"/>
  <c r="H794" i="1" s="1"/>
  <c r="E794" i="1"/>
  <c r="F794" i="1" s="1"/>
  <c r="G794" i="1" s="1"/>
  <c r="I795" i="1" l="1"/>
  <c r="H795" i="1" s="1"/>
  <c r="E795" i="1"/>
  <c r="F795" i="1" s="1"/>
  <c r="G795" i="1" s="1"/>
  <c r="I796" i="1" l="1"/>
  <c r="H796" i="1" s="1"/>
  <c r="E796" i="1"/>
  <c r="F796" i="1" s="1"/>
  <c r="G796" i="1" s="1"/>
  <c r="I797" i="1" l="1"/>
  <c r="H797" i="1" s="1"/>
  <c r="E797" i="1"/>
  <c r="F797" i="1" s="1"/>
  <c r="G797" i="1" s="1"/>
  <c r="I798" i="1" l="1"/>
  <c r="H798" i="1" s="1"/>
  <c r="E798" i="1"/>
  <c r="F798" i="1" s="1"/>
  <c r="G798" i="1" s="1"/>
  <c r="I799" i="1" l="1"/>
  <c r="H799" i="1" s="1"/>
  <c r="E799" i="1"/>
  <c r="F799" i="1" s="1"/>
  <c r="G799" i="1" s="1"/>
  <c r="I800" i="1" l="1"/>
  <c r="H800" i="1" s="1"/>
  <c r="E800" i="1"/>
  <c r="F800" i="1" s="1"/>
  <c r="G800" i="1" s="1"/>
  <c r="I801" i="1" l="1"/>
  <c r="H801" i="1" s="1"/>
  <c r="E801" i="1"/>
  <c r="F801" i="1" s="1"/>
  <c r="G801" i="1" s="1"/>
  <c r="I802" i="1" l="1"/>
  <c r="H802" i="1" s="1"/>
  <c r="E802" i="1"/>
  <c r="F802" i="1" s="1"/>
  <c r="G802" i="1" s="1"/>
  <c r="I803" i="1" l="1"/>
  <c r="H803" i="1" s="1"/>
  <c r="E803" i="1"/>
  <c r="F803" i="1" s="1"/>
  <c r="G803" i="1" s="1"/>
  <c r="I804" i="1" l="1"/>
  <c r="H804" i="1" s="1"/>
  <c r="E804" i="1"/>
  <c r="F804" i="1" s="1"/>
  <c r="G804" i="1" s="1"/>
  <c r="I805" i="1" l="1"/>
  <c r="H805" i="1" s="1"/>
  <c r="E805" i="1"/>
  <c r="F805" i="1" s="1"/>
  <c r="G805" i="1" s="1"/>
  <c r="I806" i="1" l="1"/>
  <c r="H806" i="1" s="1"/>
  <c r="E806" i="1"/>
  <c r="F806" i="1" s="1"/>
  <c r="G806" i="1" s="1"/>
  <c r="I807" i="1" l="1"/>
  <c r="H807" i="1" s="1"/>
  <c r="E807" i="1"/>
  <c r="F807" i="1" s="1"/>
  <c r="G807" i="1" s="1"/>
  <c r="I808" i="1" l="1"/>
  <c r="H808" i="1" s="1"/>
  <c r="E808" i="1"/>
  <c r="F808" i="1" s="1"/>
  <c r="G808" i="1" s="1"/>
  <c r="I809" i="1" l="1"/>
  <c r="H809" i="1" s="1"/>
  <c r="E809" i="1"/>
  <c r="F809" i="1" s="1"/>
  <c r="G809" i="1" s="1"/>
  <c r="I810" i="1" l="1"/>
  <c r="H810" i="1" s="1"/>
  <c r="E810" i="1"/>
  <c r="F810" i="1" s="1"/>
  <c r="G810" i="1" s="1"/>
  <c r="I811" i="1" l="1"/>
  <c r="H811" i="1" s="1"/>
  <c r="E811" i="1"/>
  <c r="F811" i="1" s="1"/>
  <c r="G811" i="1" s="1"/>
  <c r="I812" i="1" l="1"/>
  <c r="H812" i="1" s="1"/>
  <c r="E812" i="1"/>
  <c r="F812" i="1" s="1"/>
  <c r="G812" i="1" s="1"/>
  <c r="I813" i="1" l="1"/>
  <c r="H813" i="1" s="1"/>
  <c r="E813" i="1"/>
  <c r="F813" i="1" s="1"/>
  <c r="G813" i="1" s="1"/>
  <c r="I814" i="1" l="1"/>
  <c r="H814" i="1" s="1"/>
  <c r="E814" i="1"/>
  <c r="F814" i="1" s="1"/>
  <c r="G814" i="1" s="1"/>
  <c r="I815" i="1" l="1"/>
  <c r="H815" i="1" s="1"/>
  <c r="E815" i="1"/>
  <c r="F815" i="1" s="1"/>
  <c r="G815" i="1" s="1"/>
  <c r="I816" i="1" l="1"/>
  <c r="H816" i="1" s="1"/>
  <c r="E816" i="1"/>
  <c r="F816" i="1" s="1"/>
  <c r="G816" i="1" s="1"/>
  <c r="I817" i="1" l="1"/>
  <c r="H817" i="1" s="1"/>
  <c r="E817" i="1"/>
  <c r="F817" i="1" s="1"/>
  <c r="G817" i="1" s="1"/>
  <c r="I818" i="1" l="1"/>
  <c r="H818" i="1" s="1"/>
  <c r="E818" i="1"/>
  <c r="F818" i="1" s="1"/>
  <c r="G818" i="1" s="1"/>
  <c r="I819" i="1" l="1"/>
  <c r="H819" i="1" s="1"/>
  <c r="E819" i="1"/>
  <c r="F819" i="1" s="1"/>
  <c r="G819" i="1" s="1"/>
  <c r="I820" i="1" l="1"/>
  <c r="H820" i="1" s="1"/>
  <c r="E820" i="1"/>
  <c r="F820" i="1" s="1"/>
  <c r="G820" i="1" s="1"/>
  <c r="I821" i="1" l="1"/>
  <c r="H821" i="1" s="1"/>
  <c r="E821" i="1"/>
  <c r="F821" i="1" s="1"/>
  <c r="G821" i="1" s="1"/>
  <c r="I822" i="1" l="1"/>
  <c r="H822" i="1" s="1"/>
  <c r="E822" i="1"/>
  <c r="F822" i="1" s="1"/>
  <c r="G822" i="1" s="1"/>
  <c r="I823" i="1" l="1"/>
  <c r="H823" i="1" s="1"/>
  <c r="E823" i="1"/>
  <c r="F823" i="1" s="1"/>
  <c r="G823" i="1" s="1"/>
  <c r="I824" i="1" l="1"/>
  <c r="H824" i="1" s="1"/>
  <c r="E824" i="1"/>
  <c r="F824" i="1" s="1"/>
  <c r="G824" i="1" s="1"/>
  <c r="I825" i="1" l="1"/>
  <c r="H825" i="1" s="1"/>
  <c r="E825" i="1"/>
  <c r="F825" i="1" s="1"/>
  <c r="G825" i="1" s="1"/>
  <c r="I826" i="1" l="1"/>
  <c r="H826" i="1" s="1"/>
  <c r="E826" i="1"/>
  <c r="F826" i="1" s="1"/>
  <c r="G826" i="1" s="1"/>
  <c r="I827" i="1" l="1"/>
  <c r="H827" i="1" s="1"/>
  <c r="E827" i="1"/>
  <c r="F827" i="1" s="1"/>
  <c r="G827" i="1" s="1"/>
  <c r="I828" i="1" l="1"/>
  <c r="H828" i="1" s="1"/>
  <c r="E828" i="1"/>
  <c r="F828" i="1" s="1"/>
  <c r="G828" i="1" s="1"/>
  <c r="I829" i="1" l="1"/>
  <c r="H829" i="1" s="1"/>
  <c r="E829" i="1"/>
  <c r="F829" i="1" s="1"/>
  <c r="G829" i="1" s="1"/>
  <c r="I830" i="1" l="1"/>
  <c r="H830" i="1" s="1"/>
  <c r="E830" i="1"/>
  <c r="F830" i="1" s="1"/>
  <c r="G830" i="1" s="1"/>
  <c r="I831" i="1" l="1"/>
  <c r="H831" i="1" s="1"/>
  <c r="E831" i="1"/>
  <c r="F831" i="1" s="1"/>
  <c r="G831" i="1" s="1"/>
  <c r="I832" i="1" l="1"/>
  <c r="H832" i="1" s="1"/>
  <c r="E832" i="1"/>
  <c r="F832" i="1" s="1"/>
  <c r="G832" i="1" s="1"/>
  <c r="I833" i="1" l="1"/>
  <c r="H833" i="1" s="1"/>
  <c r="E833" i="1"/>
  <c r="F833" i="1" s="1"/>
  <c r="G833" i="1" s="1"/>
  <c r="I834" i="1" l="1"/>
  <c r="H834" i="1" s="1"/>
  <c r="E834" i="1"/>
  <c r="F834" i="1" s="1"/>
  <c r="G834" i="1" s="1"/>
  <c r="I835" i="1" l="1"/>
  <c r="H835" i="1" s="1"/>
  <c r="E835" i="1"/>
  <c r="F835" i="1" s="1"/>
  <c r="G835" i="1" s="1"/>
  <c r="I836" i="1" l="1"/>
  <c r="H836" i="1" s="1"/>
  <c r="E836" i="1"/>
  <c r="F836" i="1" s="1"/>
  <c r="G836" i="1" s="1"/>
  <c r="I837" i="1" l="1"/>
  <c r="H837" i="1" s="1"/>
  <c r="E837" i="1"/>
  <c r="F837" i="1" s="1"/>
  <c r="G837" i="1" s="1"/>
  <c r="I838" i="1" l="1"/>
  <c r="H838" i="1" s="1"/>
  <c r="E838" i="1"/>
  <c r="F838" i="1" s="1"/>
  <c r="G838" i="1" s="1"/>
  <c r="I839" i="1" l="1"/>
  <c r="H839" i="1" s="1"/>
  <c r="E839" i="1"/>
  <c r="F839" i="1" s="1"/>
  <c r="G839" i="1" s="1"/>
  <c r="I840" i="1" l="1"/>
  <c r="H840" i="1" s="1"/>
  <c r="E840" i="1"/>
  <c r="F840" i="1" s="1"/>
  <c r="G840" i="1" s="1"/>
  <c r="I841" i="1" l="1"/>
  <c r="H841" i="1" s="1"/>
  <c r="E841" i="1"/>
  <c r="F841" i="1" s="1"/>
  <c r="G841" i="1" s="1"/>
  <c r="I842" i="1" l="1"/>
  <c r="H842" i="1" s="1"/>
  <c r="E842" i="1"/>
  <c r="F842" i="1" s="1"/>
  <c r="G842" i="1" s="1"/>
  <c r="I843" i="1" l="1"/>
  <c r="H843" i="1" s="1"/>
  <c r="E843" i="1"/>
  <c r="F843" i="1" s="1"/>
  <c r="G843" i="1" s="1"/>
  <c r="I844" i="1" l="1"/>
  <c r="H844" i="1" s="1"/>
  <c r="E844" i="1"/>
  <c r="F844" i="1" s="1"/>
  <c r="G844" i="1" s="1"/>
  <c r="I845" i="1" l="1"/>
  <c r="H845" i="1" s="1"/>
  <c r="E845" i="1"/>
  <c r="F845" i="1" s="1"/>
  <c r="G845" i="1" s="1"/>
  <c r="I846" i="1" l="1"/>
  <c r="H846" i="1" s="1"/>
  <c r="E846" i="1"/>
  <c r="F846" i="1" s="1"/>
  <c r="G846" i="1" s="1"/>
  <c r="I847" i="1" l="1"/>
  <c r="H847" i="1" s="1"/>
  <c r="E847" i="1"/>
  <c r="F847" i="1" s="1"/>
  <c r="G847" i="1" s="1"/>
  <c r="I848" i="1" l="1"/>
  <c r="H848" i="1" s="1"/>
  <c r="E848" i="1"/>
  <c r="F848" i="1" s="1"/>
  <c r="G848" i="1" s="1"/>
  <c r="I849" i="1" l="1"/>
  <c r="H849" i="1" s="1"/>
  <c r="E849" i="1"/>
  <c r="F849" i="1" s="1"/>
  <c r="G849" i="1" s="1"/>
  <c r="I850" i="1" l="1"/>
  <c r="H850" i="1" s="1"/>
  <c r="E850" i="1"/>
  <c r="F850" i="1" s="1"/>
  <c r="G850" i="1" s="1"/>
  <c r="I851" i="1" l="1"/>
  <c r="H851" i="1" s="1"/>
  <c r="E851" i="1"/>
  <c r="F851" i="1" s="1"/>
  <c r="G851" i="1" s="1"/>
  <c r="I852" i="1" l="1"/>
  <c r="H852" i="1" s="1"/>
  <c r="E852" i="1"/>
  <c r="F852" i="1" s="1"/>
  <c r="G852" i="1" s="1"/>
  <c r="I853" i="1" l="1"/>
  <c r="H853" i="1" s="1"/>
  <c r="E853" i="1"/>
  <c r="F853" i="1" s="1"/>
  <c r="G853" i="1" s="1"/>
  <c r="I854" i="1" l="1"/>
  <c r="H854" i="1" s="1"/>
  <c r="E854" i="1"/>
  <c r="F854" i="1" s="1"/>
  <c r="G854" i="1" s="1"/>
  <c r="I855" i="1" l="1"/>
  <c r="H855" i="1" s="1"/>
  <c r="E855" i="1"/>
  <c r="F855" i="1" s="1"/>
  <c r="G855" i="1" s="1"/>
  <c r="I856" i="1" l="1"/>
  <c r="H856" i="1" s="1"/>
  <c r="E856" i="1"/>
  <c r="F856" i="1" s="1"/>
  <c r="G856" i="1" s="1"/>
  <c r="I857" i="1" l="1"/>
  <c r="H857" i="1" s="1"/>
  <c r="E857" i="1"/>
  <c r="F857" i="1" s="1"/>
  <c r="G857" i="1" s="1"/>
  <c r="I858" i="1" l="1"/>
  <c r="H858" i="1" s="1"/>
  <c r="E858" i="1"/>
  <c r="F858" i="1" s="1"/>
  <c r="G858" i="1" s="1"/>
  <c r="I859" i="1" l="1"/>
  <c r="H859" i="1" s="1"/>
  <c r="E859" i="1"/>
  <c r="F859" i="1" s="1"/>
  <c r="G859" i="1" s="1"/>
  <c r="I860" i="1" l="1"/>
  <c r="H860" i="1" s="1"/>
  <c r="E860" i="1"/>
  <c r="F860" i="1" s="1"/>
  <c r="G860" i="1" s="1"/>
  <c r="I861" i="1" l="1"/>
  <c r="H861" i="1" s="1"/>
  <c r="E861" i="1"/>
  <c r="F861" i="1" s="1"/>
  <c r="G861" i="1" s="1"/>
  <c r="I862" i="1" l="1"/>
  <c r="H862" i="1" s="1"/>
  <c r="E862" i="1"/>
  <c r="F862" i="1" s="1"/>
  <c r="G862" i="1" s="1"/>
  <c r="I863" i="1" l="1"/>
  <c r="H863" i="1" s="1"/>
  <c r="E863" i="1"/>
  <c r="F863" i="1" s="1"/>
  <c r="G863" i="1" s="1"/>
  <c r="I864" i="1" l="1"/>
  <c r="H864" i="1" s="1"/>
  <c r="E864" i="1"/>
  <c r="F864" i="1" s="1"/>
  <c r="G864" i="1" s="1"/>
  <c r="I865" i="1" l="1"/>
  <c r="H865" i="1" s="1"/>
  <c r="E865" i="1"/>
  <c r="F865" i="1" s="1"/>
  <c r="G865" i="1" s="1"/>
  <c r="I866" i="1" l="1"/>
  <c r="H866" i="1" s="1"/>
  <c r="E866" i="1"/>
  <c r="F866" i="1" s="1"/>
  <c r="G866" i="1" s="1"/>
  <c r="I867" i="1" l="1"/>
  <c r="H867" i="1" s="1"/>
  <c r="E867" i="1"/>
  <c r="F867" i="1" s="1"/>
  <c r="G867" i="1" s="1"/>
  <c r="I868" i="1" l="1"/>
  <c r="H868" i="1" s="1"/>
  <c r="E868" i="1"/>
  <c r="F868" i="1" s="1"/>
  <c r="G868" i="1" s="1"/>
  <c r="I869" i="1" l="1"/>
  <c r="H869" i="1" s="1"/>
  <c r="E869" i="1"/>
  <c r="F869" i="1" s="1"/>
  <c r="G869" i="1" s="1"/>
  <c r="I870" i="1" l="1"/>
  <c r="H870" i="1" s="1"/>
  <c r="E870" i="1"/>
  <c r="F870" i="1" s="1"/>
  <c r="G870" i="1" s="1"/>
  <c r="I871" i="1" l="1"/>
  <c r="H871" i="1" s="1"/>
  <c r="E871" i="1"/>
  <c r="F871" i="1" s="1"/>
  <c r="G871" i="1" s="1"/>
  <c r="I872" i="1" l="1"/>
  <c r="H872" i="1" s="1"/>
  <c r="E872" i="1"/>
  <c r="F872" i="1" s="1"/>
  <c r="G872" i="1" s="1"/>
  <c r="I873" i="1" l="1"/>
  <c r="H873" i="1" s="1"/>
  <c r="E873" i="1"/>
  <c r="F873" i="1" s="1"/>
  <c r="G873" i="1" s="1"/>
  <c r="I874" i="1" l="1"/>
  <c r="H874" i="1" s="1"/>
  <c r="E874" i="1"/>
  <c r="F874" i="1" s="1"/>
  <c r="G874" i="1" s="1"/>
  <c r="I875" i="1" l="1"/>
  <c r="H875" i="1" s="1"/>
  <c r="E875" i="1"/>
  <c r="F875" i="1" s="1"/>
  <c r="G875" i="1" s="1"/>
  <c r="I876" i="1" l="1"/>
  <c r="H876" i="1" s="1"/>
  <c r="E876" i="1"/>
  <c r="F876" i="1" s="1"/>
  <c r="G876" i="1" s="1"/>
  <c r="I877" i="1" l="1"/>
  <c r="H877" i="1" s="1"/>
  <c r="E877" i="1"/>
  <c r="F877" i="1" s="1"/>
  <c r="G877" i="1" s="1"/>
  <c r="I878" i="1" l="1"/>
  <c r="H878" i="1" s="1"/>
  <c r="E878" i="1"/>
  <c r="F878" i="1" s="1"/>
  <c r="G878" i="1" s="1"/>
  <c r="I879" i="1" l="1"/>
  <c r="H879" i="1" s="1"/>
  <c r="E879" i="1"/>
  <c r="F879" i="1" s="1"/>
  <c r="G879" i="1" s="1"/>
  <c r="I880" i="1" l="1"/>
  <c r="H880" i="1" s="1"/>
  <c r="E880" i="1"/>
  <c r="F880" i="1" s="1"/>
  <c r="G880" i="1" s="1"/>
  <c r="I881" i="1" l="1"/>
  <c r="H881" i="1" s="1"/>
  <c r="E881" i="1"/>
  <c r="F881" i="1" s="1"/>
  <c r="G881" i="1" s="1"/>
  <c r="I882" i="1" l="1"/>
  <c r="H882" i="1" s="1"/>
  <c r="E882" i="1"/>
  <c r="F882" i="1" s="1"/>
  <c r="G882" i="1" s="1"/>
  <c r="I883" i="1" l="1"/>
  <c r="H883" i="1" s="1"/>
  <c r="E883" i="1"/>
  <c r="F883" i="1" s="1"/>
  <c r="G883" i="1" s="1"/>
  <c r="I884" i="1" l="1"/>
  <c r="H884" i="1" s="1"/>
  <c r="E884" i="1"/>
  <c r="F884" i="1" s="1"/>
  <c r="G884" i="1" s="1"/>
  <c r="I885" i="1" l="1"/>
  <c r="H885" i="1" s="1"/>
  <c r="E885" i="1"/>
  <c r="F885" i="1" s="1"/>
  <c r="G885" i="1" s="1"/>
  <c r="I886" i="1" l="1"/>
  <c r="H886" i="1" s="1"/>
  <c r="E886" i="1"/>
  <c r="F886" i="1" s="1"/>
  <c r="G886" i="1" s="1"/>
  <c r="I887" i="1" l="1"/>
  <c r="H887" i="1" s="1"/>
  <c r="E887" i="1"/>
  <c r="F887" i="1" s="1"/>
  <c r="G887" i="1" s="1"/>
  <c r="I888" i="1" l="1"/>
  <c r="H888" i="1" s="1"/>
  <c r="E888" i="1"/>
  <c r="F888" i="1" s="1"/>
  <c r="G888" i="1" s="1"/>
  <c r="I889" i="1" l="1"/>
  <c r="H889" i="1" s="1"/>
  <c r="E889" i="1"/>
  <c r="F889" i="1" s="1"/>
  <c r="G889" i="1" s="1"/>
  <c r="I890" i="1" l="1"/>
  <c r="H890" i="1" s="1"/>
  <c r="E890" i="1"/>
  <c r="F890" i="1" s="1"/>
  <c r="G890" i="1" s="1"/>
  <c r="I891" i="1" l="1"/>
  <c r="H891" i="1" s="1"/>
  <c r="E891" i="1"/>
  <c r="F891" i="1" s="1"/>
  <c r="G891" i="1" s="1"/>
  <c r="I892" i="1" l="1"/>
  <c r="H892" i="1" s="1"/>
  <c r="E892" i="1"/>
  <c r="F892" i="1" s="1"/>
  <c r="G892" i="1" s="1"/>
  <c r="I893" i="1" l="1"/>
  <c r="H893" i="1" s="1"/>
  <c r="E893" i="1"/>
  <c r="F893" i="1" s="1"/>
  <c r="G893" i="1" s="1"/>
  <c r="I894" i="1" l="1"/>
  <c r="H894" i="1" s="1"/>
  <c r="E894" i="1"/>
  <c r="F894" i="1" s="1"/>
  <c r="G894" i="1" s="1"/>
  <c r="I895" i="1" l="1"/>
  <c r="H895" i="1" s="1"/>
  <c r="E895" i="1"/>
  <c r="F895" i="1" s="1"/>
  <c r="G895" i="1" s="1"/>
  <c r="I896" i="1" l="1"/>
  <c r="H896" i="1" s="1"/>
  <c r="E896" i="1"/>
  <c r="F896" i="1" s="1"/>
  <c r="G896" i="1" s="1"/>
  <c r="I897" i="1" l="1"/>
  <c r="H897" i="1" s="1"/>
  <c r="E897" i="1"/>
  <c r="F897" i="1" s="1"/>
  <c r="G897" i="1" s="1"/>
  <c r="I898" i="1" l="1"/>
  <c r="H898" i="1" s="1"/>
  <c r="E898" i="1"/>
  <c r="F898" i="1" s="1"/>
  <c r="G898" i="1" s="1"/>
  <c r="I899" i="1" l="1"/>
  <c r="H899" i="1" s="1"/>
  <c r="E899" i="1"/>
  <c r="F899" i="1" s="1"/>
  <c r="G899" i="1" s="1"/>
  <c r="I900" i="1" l="1"/>
  <c r="H900" i="1" s="1"/>
  <c r="E900" i="1"/>
  <c r="F900" i="1" s="1"/>
  <c r="G900" i="1" s="1"/>
  <c r="I901" i="1" l="1"/>
  <c r="H901" i="1" s="1"/>
  <c r="E901" i="1"/>
  <c r="F901" i="1" s="1"/>
  <c r="G901" i="1" s="1"/>
  <c r="I902" i="1" l="1"/>
  <c r="H902" i="1" s="1"/>
  <c r="E902" i="1"/>
  <c r="F902" i="1" s="1"/>
  <c r="G902" i="1" s="1"/>
  <c r="I903" i="1" l="1"/>
  <c r="H903" i="1" s="1"/>
  <c r="E903" i="1"/>
  <c r="F903" i="1" s="1"/>
  <c r="G903" i="1" s="1"/>
  <c r="I904" i="1" l="1"/>
  <c r="H904" i="1" s="1"/>
  <c r="E904" i="1"/>
  <c r="F904" i="1" s="1"/>
  <c r="G904" i="1" s="1"/>
  <c r="I905" i="1" l="1"/>
  <c r="H905" i="1" s="1"/>
  <c r="E905" i="1"/>
  <c r="F905" i="1" s="1"/>
  <c r="G905" i="1" s="1"/>
  <c r="I906" i="1" l="1"/>
  <c r="H906" i="1" s="1"/>
  <c r="E906" i="1"/>
  <c r="F906" i="1" s="1"/>
  <c r="G906" i="1" s="1"/>
  <c r="I907" i="1" l="1"/>
  <c r="H907" i="1" s="1"/>
  <c r="E907" i="1"/>
  <c r="F907" i="1" s="1"/>
  <c r="G907" i="1" s="1"/>
  <c r="I908" i="1" l="1"/>
  <c r="H908" i="1" s="1"/>
  <c r="E908" i="1"/>
  <c r="F908" i="1" s="1"/>
  <c r="G908" i="1" s="1"/>
  <c r="I909" i="1" l="1"/>
  <c r="H909" i="1" s="1"/>
  <c r="E909" i="1"/>
  <c r="F909" i="1" s="1"/>
  <c r="G909" i="1" s="1"/>
  <c r="I910" i="1" l="1"/>
  <c r="H910" i="1" s="1"/>
  <c r="E910" i="1"/>
  <c r="F910" i="1" s="1"/>
  <c r="G910" i="1" s="1"/>
  <c r="I911" i="1" l="1"/>
  <c r="H911" i="1" s="1"/>
  <c r="E911" i="1"/>
  <c r="F911" i="1" s="1"/>
  <c r="G911" i="1" s="1"/>
  <c r="I912" i="1" l="1"/>
  <c r="H912" i="1" s="1"/>
  <c r="E912" i="1"/>
  <c r="F912" i="1" s="1"/>
  <c r="G912" i="1" s="1"/>
  <c r="I913" i="1" l="1"/>
  <c r="H913" i="1" s="1"/>
  <c r="E913" i="1"/>
  <c r="F913" i="1" s="1"/>
  <c r="G913" i="1" s="1"/>
  <c r="I914" i="1" l="1"/>
  <c r="H914" i="1" s="1"/>
  <c r="E914" i="1"/>
  <c r="F914" i="1" s="1"/>
  <c r="G914" i="1" s="1"/>
  <c r="I915" i="1" l="1"/>
  <c r="H915" i="1" s="1"/>
  <c r="E915" i="1"/>
  <c r="F915" i="1" s="1"/>
  <c r="G915" i="1" s="1"/>
  <c r="I916" i="1" l="1"/>
  <c r="H916" i="1" s="1"/>
  <c r="E916" i="1"/>
  <c r="F916" i="1" s="1"/>
  <c r="G916" i="1" s="1"/>
  <c r="I917" i="1" l="1"/>
  <c r="H917" i="1" s="1"/>
  <c r="E917" i="1"/>
  <c r="F917" i="1" s="1"/>
  <c r="G917" i="1" s="1"/>
  <c r="I918" i="1" l="1"/>
  <c r="H918" i="1" s="1"/>
  <c r="E918" i="1"/>
  <c r="F918" i="1" s="1"/>
  <c r="G918" i="1" s="1"/>
  <c r="I919" i="1" l="1"/>
  <c r="H919" i="1" s="1"/>
  <c r="E919" i="1"/>
  <c r="F919" i="1" s="1"/>
  <c r="G919" i="1" s="1"/>
  <c r="I920" i="1" l="1"/>
  <c r="H920" i="1" s="1"/>
  <c r="E920" i="1"/>
  <c r="F920" i="1" s="1"/>
  <c r="G920" i="1" s="1"/>
  <c r="I921" i="1" l="1"/>
  <c r="H921" i="1" s="1"/>
  <c r="E921" i="1"/>
  <c r="F921" i="1" s="1"/>
  <c r="G921" i="1" s="1"/>
  <c r="I922" i="1" l="1"/>
  <c r="H922" i="1" s="1"/>
  <c r="E922" i="1"/>
  <c r="F922" i="1" s="1"/>
  <c r="G922" i="1" s="1"/>
  <c r="I923" i="1" l="1"/>
  <c r="H923" i="1" s="1"/>
  <c r="E923" i="1"/>
  <c r="F923" i="1" s="1"/>
  <c r="G923" i="1" s="1"/>
  <c r="I924" i="1" l="1"/>
  <c r="H924" i="1" s="1"/>
  <c r="E924" i="1"/>
  <c r="F924" i="1" s="1"/>
  <c r="G924" i="1" s="1"/>
  <c r="I925" i="1" l="1"/>
  <c r="H925" i="1" s="1"/>
  <c r="E925" i="1"/>
  <c r="F925" i="1" s="1"/>
  <c r="G925" i="1" s="1"/>
  <c r="I926" i="1" l="1"/>
  <c r="H926" i="1" s="1"/>
  <c r="E926" i="1"/>
  <c r="F926" i="1" s="1"/>
  <c r="G926" i="1" s="1"/>
  <c r="I927" i="1" l="1"/>
  <c r="H927" i="1" s="1"/>
  <c r="E927" i="1"/>
  <c r="F927" i="1" s="1"/>
  <c r="G927" i="1" s="1"/>
  <c r="I928" i="1" l="1"/>
  <c r="H928" i="1" s="1"/>
  <c r="E928" i="1"/>
  <c r="F928" i="1" s="1"/>
  <c r="G928" i="1" s="1"/>
  <c r="I929" i="1" l="1"/>
  <c r="H929" i="1" s="1"/>
  <c r="E929" i="1"/>
  <c r="F929" i="1" s="1"/>
  <c r="G929" i="1" s="1"/>
  <c r="I930" i="1" l="1"/>
  <c r="H930" i="1" s="1"/>
  <c r="E930" i="1"/>
  <c r="F930" i="1" s="1"/>
  <c r="G930" i="1" s="1"/>
  <c r="I931" i="1" l="1"/>
  <c r="H931" i="1" s="1"/>
  <c r="E931" i="1"/>
  <c r="F931" i="1" s="1"/>
  <c r="G931" i="1" s="1"/>
  <c r="I932" i="1" l="1"/>
  <c r="H932" i="1" s="1"/>
  <c r="E932" i="1"/>
  <c r="F932" i="1" s="1"/>
  <c r="G932" i="1" s="1"/>
  <c r="I933" i="1" l="1"/>
  <c r="H933" i="1" s="1"/>
  <c r="E933" i="1"/>
  <c r="F933" i="1" s="1"/>
  <c r="G933" i="1" s="1"/>
  <c r="I934" i="1" l="1"/>
  <c r="H934" i="1" s="1"/>
  <c r="E934" i="1"/>
  <c r="F934" i="1" s="1"/>
  <c r="G934" i="1" s="1"/>
  <c r="I935" i="1" l="1"/>
  <c r="H935" i="1" s="1"/>
  <c r="E935" i="1"/>
  <c r="F935" i="1" s="1"/>
  <c r="G935" i="1" s="1"/>
  <c r="I936" i="1" l="1"/>
  <c r="H936" i="1" s="1"/>
  <c r="E936" i="1"/>
  <c r="F936" i="1" s="1"/>
  <c r="G936" i="1" s="1"/>
  <c r="I937" i="1" l="1"/>
  <c r="H937" i="1" s="1"/>
  <c r="E937" i="1"/>
  <c r="F937" i="1" s="1"/>
  <c r="G937" i="1" s="1"/>
  <c r="I938" i="1" l="1"/>
  <c r="H938" i="1" s="1"/>
  <c r="E938" i="1"/>
  <c r="F938" i="1" s="1"/>
  <c r="G938" i="1" s="1"/>
  <c r="I939" i="1" l="1"/>
  <c r="H939" i="1" s="1"/>
  <c r="E939" i="1"/>
  <c r="F939" i="1" s="1"/>
  <c r="G939" i="1" s="1"/>
  <c r="I940" i="1" l="1"/>
  <c r="H940" i="1" s="1"/>
  <c r="E940" i="1"/>
  <c r="F940" i="1" s="1"/>
  <c r="G940" i="1" s="1"/>
  <c r="I941" i="1" l="1"/>
  <c r="H941" i="1" s="1"/>
  <c r="E941" i="1"/>
  <c r="F941" i="1" s="1"/>
  <c r="G941" i="1" s="1"/>
  <c r="I942" i="1" l="1"/>
  <c r="H942" i="1" s="1"/>
  <c r="E942" i="1"/>
  <c r="F942" i="1" s="1"/>
  <c r="G942" i="1" s="1"/>
  <c r="I943" i="1" l="1"/>
  <c r="H943" i="1" s="1"/>
  <c r="E943" i="1"/>
  <c r="F943" i="1" s="1"/>
  <c r="G943" i="1" s="1"/>
  <c r="I944" i="1" l="1"/>
  <c r="H944" i="1" s="1"/>
  <c r="E944" i="1"/>
  <c r="F944" i="1" s="1"/>
  <c r="G944" i="1" s="1"/>
  <c r="I945" i="1" l="1"/>
  <c r="H945" i="1" s="1"/>
  <c r="E945" i="1"/>
  <c r="F945" i="1" s="1"/>
  <c r="G945" i="1" s="1"/>
  <c r="I946" i="1" l="1"/>
  <c r="H946" i="1" s="1"/>
  <c r="E946" i="1"/>
  <c r="F946" i="1" s="1"/>
  <c r="G946" i="1" s="1"/>
  <c r="I947" i="1" l="1"/>
  <c r="H947" i="1" s="1"/>
  <c r="E947" i="1"/>
  <c r="F947" i="1" s="1"/>
  <c r="G947" i="1" s="1"/>
  <c r="I948" i="1" l="1"/>
  <c r="H948" i="1" s="1"/>
  <c r="E948" i="1"/>
  <c r="F948" i="1" s="1"/>
  <c r="G948" i="1" s="1"/>
  <c r="I949" i="1" l="1"/>
  <c r="H949" i="1" s="1"/>
  <c r="E949" i="1"/>
  <c r="F949" i="1" s="1"/>
  <c r="G949" i="1" s="1"/>
  <c r="I950" i="1" l="1"/>
  <c r="H950" i="1" s="1"/>
  <c r="E950" i="1"/>
  <c r="F950" i="1" s="1"/>
  <c r="G950" i="1" s="1"/>
  <c r="I951" i="1" l="1"/>
  <c r="H951" i="1" s="1"/>
  <c r="E951" i="1"/>
  <c r="F951" i="1" s="1"/>
  <c r="G951" i="1" s="1"/>
  <c r="I952" i="1" l="1"/>
  <c r="H952" i="1" s="1"/>
  <c r="E952" i="1"/>
  <c r="F952" i="1" s="1"/>
  <c r="G952" i="1" s="1"/>
  <c r="I953" i="1" l="1"/>
  <c r="H953" i="1" s="1"/>
  <c r="E953" i="1"/>
  <c r="F953" i="1" s="1"/>
  <c r="G953" i="1" s="1"/>
  <c r="I954" i="1" l="1"/>
  <c r="H954" i="1" s="1"/>
  <c r="E954" i="1"/>
  <c r="F954" i="1" s="1"/>
  <c r="G954" i="1" s="1"/>
  <c r="I955" i="1" l="1"/>
  <c r="H955" i="1" s="1"/>
  <c r="E955" i="1"/>
  <c r="F955" i="1" s="1"/>
  <c r="G955" i="1" s="1"/>
  <c r="I956" i="1" l="1"/>
  <c r="H956" i="1" s="1"/>
  <c r="E956" i="1"/>
  <c r="F956" i="1" s="1"/>
  <c r="G956" i="1" s="1"/>
  <c r="I957" i="1" l="1"/>
  <c r="H957" i="1" s="1"/>
  <c r="E957" i="1"/>
  <c r="F957" i="1" s="1"/>
  <c r="G957" i="1" s="1"/>
  <c r="I958" i="1" l="1"/>
  <c r="H958" i="1" s="1"/>
  <c r="E958" i="1"/>
  <c r="F958" i="1" s="1"/>
  <c r="G958" i="1" s="1"/>
  <c r="I959" i="1" l="1"/>
  <c r="H959" i="1" s="1"/>
  <c r="E959" i="1"/>
  <c r="F959" i="1" s="1"/>
  <c r="G959" i="1" s="1"/>
  <c r="I960" i="1" l="1"/>
  <c r="H960" i="1" s="1"/>
  <c r="E960" i="1"/>
  <c r="F960" i="1" s="1"/>
  <c r="G960" i="1" s="1"/>
  <c r="I961" i="1" l="1"/>
  <c r="H961" i="1" s="1"/>
  <c r="E961" i="1"/>
  <c r="F961" i="1" s="1"/>
  <c r="G961" i="1" s="1"/>
  <c r="I962" i="1" l="1"/>
  <c r="H962" i="1" s="1"/>
  <c r="E962" i="1"/>
  <c r="F962" i="1" s="1"/>
  <c r="G962" i="1" s="1"/>
  <c r="I963" i="1" l="1"/>
  <c r="H963" i="1" s="1"/>
  <c r="E963" i="1"/>
  <c r="F963" i="1" s="1"/>
  <c r="G963" i="1" s="1"/>
  <c r="I964" i="1" l="1"/>
  <c r="H964" i="1" s="1"/>
  <c r="E964" i="1"/>
  <c r="F964" i="1" s="1"/>
  <c r="G964" i="1" s="1"/>
  <c r="I965" i="1" l="1"/>
  <c r="H965" i="1" s="1"/>
  <c r="E965" i="1"/>
  <c r="F965" i="1" s="1"/>
  <c r="G965" i="1" s="1"/>
  <c r="I966" i="1" l="1"/>
  <c r="H966" i="1" s="1"/>
  <c r="E966" i="1"/>
  <c r="F966" i="1" s="1"/>
  <c r="G966" i="1" s="1"/>
  <c r="I967" i="1" l="1"/>
  <c r="H967" i="1" s="1"/>
  <c r="E967" i="1"/>
  <c r="F967" i="1" s="1"/>
  <c r="G967" i="1" s="1"/>
  <c r="I968" i="1" l="1"/>
  <c r="H968" i="1" s="1"/>
  <c r="E968" i="1"/>
  <c r="F968" i="1" s="1"/>
  <c r="G968" i="1" s="1"/>
  <c r="I969" i="1" l="1"/>
  <c r="H969" i="1" s="1"/>
  <c r="E969" i="1"/>
  <c r="F969" i="1" s="1"/>
  <c r="G969" i="1" s="1"/>
  <c r="I970" i="1" l="1"/>
  <c r="H970" i="1" s="1"/>
  <c r="E970" i="1"/>
  <c r="F970" i="1" s="1"/>
  <c r="G970" i="1" s="1"/>
  <c r="I971" i="1" l="1"/>
  <c r="H971" i="1" s="1"/>
  <c r="E971" i="1"/>
  <c r="F971" i="1" s="1"/>
  <c r="G971" i="1" s="1"/>
  <c r="I972" i="1" l="1"/>
  <c r="H972" i="1" s="1"/>
  <c r="E972" i="1"/>
  <c r="F972" i="1" s="1"/>
  <c r="G972" i="1" s="1"/>
  <c r="I973" i="1" l="1"/>
  <c r="H973" i="1" s="1"/>
  <c r="E973" i="1"/>
  <c r="F973" i="1" s="1"/>
  <c r="G973" i="1" s="1"/>
  <c r="I974" i="1" l="1"/>
  <c r="H974" i="1" s="1"/>
  <c r="E974" i="1"/>
  <c r="F974" i="1" s="1"/>
  <c r="G974" i="1" s="1"/>
  <c r="I975" i="1" l="1"/>
  <c r="H975" i="1" s="1"/>
  <c r="E975" i="1"/>
  <c r="F975" i="1" s="1"/>
  <c r="G975" i="1" s="1"/>
  <c r="I976" i="1" l="1"/>
  <c r="H976" i="1" s="1"/>
  <c r="E976" i="1"/>
  <c r="F976" i="1" s="1"/>
  <c r="G976" i="1" s="1"/>
  <c r="I977" i="1" l="1"/>
  <c r="H977" i="1" s="1"/>
  <c r="E977" i="1"/>
  <c r="F977" i="1" s="1"/>
  <c r="G977" i="1" s="1"/>
  <c r="I978" i="1" l="1"/>
  <c r="H978" i="1" s="1"/>
  <c r="E978" i="1"/>
  <c r="F978" i="1" s="1"/>
  <c r="G978" i="1" s="1"/>
  <c r="I979" i="1" l="1"/>
  <c r="H979" i="1" s="1"/>
  <c r="E979" i="1"/>
  <c r="F979" i="1" s="1"/>
  <c r="G979" i="1" s="1"/>
  <c r="I980" i="1" l="1"/>
  <c r="H980" i="1" s="1"/>
  <c r="E980" i="1"/>
  <c r="F980" i="1" s="1"/>
  <c r="G980" i="1" s="1"/>
  <c r="I981" i="1" l="1"/>
  <c r="H981" i="1" s="1"/>
  <c r="E981" i="1"/>
  <c r="F981" i="1" s="1"/>
  <c r="G981" i="1" s="1"/>
  <c r="I982" i="1" l="1"/>
  <c r="H982" i="1" s="1"/>
  <c r="E982" i="1"/>
  <c r="F982" i="1" s="1"/>
  <c r="G982" i="1" s="1"/>
  <c r="I983" i="1" l="1"/>
  <c r="H983" i="1" s="1"/>
  <c r="E983" i="1"/>
  <c r="F983" i="1" s="1"/>
  <c r="G983" i="1" s="1"/>
  <c r="I984" i="1" l="1"/>
  <c r="H984" i="1" s="1"/>
  <c r="E984" i="1"/>
  <c r="F984" i="1" s="1"/>
  <c r="G984" i="1" s="1"/>
  <c r="I985" i="1" l="1"/>
  <c r="H985" i="1" s="1"/>
  <c r="E985" i="1"/>
  <c r="F985" i="1" s="1"/>
  <c r="G985" i="1" s="1"/>
  <c r="I986" i="1" l="1"/>
  <c r="H986" i="1" s="1"/>
  <c r="E986" i="1"/>
  <c r="F986" i="1" s="1"/>
  <c r="G986" i="1" s="1"/>
  <c r="I987" i="1" l="1"/>
  <c r="H987" i="1" s="1"/>
  <c r="E987" i="1"/>
  <c r="F987" i="1" s="1"/>
  <c r="G987" i="1" s="1"/>
  <c r="I988" i="1" l="1"/>
  <c r="H988" i="1" s="1"/>
  <c r="E988" i="1"/>
  <c r="F988" i="1" s="1"/>
  <c r="G988" i="1" s="1"/>
  <c r="I989" i="1" l="1"/>
  <c r="H989" i="1" s="1"/>
  <c r="E989" i="1"/>
  <c r="F989" i="1" s="1"/>
  <c r="G989" i="1" s="1"/>
  <c r="I990" i="1" l="1"/>
  <c r="H990" i="1" s="1"/>
  <c r="E990" i="1"/>
  <c r="F990" i="1" s="1"/>
  <c r="G990" i="1" s="1"/>
  <c r="I991" i="1" l="1"/>
  <c r="H991" i="1" s="1"/>
  <c r="E991" i="1"/>
  <c r="F991" i="1" s="1"/>
  <c r="G991" i="1" s="1"/>
  <c r="I992" i="1" l="1"/>
  <c r="H992" i="1" s="1"/>
  <c r="E992" i="1"/>
  <c r="F992" i="1" s="1"/>
  <c r="G992" i="1" s="1"/>
  <c r="I993" i="1" l="1"/>
  <c r="H993" i="1" s="1"/>
  <c r="E993" i="1"/>
  <c r="F993" i="1" s="1"/>
  <c r="G993" i="1" s="1"/>
  <c r="I994" i="1" l="1"/>
  <c r="H994" i="1" s="1"/>
  <c r="E994" i="1"/>
  <c r="F994" i="1" s="1"/>
  <c r="G994" i="1" s="1"/>
  <c r="I995" i="1" l="1"/>
  <c r="H995" i="1" s="1"/>
  <c r="E995" i="1"/>
  <c r="F995" i="1" s="1"/>
  <c r="G995" i="1" s="1"/>
  <c r="I996" i="1" l="1"/>
  <c r="H996" i="1" s="1"/>
  <c r="E996" i="1"/>
  <c r="F996" i="1" s="1"/>
  <c r="G996" i="1" s="1"/>
  <c r="I997" i="1" l="1"/>
  <c r="H997" i="1" s="1"/>
  <c r="E997" i="1"/>
  <c r="F997" i="1" s="1"/>
  <c r="G997" i="1" s="1"/>
  <c r="I998" i="1" l="1"/>
  <c r="H998" i="1" s="1"/>
  <c r="E998" i="1"/>
  <c r="F998" i="1" s="1"/>
  <c r="G998" i="1" s="1"/>
  <c r="I999" i="1" l="1"/>
  <c r="H999" i="1" s="1"/>
  <c r="E999" i="1"/>
  <c r="F999" i="1" s="1"/>
  <c r="G999" i="1" s="1"/>
  <c r="I1000" i="1" l="1"/>
  <c r="H1000" i="1" s="1"/>
  <c r="E1000" i="1"/>
  <c r="F1000" i="1" s="1"/>
  <c r="G1000" i="1" s="1"/>
  <c r="D2" i="1" l="1"/>
  <c r="I1001" i="1"/>
  <c r="H1001" i="1" s="1"/>
  <c r="E1001" i="1"/>
  <c r="F1001" i="1" s="1"/>
  <c r="G1001" i="1" s="1"/>
  <c r="E2" i="1" l="1"/>
  <c r="F2" i="1"/>
  <c r="G2" i="1" s="1"/>
  <c r="I1002" i="1"/>
  <c r="H1002" i="1" s="1"/>
  <c r="E1002" i="1"/>
  <c r="F1002" i="1" s="1"/>
  <c r="G1002" i="1" s="1"/>
  <c r="I1003" i="1" l="1"/>
  <c r="H1003" i="1" s="1"/>
  <c r="E1003" i="1"/>
  <c r="F1003" i="1" s="1"/>
  <c r="G1003" i="1" s="1"/>
  <c r="I1004" i="1" l="1"/>
  <c r="H1004" i="1" s="1"/>
  <c r="E1004" i="1"/>
  <c r="F1004" i="1" s="1"/>
  <c r="G1004" i="1" s="1"/>
  <c r="I1005" i="1" l="1"/>
  <c r="H1005" i="1" s="1"/>
  <c r="E1005" i="1"/>
  <c r="F1005" i="1" s="1"/>
  <c r="G1005" i="1" s="1"/>
  <c r="I1006" i="1" l="1"/>
  <c r="H1006" i="1" s="1"/>
  <c r="E1006" i="1"/>
  <c r="F1006" i="1" s="1"/>
  <c r="G1006" i="1" s="1"/>
  <c r="I1007" i="1" l="1"/>
  <c r="H1007" i="1" s="1"/>
  <c r="E1007" i="1"/>
  <c r="F1007" i="1" s="1"/>
  <c r="G1007" i="1" s="1"/>
  <c r="I1008" i="1" l="1"/>
  <c r="H1008" i="1" s="1"/>
  <c r="E1008" i="1"/>
  <c r="F1008" i="1" s="1"/>
  <c r="G1008" i="1" s="1"/>
  <c r="I1009" i="1" l="1"/>
  <c r="H1009" i="1" s="1"/>
  <c r="E1009" i="1"/>
  <c r="F1009" i="1" s="1"/>
  <c r="G1009" i="1" s="1"/>
  <c r="I1010" i="1" l="1"/>
  <c r="H1010" i="1" s="1"/>
  <c r="E1010" i="1"/>
  <c r="F1010" i="1" s="1"/>
  <c r="G1010" i="1" s="1"/>
  <c r="I1011" i="1" l="1"/>
  <c r="H1011" i="1" s="1"/>
  <c r="E1011" i="1"/>
  <c r="F1011" i="1" s="1"/>
  <c r="G1011" i="1" s="1"/>
  <c r="I1012" i="1" l="1"/>
  <c r="H1012" i="1" s="1"/>
  <c r="E1012" i="1"/>
  <c r="F1012" i="1" s="1"/>
  <c r="G1012" i="1" s="1"/>
  <c r="I1013" i="1" l="1"/>
  <c r="H1013" i="1" s="1"/>
  <c r="E1013" i="1"/>
  <c r="F1013" i="1" s="1"/>
  <c r="G1013" i="1" s="1"/>
  <c r="I1014" i="1" l="1"/>
  <c r="H1014" i="1" s="1"/>
  <c r="E1014" i="1"/>
  <c r="F1014" i="1" s="1"/>
  <c r="G1014" i="1" s="1"/>
  <c r="I1015" i="1" l="1"/>
  <c r="H1015" i="1" s="1"/>
  <c r="E1015" i="1"/>
  <c r="F1015" i="1" s="1"/>
  <c r="G1015" i="1" s="1"/>
  <c r="I1016" i="1" l="1"/>
  <c r="H1016" i="1" s="1"/>
  <c r="E1016" i="1"/>
  <c r="F1016" i="1" s="1"/>
  <c r="G1016" i="1" s="1"/>
  <c r="I1017" i="1" l="1"/>
  <c r="H1017" i="1" s="1"/>
  <c r="E1017" i="1"/>
  <c r="F1017" i="1" s="1"/>
  <c r="G1017" i="1" s="1"/>
  <c r="I1018" i="1" l="1"/>
  <c r="H1018" i="1" s="1"/>
  <c r="E1018" i="1"/>
  <c r="F1018" i="1" s="1"/>
  <c r="G1018" i="1" s="1"/>
  <c r="I1019" i="1" l="1"/>
  <c r="H1019" i="1" s="1"/>
  <c r="E1019" i="1"/>
  <c r="F1019" i="1" s="1"/>
  <c r="G1019" i="1" s="1"/>
  <c r="I1020" i="1" l="1"/>
  <c r="H1020" i="1" s="1"/>
  <c r="E1020" i="1"/>
  <c r="F1020" i="1" s="1"/>
  <c r="G1020" i="1" s="1"/>
  <c r="I1021" i="1" l="1"/>
  <c r="H1021" i="1" s="1"/>
  <c r="E1021" i="1"/>
  <c r="F1021" i="1" s="1"/>
  <c r="G1021" i="1" s="1"/>
  <c r="I1022" i="1" l="1"/>
  <c r="H1022" i="1" s="1"/>
  <c r="E1022" i="1"/>
  <c r="F1022" i="1" s="1"/>
  <c r="G1022" i="1" s="1"/>
  <c r="I1023" i="1" l="1"/>
  <c r="H1023" i="1" s="1"/>
  <c r="E1023" i="1"/>
  <c r="F1023" i="1" s="1"/>
  <c r="G1023" i="1" s="1"/>
  <c r="I1024" i="1" l="1"/>
  <c r="H1024" i="1" s="1"/>
  <c r="E1024" i="1"/>
  <c r="F1024" i="1" s="1"/>
  <c r="G1024" i="1" s="1"/>
  <c r="I1025" i="1" l="1"/>
  <c r="H1025" i="1" s="1"/>
  <c r="E1025" i="1"/>
  <c r="F1025" i="1" s="1"/>
  <c r="G1025" i="1" s="1"/>
  <c r="I1026" i="1" l="1"/>
  <c r="H1026" i="1" s="1"/>
  <c r="E1026" i="1"/>
  <c r="F1026" i="1" s="1"/>
  <c r="G1026" i="1" s="1"/>
  <c r="I1027" i="1" l="1"/>
  <c r="H1027" i="1" s="1"/>
  <c r="E1027" i="1"/>
  <c r="F1027" i="1" s="1"/>
  <c r="G1027" i="1" s="1"/>
  <c r="I1028" i="1" l="1"/>
  <c r="H1028" i="1" s="1"/>
  <c r="E1028" i="1"/>
  <c r="F1028" i="1" s="1"/>
  <c r="G1028" i="1" s="1"/>
  <c r="I1029" i="1" l="1"/>
  <c r="H1029" i="1" s="1"/>
  <c r="E1029" i="1"/>
  <c r="F1029" i="1" s="1"/>
  <c r="G1029" i="1" s="1"/>
  <c r="I1030" i="1" l="1"/>
  <c r="H1030" i="1" s="1"/>
  <c r="E1030" i="1"/>
  <c r="F1030" i="1" s="1"/>
  <c r="G1030" i="1" s="1"/>
  <c r="I1031" i="1" l="1"/>
  <c r="H1031" i="1" s="1"/>
  <c r="E1031" i="1"/>
  <c r="F1031" i="1" s="1"/>
  <c r="G1031" i="1" s="1"/>
  <c r="I1032" i="1" l="1"/>
  <c r="H1032" i="1" s="1"/>
  <c r="E1032" i="1"/>
  <c r="F1032" i="1" s="1"/>
  <c r="G1032" i="1" s="1"/>
  <c r="I1033" i="1" l="1"/>
  <c r="H1033" i="1" s="1"/>
  <c r="E1033" i="1"/>
  <c r="F1033" i="1" s="1"/>
  <c r="G1033" i="1" s="1"/>
  <c r="I1034" i="1" l="1"/>
  <c r="H1034" i="1" s="1"/>
  <c r="E1034" i="1"/>
  <c r="F1034" i="1" s="1"/>
  <c r="G1034" i="1" s="1"/>
  <c r="I1035" i="1" l="1"/>
  <c r="H1035" i="1" s="1"/>
  <c r="E1035" i="1"/>
  <c r="F1035" i="1" s="1"/>
  <c r="G1035" i="1" s="1"/>
  <c r="I1036" i="1" l="1"/>
  <c r="H1036" i="1" s="1"/>
  <c r="E1036" i="1"/>
  <c r="F1036" i="1" s="1"/>
  <c r="G1036" i="1" s="1"/>
  <c r="I1037" i="1" l="1"/>
  <c r="H1037" i="1" s="1"/>
  <c r="E1037" i="1"/>
  <c r="F1037" i="1" s="1"/>
  <c r="G1037" i="1" s="1"/>
  <c r="I1038" i="1" l="1"/>
  <c r="H1038" i="1" s="1"/>
  <c r="E1038" i="1"/>
  <c r="F1038" i="1" s="1"/>
  <c r="G1038" i="1" s="1"/>
  <c r="I1039" i="1" l="1"/>
  <c r="H1039" i="1" s="1"/>
  <c r="E1039" i="1"/>
  <c r="F1039" i="1" s="1"/>
  <c r="G1039" i="1" s="1"/>
  <c r="I1040" i="1" l="1"/>
  <c r="H1040" i="1" s="1"/>
  <c r="E1040" i="1"/>
  <c r="F1040" i="1" s="1"/>
  <c r="G1040" i="1" s="1"/>
  <c r="I1041" i="1" l="1"/>
  <c r="H1041" i="1" s="1"/>
  <c r="E1041" i="1"/>
  <c r="F1041" i="1" s="1"/>
  <c r="G1041" i="1" s="1"/>
  <c r="I1042" i="1" l="1"/>
  <c r="H1042" i="1" s="1"/>
  <c r="E1042" i="1"/>
  <c r="F1042" i="1" s="1"/>
  <c r="G1042" i="1" s="1"/>
  <c r="I1043" i="1" l="1"/>
  <c r="H1043" i="1" s="1"/>
  <c r="E1043" i="1"/>
  <c r="F1043" i="1" s="1"/>
  <c r="G1043" i="1" s="1"/>
  <c r="I1044" i="1" l="1"/>
  <c r="H1044" i="1" s="1"/>
  <c r="E1044" i="1"/>
  <c r="F1044" i="1" s="1"/>
  <c r="G1044" i="1" s="1"/>
  <c r="I1045" i="1" l="1"/>
  <c r="H1045" i="1" s="1"/>
  <c r="E1045" i="1"/>
  <c r="F1045" i="1" s="1"/>
  <c r="G1045" i="1" s="1"/>
  <c r="I1046" i="1" l="1"/>
  <c r="H1046" i="1" s="1"/>
  <c r="E1046" i="1"/>
  <c r="F1046" i="1" s="1"/>
  <c r="G1046" i="1" s="1"/>
  <c r="I1047" i="1" l="1"/>
  <c r="H1047" i="1" s="1"/>
  <c r="E1047" i="1"/>
  <c r="F1047" i="1" s="1"/>
  <c r="G1047" i="1" s="1"/>
  <c r="I1048" i="1" l="1"/>
  <c r="H1048" i="1" s="1"/>
  <c r="E1048" i="1"/>
  <c r="F1048" i="1" s="1"/>
  <c r="G1048" i="1" s="1"/>
  <c r="I1049" i="1" l="1"/>
  <c r="H1049" i="1" s="1"/>
  <c r="E1049" i="1"/>
  <c r="F1049" i="1" s="1"/>
  <c r="G1049" i="1" s="1"/>
  <c r="I1050" i="1" l="1"/>
  <c r="H1050" i="1" s="1"/>
  <c r="E1050" i="1"/>
  <c r="F1050" i="1" s="1"/>
  <c r="G1050" i="1" s="1"/>
  <c r="I1051" i="1" l="1"/>
  <c r="H1051" i="1" s="1"/>
  <c r="E1051" i="1"/>
  <c r="F1051" i="1" s="1"/>
  <c r="G1051" i="1" s="1"/>
  <c r="I1052" i="1" l="1"/>
  <c r="H1052" i="1" s="1"/>
  <c r="E1052" i="1"/>
  <c r="F1052" i="1" s="1"/>
  <c r="G1052" i="1" s="1"/>
  <c r="I1053" i="1" l="1"/>
  <c r="H1053" i="1" s="1"/>
  <c r="E1053" i="1"/>
  <c r="F1053" i="1" s="1"/>
  <c r="G1053" i="1" s="1"/>
  <c r="I1054" i="1" l="1"/>
  <c r="H1054" i="1" s="1"/>
  <c r="E1054" i="1"/>
  <c r="F1054" i="1" s="1"/>
  <c r="G1054" i="1" s="1"/>
  <c r="I1055" i="1" l="1"/>
  <c r="H1055" i="1" s="1"/>
  <c r="E1055" i="1"/>
  <c r="F1055" i="1" s="1"/>
  <c r="G1055" i="1" s="1"/>
  <c r="I1056" i="1" l="1"/>
  <c r="H1056" i="1" s="1"/>
  <c r="E1056" i="1"/>
  <c r="F1056" i="1" s="1"/>
  <c r="G1056" i="1" s="1"/>
  <c r="I1057" i="1" l="1"/>
  <c r="H1057" i="1" s="1"/>
  <c r="E1057" i="1"/>
  <c r="F1057" i="1" s="1"/>
  <c r="G1057" i="1" s="1"/>
  <c r="I1058" i="1" l="1"/>
  <c r="H1058" i="1" s="1"/>
  <c r="E1058" i="1"/>
  <c r="F1058" i="1" s="1"/>
  <c r="G1058" i="1" s="1"/>
  <c r="I1059" i="1" l="1"/>
  <c r="H1059" i="1" s="1"/>
  <c r="E1059" i="1"/>
  <c r="F1059" i="1" s="1"/>
  <c r="G1059" i="1" s="1"/>
  <c r="I1060" i="1" l="1"/>
  <c r="H1060" i="1" s="1"/>
  <c r="E1060" i="1"/>
  <c r="F1060" i="1" s="1"/>
  <c r="G1060" i="1" s="1"/>
  <c r="I1061" i="1" l="1"/>
  <c r="H1061" i="1" s="1"/>
  <c r="E1061" i="1"/>
  <c r="F1061" i="1" s="1"/>
  <c r="G1061" i="1" s="1"/>
  <c r="I1062" i="1" l="1"/>
  <c r="H1062" i="1" s="1"/>
  <c r="E1062" i="1"/>
  <c r="F1062" i="1" s="1"/>
  <c r="G1062" i="1" s="1"/>
  <c r="I1063" i="1" l="1"/>
  <c r="H1063" i="1" s="1"/>
  <c r="E1063" i="1"/>
  <c r="F1063" i="1" s="1"/>
  <c r="G1063" i="1" s="1"/>
  <c r="I1064" i="1" l="1"/>
  <c r="H1064" i="1" s="1"/>
  <c r="E1064" i="1"/>
  <c r="F1064" i="1" s="1"/>
  <c r="G1064" i="1" s="1"/>
  <c r="I1065" i="1" l="1"/>
  <c r="H1065" i="1" s="1"/>
  <c r="E1065" i="1"/>
  <c r="F1065" i="1" s="1"/>
  <c r="G1065" i="1" s="1"/>
  <c r="I1066" i="1" l="1"/>
  <c r="H1066" i="1" s="1"/>
  <c r="E1066" i="1"/>
  <c r="F1066" i="1" s="1"/>
  <c r="G1066" i="1" s="1"/>
  <c r="I1067" i="1" l="1"/>
  <c r="H1067" i="1" s="1"/>
  <c r="E1067" i="1"/>
  <c r="F1067" i="1" s="1"/>
  <c r="G1067" i="1" s="1"/>
  <c r="I1068" i="1" l="1"/>
  <c r="H1068" i="1" s="1"/>
  <c r="E1068" i="1"/>
  <c r="F1068" i="1" s="1"/>
  <c r="G1068" i="1" s="1"/>
  <c r="I1069" i="1" l="1"/>
  <c r="H1069" i="1" s="1"/>
  <c r="E1069" i="1"/>
  <c r="F1069" i="1" s="1"/>
  <c r="G1069" i="1" s="1"/>
  <c r="I1070" i="1" l="1"/>
  <c r="H1070" i="1" s="1"/>
  <c r="E1070" i="1"/>
  <c r="F1070" i="1" s="1"/>
  <c r="G1070" i="1" s="1"/>
  <c r="I1071" i="1" l="1"/>
  <c r="H1071" i="1" s="1"/>
  <c r="E1071" i="1"/>
  <c r="F1071" i="1" s="1"/>
  <c r="G1071" i="1" s="1"/>
  <c r="I1072" i="1" l="1"/>
  <c r="H1072" i="1" s="1"/>
  <c r="E1072" i="1"/>
  <c r="F1072" i="1" s="1"/>
  <c r="G1072" i="1" s="1"/>
  <c r="I1073" i="1" l="1"/>
  <c r="H1073" i="1" s="1"/>
  <c r="E1073" i="1"/>
  <c r="F1073" i="1" s="1"/>
  <c r="G1073" i="1" s="1"/>
  <c r="I1074" i="1" l="1"/>
  <c r="H1074" i="1" s="1"/>
  <c r="E1074" i="1"/>
  <c r="F1074" i="1" s="1"/>
  <c r="G1074" i="1" s="1"/>
  <c r="I1075" i="1" l="1"/>
  <c r="H1075" i="1" s="1"/>
  <c r="E1075" i="1"/>
  <c r="F1075" i="1" s="1"/>
  <c r="G1075" i="1" s="1"/>
  <c r="I1076" i="1" l="1"/>
  <c r="H1076" i="1" s="1"/>
  <c r="E1076" i="1"/>
  <c r="F1076" i="1" s="1"/>
  <c r="G1076" i="1" s="1"/>
  <c r="I1077" i="1" l="1"/>
  <c r="H1077" i="1" s="1"/>
  <c r="E1077" i="1"/>
  <c r="F1077" i="1" s="1"/>
  <c r="G1077" i="1" s="1"/>
  <c r="I1078" i="1" l="1"/>
  <c r="H1078" i="1" s="1"/>
  <c r="E1078" i="1"/>
  <c r="F1078" i="1" s="1"/>
  <c r="G1078" i="1" s="1"/>
  <c r="I1079" i="1" l="1"/>
  <c r="H1079" i="1" s="1"/>
  <c r="E1079" i="1"/>
  <c r="F1079" i="1" s="1"/>
  <c r="G1079" i="1" s="1"/>
  <c r="I1080" i="1" l="1"/>
  <c r="H1080" i="1" s="1"/>
  <c r="E1080" i="1"/>
  <c r="F1080" i="1" s="1"/>
  <c r="G1080" i="1" s="1"/>
  <c r="I1081" i="1" l="1"/>
  <c r="H1081" i="1" s="1"/>
  <c r="E1081" i="1"/>
  <c r="F1081" i="1" s="1"/>
  <c r="G1081" i="1" s="1"/>
  <c r="I1082" i="1" l="1"/>
  <c r="H1082" i="1" s="1"/>
  <c r="E1082" i="1"/>
  <c r="F1082" i="1" s="1"/>
  <c r="G1082" i="1" s="1"/>
  <c r="I1083" i="1" l="1"/>
  <c r="H1083" i="1" s="1"/>
  <c r="E1083" i="1"/>
  <c r="F1083" i="1" s="1"/>
  <c r="G1083" i="1" s="1"/>
  <c r="I1084" i="1" l="1"/>
  <c r="H1084" i="1" s="1"/>
  <c r="E1084" i="1"/>
  <c r="F1084" i="1" s="1"/>
  <c r="G1084" i="1" s="1"/>
  <c r="I1085" i="1" l="1"/>
  <c r="H1085" i="1" s="1"/>
  <c r="E1085" i="1"/>
  <c r="F1085" i="1" s="1"/>
  <c r="G1085" i="1" s="1"/>
  <c r="I1086" i="1" l="1"/>
  <c r="H1086" i="1" s="1"/>
  <c r="E1086" i="1"/>
  <c r="F1086" i="1" s="1"/>
  <c r="G1086" i="1" s="1"/>
  <c r="I1087" i="1" l="1"/>
  <c r="H1087" i="1" s="1"/>
  <c r="E1087" i="1"/>
  <c r="F1087" i="1" s="1"/>
  <c r="G1087" i="1" s="1"/>
  <c r="I1088" i="1" l="1"/>
  <c r="H1088" i="1" s="1"/>
  <c r="E1088" i="1"/>
  <c r="F1088" i="1" s="1"/>
  <c r="G1088" i="1" s="1"/>
  <c r="I1089" i="1" l="1"/>
  <c r="H1089" i="1" s="1"/>
  <c r="E1089" i="1"/>
  <c r="F1089" i="1" s="1"/>
  <c r="G1089" i="1" s="1"/>
  <c r="I1090" i="1" l="1"/>
  <c r="H1090" i="1" s="1"/>
  <c r="E1090" i="1"/>
  <c r="F1090" i="1" s="1"/>
  <c r="G1090" i="1" s="1"/>
  <c r="I1091" i="1" l="1"/>
  <c r="H1091" i="1" s="1"/>
  <c r="E1091" i="1"/>
  <c r="F1091" i="1" s="1"/>
  <c r="G1091" i="1" s="1"/>
  <c r="I1092" i="1" l="1"/>
  <c r="H1092" i="1" s="1"/>
  <c r="E1092" i="1"/>
  <c r="F1092" i="1" s="1"/>
  <c r="G1092" i="1" s="1"/>
  <c r="I1093" i="1" l="1"/>
  <c r="H1093" i="1" s="1"/>
  <c r="E1093" i="1"/>
  <c r="F1093" i="1" s="1"/>
  <c r="G1093" i="1" s="1"/>
  <c r="I1094" i="1" l="1"/>
  <c r="H1094" i="1" s="1"/>
  <c r="E1094" i="1"/>
  <c r="F1094" i="1" s="1"/>
  <c r="G1094" i="1" s="1"/>
  <c r="I1095" i="1" l="1"/>
  <c r="H1095" i="1" s="1"/>
  <c r="E1095" i="1"/>
  <c r="F1095" i="1" s="1"/>
  <c r="G1095" i="1" s="1"/>
  <c r="I1096" i="1" l="1"/>
  <c r="H1096" i="1" s="1"/>
  <c r="E1096" i="1"/>
  <c r="F1096" i="1" s="1"/>
  <c r="G1096" i="1" s="1"/>
  <c r="I1097" i="1" l="1"/>
  <c r="H1097" i="1" s="1"/>
  <c r="E1097" i="1"/>
  <c r="F1097" i="1" s="1"/>
  <c r="G1097" i="1" s="1"/>
  <c r="I1098" i="1" l="1"/>
  <c r="H1098" i="1" s="1"/>
  <c r="E1098" i="1"/>
  <c r="F1098" i="1" s="1"/>
  <c r="G1098" i="1" s="1"/>
  <c r="I1099" i="1" l="1"/>
  <c r="H1099" i="1" s="1"/>
  <c r="E1099" i="1"/>
  <c r="F1099" i="1" s="1"/>
  <c r="G1099" i="1" s="1"/>
  <c r="I1100" i="1" l="1"/>
  <c r="H1100" i="1" s="1"/>
  <c r="E1100" i="1"/>
  <c r="F1100" i="1" s="1"/>
  <c r="G1100" i="1" s="1"/>
  <c r="I1101" i="1" l="1"/>
  <c r="H1101" i="1" s="1"/>
  <c r="E1101" i="1"/>
  <c r="F1101" i="1" s="1"/>
  <c r="G1101" i="1" s="1"/>
  <c r="I1102" i="1" l="1"/>
  <c r="H1102" i="1" s="1"/>
  <c r="E1102" i="1"/>
  <c r="F1102" i="1" s="1"/>
  <c r="G1102" i="1" s="1"/>
  <c r="I1103" i="1" l="1"/>
  <c r="H1103" i="1" s="1"/>
  <c r="E1103" i="1"/>
  <c r="F1103" i="1" s="1"/>
  <c r="G1103" i="1" s="1"/>
  <c r="I1104" i="1" l="1"/>
  <c r="H1104" i="1" s="1"/>
  <c r="E1104" i="1"/>
  <c r="F1104" i="1" s="1"/>
  <c r="G1104" i="1" s="1"/>
  <c r="I1105" i="1" l="1"/>
  <c r="H1105" i="1" s="1"/>
  <c r="E1105" i="1"/>
  <c r="F1105" i="1" s="1"/>
  <c r="G1105" i="1" s="1"/>
  <c r="I1106" i="1" l="1"/>
  <c r="H1106" i="1" s="1"/>
  <c r="E1106" i="1"/>
  <c r="F1106" i="1" s="1"/>
  <c r="G1106" i="1" s="1"/>
  <c r="I1107" i="1" l="1"/>
  <c r="H1107" i="1" s="1"/>
  <c r="E1107" i="1"/>
  <c r="F1107" i="1" s="1"/>
  <c r="G1107" i="1" s="1"/>
  <c r="I1108" i="1" l="1"/>
  <c r="H1108" i="1" s="1"/>
  <c r="E1108" i="1"/>
  <c r="F1108" i="1" s="1"/>
  <c r="G1108" i="1" s="1"/>
  <c r="I1109" i="1" l="1"/>
  <c r="H1109" i="1" s="1"/>
  <c r="E1109" i="1"/>
  <c r="F1109" i="1" s="1"/>
  <c r="G1109" i="1" s="1"/>
  <c r="I1110" i="1" l="1"/>
  <c r="H1110" i="1" s="1"/>
  <c r="E1110" i="1"/>
  <c r="F1110" i="1" s="1"/>
  <c r="G1110" i="1" s="1"/>
  <c r="I1111" i="1" l="1"/>
  <c r="H1111" i="1" s="1"/>
  <c r="E1111" i="1"/>
  <c r="F1111" i="1" s="1"/>
  <c r="G1111" i="1" s="1"/>
  <c r="I1112" i="1" l="1"/>
  <c r="H1112" i="1" s="1"/>
  <c r="E1112" i="1"/>
  <c r="F1112" i="1" s="1"/>
  <c r="G1112" i="1" s="1"/>
  <c r="I1113" i="1" l="1"/>
  <c r="H1113" i="1" s="1"/>
  <c r="E1113" i="1"/>
  <c r="F1113" i="1" s="1"/>
  <c r="G1113" i="1" s="1"/>
  <c r="I1114" i="1" l="1"/>
  <c r="H1114" i="1" s="1"/>
  <c r="E1114" i="1"/>
  <c r="F1114" i="1" s="1"/>
  <c r="G1114" i="1" s="1"/>
  <c r="I1115" i="1" l="1"/>
  <c r="H1115" i="1" s="1"/>
  <c r="E1115" i="1"/>
  <c r="F1115" i="1" s="1"/>
  <c r="G1115" i="1" s="1"/>
  <c r="I1116" i="1" l="1"/>
  <c r="H1116" i="1" s="1"/>
  <c r="E1116" i="1"/>
  <c r="F1116" i="1" s="1"/>
  <c r="G1116" i="1" s="1"/>
  <c r="I1117" i="1" l="1"/>
  <c r="H1117" i="1" s="1"/>
  <c r="E1117" i="1"/>
  <c r="F1117" i="1" s="1"/>
  <c r="G1117" i="1" s="1"/>
  <c r="I1118" i="1" l="1"/>
  <c r="H1118" i="1" s="1"/>
  <c r="E1118" i="1"/>
  <c r="F1118" i="1" s="1"/>
  <c r="G1118" i="1" s="1"/>
  <c r="I1119" i="1" l="1"/>
  <c r="H1119" i="1" s="1"/>
  <c r="E1119" i="1"/>
  <c r="F1119" i="1" s="1"/>
  <c r="G1119" i="1" s="1"/>
  <c r="I1120" i="1" l="1"/>
  <c r="H1120" i="1" s="1"/>
  <c r="E1120" i="1"/>
  <c r="F1120" i="1" s="1"/>
  <c r="G1120" i="1" s="1"/>
  <c r="I1121" i="1" l="1"/>
  <c r="H1121" i="1" s="1"/>
  <c r="E1121" i="1"/>
  <c r="F1121" i="1" s="1"/>
  <c r="G1121" i="1" s="1"/>
  <c r="I1122" i="1" l="1"/>
  <c r="H1122" i="1" s="1"/>
  <c r="E1122" i="1"/>
  <c r="F1122" i="1" s="1"/>
  <c r="G1122" i="1" s="1"/>
  <c r="I1123" i="1" l="1"/>
  <c r="H1123" i="1" s="1"/>
  <c r="E1123" i="1"/>
  <c r="F1123" i="1" s="1"/>
  <c r="G1123" i="1" s="1"/>
  <c r="I1124" i="1" l="1"/>
  <c r="H1124" i="1" s="1"/>
  <c r="E1124" i="1"/>
  <c r="F1124" i="1" s="1"/>
  <c r="G1124" i="1" s="1"/>
  <c r="I1125" i="1" l="1"/>
  <c r="H1125" i="1" s="1"/>
  <c r="E1125" i="1"/>
  <c r="F1125" i="1" s="1"/>
  <c r="G1125" i="1" s="1"/>
  <c r="I1126" i="1" l="1"/>
  <c r="H1126" i="1" s="1"/>
  <c r="E1126" i="1"/>
  <c r="F1126" i="1" s="1"/>
  <c r="G1126" i="1" s="1"/>
  <c r="I1127" i="1" l="1"/>
  <c r="H1127" i="1" s="1"/>
  <c r="E1127" i="1"/>
  <c r="F1127" i="1" s="1"/>
  <c r="G1127" i="1" s="1"/>
  <c r="I1128" i="1" l="1"/>
  <c r="H1128" i="1" s="1"/>
  <c r="E1128" i="1"/>
  <c r="F1128" i="1" s="1"/>
  <c r="G1128" i="1" s="1"/>
  <c r="R23" i="1" l="1"/>
  <c r="Q24" i="1" l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R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l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R47" i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S47" i="1" l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R59" i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S59" i="1" l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R71" i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R83" i="1" l="1"/>
  <c r="Q84" i="1" l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R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S83" i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l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R107" i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S107" i="1" l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R119" i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S119" i="1" l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R131" i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S131" i="1" l="1"/>
  <c r="S132" i="1" s="1"/>
  <c r="S133" i="1" s="1"/>
  <c r="S134" i="1" s="1"/>
  <c r="S135" i="1" s="1"/>
  <c r="R143" i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S136" i="1" l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R155" i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S155" i="1" l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R167" i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S167" i="1" l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R179" i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S179" i="1" l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R191" i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S191" i="1" l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R203" i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S203" i="1" l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R215" i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S215" i="1" l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R227" i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S227" i="1" l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R239" i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S239" i="1" l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R251" i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S251" i="1" l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R263" i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J3" i="1"/>
  <c r="S270" i="1" l="1"/>
  <c r="S271" i="1" s="1"/>
  <c r="S272" i="1" s="1"/>
  <c r="S273" i="1" s="1"/>
  <c r="S274" i="1" s="1"/>
  <c r="R275" i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K3" i="1"/>
  <c r="S275" i="1" l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R287" i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S287" i="1" l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R299" i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S299" i="1" l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R311" i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S311" i="1" l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R323" i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S323" i="1" l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R335" i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S335" i="1" l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R347" i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S347" i="1" l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R359" i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S359" i="1" l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R371" i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S371" i="1" l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R383" i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S383" i="1" l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R395" i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S395" i="1" l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R407" i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S407" i="1" l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R419" i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S419" i="1" l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R431" i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S431" i="1" l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R443" i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S443" i="1" l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R455" i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S455" i="1" l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R467" i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S467" i="1" l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R479" i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S479" i="1" l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R491" i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S491" i="1" l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R503" i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R515" i="1" l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S515" i="1" l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R527" i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S527" i="1" l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R539" i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S539" i="1" l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R551" i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S551" i="1" l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R563" i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S563" i="1" l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R575" i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S575" i="1" l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R587" i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S587" i="1" l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R599" i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S599" i="1" l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R611" i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S611" i="1" l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R623" i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S623" i="1" l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R635" i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S635" i="1" l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R647" i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S647" i="1" l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R659" i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R671" i="1" l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S671" i="1" l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R683" i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S683" i="1" l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R695" i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S695" i="1" l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R707" i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S707" i="1" l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R719" i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S719" i="1" l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R731" i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S731" i="1" l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R743" i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S743" i="1" l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R755" i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R767" i="1" l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S767" i="1" l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R779" i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S779" i="1" l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R791" i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S791" i="1" l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R803" i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S803" i="1" l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R815" i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S815" i="1" l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R827" i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S827" i="1" l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R839" i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S839" i="1" l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R851" i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S851" i="1" l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R863" i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S863" i="1" l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R875" i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S875" i="1" l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R887" i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S887" i="1" l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R899" i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S899" i="1" l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R911" i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S911" i="1" l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R923" i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S923" i="1" l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R935" i="1"/>
  <c r="Q936" i="1" s="1"/>
  <c r="Q937" i="1" s="1"/>
  <c r="Q938" i="1" s="1"/>
  <c r="Q939" i="1" s="1"/>
  <c r="S935" i="1" l="1"/>
  <c r="S936" i="1" s="1"/>
  <c r="S937" i="1" s="1"/>
  <c r="S938" i="1" s="1"/>
  <c r="S939" i="1" s="1"/>
</calcChain>
</file>

<file path=xl/sharedStrings.xml><?xml version="1.0" encoding="utf-8"?>
<sst xmlns="http://schemas.openxmlformats.org/spreadsheetml/2006/main" count="49" uniqueCount="48">
  <si>
    <t>Months</t>
  </si>
  <si>
    <t>Payment amount</t>
  </si>
  <si>
    <t>Interest paid</t>
  </si>
  <si>
    <t>Principal repaid</t>
  </si>
  <si>
    <t>OB</t>
  </si>
  <si>
    <t>Loan Amount</t>
  </si>
  <si>
    <t>Mortgage rate</t>
  </si>
  <si>
    <t>Amortization period (yrs)</t>
  </si>
  <si>
    <t>mortgage term (yrs)</t>
  </si>
  <si>
    <t>Max annual lump sum repayment</t>
  </si>
  <si>
    <t>Annual paym</t>
  </si>
  <si>
    <t>Monthly mortgage rate</t>
  </si>
  <si>
    <t>Expected Renewal Rate</t>
  </si>
  <si>
    <t>Current mortgage rate</t>
  </si>
  <si>
    <t>Monthly Exp Renewal Rate</t>
  </si>
  <si>
    <t>Month</t>
  </si>
  <si>
    <t>Initial Monthly Deposit</t>
  </si>
  <si>
    <t>Interest SF</t>
  </si>
  <si>
    <t>Inflation</t>
  </si>
  <si>
    <t>Monthly Payment</t>
  </si>
  <si>
    <t>Inflation Modifier</t>
  </si>
  <si>
    <t>Current Balance</t>
  </si>
  <si>
    <t>Lump Sum Withdrawl</t>
  </si>
  <si>
    <t xml:space="preserve">Max Lump Sum </t>
  </si>
  <si>
    <t>Monthly SF Inter</t>
  </si>
  <si>
    <t>Target Date (yrs)</t>
  </si>
  <si>
    <t>Questions</t>
  </si>
  <si>
    <t>2.What minimum initial monthly deposit into the sinking fund is required in order to fully repay the mortgage by a given target date (for example, after 20 years)?</t>
  </si>
  <si>
    <t xml:space="preserve">3. What is the highest renewal mortgage rate for which the homebuyer would still be able to fully repay the  loan by the end of the </t>
  </si>
  <si>
    <t>amortization period by making the same monthly payments and using the side fund to make annual lump sum prepayments?</t>
  </si>
  <si>
    <t>1. When will the mortgage be fully repaid?</t>
  </si>
  <si>
    <t>OB W/O  LSP</t>
  </si>
  <si>
    <t>TD Months</t>
  </si>
  <si>
    <t>OB without the Lump Sum payments</t>
  </si>
  <si>
    <t>Side Fund Accumulation Factor</t>
  </si>
  <si>
    <t>Q2 ACC FACTOR</t>
  </si>
  <si>
    <t>ACC FACTOR PAYMENTS</t>
  </si>
  <si>
    <t>Accumulation to target date</t>
  </si>
  <si>
    <t>MP=OB/SFAF</t>
  </si>
  <si>
    <t>Years</t>
  </si>
  <si>
    <t>Interest Paid W/O LSP</t>
  </si>
  <si>
    <t>OB at end of Term</t>
  </si>
  <si>
    <t>Q3 Cashflows</t>
  </si>
  <si>
    <t>Monthly Rate</t>
  </si>
  <si>
    <t>Nominal Rate Convertible Semiannually (i^(2))</t>
  </si>
  <si>
    <t>If the value is 0, the max lump sum repayment prevents the loan from being repaid by the target date.</t>
  </si>
  <si>
    <t>A drop payment at</t>
  </si>
  <si>
    <t>Or a balloon payment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</si>
</sst>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0.000"/>
    <numFmt numFmtId="166" formatCode="0.000000"/>
    <numFmt numFmtId="167" formatCode="0.000000000"/>
    <numFmt numFmtId="168" formatCode="0.0000000000"/>
    <numFmt numFmtId="169" formatCode="&quot;$&quot;#,##0.00;[Red]&quot;$&quot;#,##0.00"/>
    <numFmt numFmtId="170" formatCode="0.0000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7" fontId="1" fillId="0" borderId="0" xfId="0" applyNumberFormat="1" applyFont="1"/>
    <xf numFmtId="167" fontId="2" fillId="2" borderId="1" xfId="0" applyNumberFormat="1" applyFont="1" applyFill="1" applyBorder="1" applyAlignment="1">
      <alignment horizontal="center"/>
    </xf>
    <xf numFmtId="167" fontId="0" fillId="0" borderId="0" xfId="0" applyNumberFormat="1"/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0" fontId="2" fillId="2" borderId="2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3" xfId="0" applyFont="1" applyFill="1" applyBorder="1"/>
    <xf numFmtId="0" fontId="0" fillId="0" borderId="0" xfId="0" applyNumberFormat="1"/>
    <xf numFmtId="0" fontId="0" fillId="0" borderId="4" xfId="0" applyBorder="1"/>
    <xf numFmtId="0" fontId="3" fillId="2" borderId="1" xfId="0" applyFont="1" applyFill="1" applyBorder="1" applyAlignment="1">
      <alignment horizontal="center"/>
    </xf>
    <xf numFmtId="168" fontId="0" fillId="0" borderId="0" xfId="0" applyNumberFormat="1"/>
    <xf numFmtId="0" fontId="0" fillId="5" borderId="0" xfId="0" applyFill="1"/>
    <xf numFmtId="164" fontId="0" fillId="5" borderId="0" xfId="0" applyNumberFormat="1" applyFill="1" applyAlignment="1">
      <alignment horizontal="center"/>
    </xf>
    <xf numFmtId="167" fontId="0" fillId="5" borderId="0" xfId="0" applyNumberFormat="1" applyFill="1"/>
    <xf numFmtId="0" fontId="0" fillId="4" borderId="0" xfId="0" applyFill="1"/>
    <xf numFmtId="167" fontId="0" fillId="4" borderId="0" xfId="0" applyNumberFormat="1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0" fillId="6" borderId="0" xfId="0" applyNumberFormat="1" applyFill="1"/>
    <xf numFmtId="170" fontId="0" fillId="0" borderId="0" xfId="0" applyNumberFormat="1"/>
  </cellXfs>
  <cellStyles count="1">
    <cellStyle name="Normal" xfId="0" builtinId="0"/>
  </cellStyles>
  <dxfs count="5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.000000000"/>
      <alignment horizontal="center" vertical="bottom" textRotation="0" wrapText="0" indent="0" justifyLastLine="0" shrinkToFit="0" readingOrder="0"/>
    </dxf>
    <dxf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9" formatCode="&quot;$&quot;#,##0.00;[Red]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2"/>
        </top>
      </border>
    </dxf>
    <dxf>
      <border outline="0">
        <bottom style="thin">
          <color theme="2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6" formatCode="0.000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8" formatCode="0.0000000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3" formatCode="#,##0"/>
    </dxf>
    <dxf>
      <numFmt numFmtId="164" formatCode="&quot;$&quot;#,##0.00_);[Red]\(&quot;$&quot;#,##0.00\)"/>
    </dxf>
    <dxf>
      <numFmt numFmtId="169" formatCode="&quot;$&quot;#,##0.00;[Red]&quot;$&quot;#,##0.00"/>
    </dxf>
    <dxf>
      <numFmt numFmtId="167" formatCode="0.000000000"/>
      <alignment horizontal="center" vertical="bottom" textRotation="0" wrapText="0" indent="0" justifyLastLine="0" shrinkToFit="0" readingOrder="0"/>
    </dxf>
    <dxf>
      <numFmt numFmtId="164" formatCode="&quot;$&quot;#,##0.00_);[Red]\(&quot;$&quot;#,##0.00\)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28B39-A987-4B7C-A2E9-AE1AE65532EA}" name="Table1" displayName="Table1" ref="A11:J1128" totalsRowShown="0" headerRowDxfId="49" headerRowBorderDxfId="48" tableBorderDxfId="47">
  <autoFilter ref="A11:J1128" xr:uid="{9E4172E7-FD5F-47FC-BDD9-DEE63D1F428C}"/>
  <tableColumns count="10">
    <tableColumn id="1" xr3:uid="{EB0AE548-7984-4CDB-BBD6-F032076132E4}" name="Month"/>
    <tableColumn id="2" xr3:uid="{AC9B3025-D1CA-4762-A1B5-8DD92C7CA9F6}" name="Annual paym"/>
    <tableColumn id="3" xr3:uid="{C3E32648-0968-4D66-8DFA-86D21AB512B8}" name="Payment amount" dataDxfId="46">
      <calculatedColumnFormula>G$12/-PV(Table7[Monthly mortgage rate], (12*Table7[Amortization period (yrs)]),1 )</calculatedColumnFormula>
    </tableColumn>
    <tableColumn id="9" xr3:uid="{B16A417E-0C7F-4FE0-8D63-91F16D5F2051}" name="Current mortgage rate" dataDxfId="45">
      <calculatedColumnFormula>IF(Table1[[#This Row],[Month]]&lt;=(12*Table7[mortgage term (yrs)]),Table7[Monthly mortgage rate],Table7[Monthly Exp Renewal Rate])</calculatedColumnFormula>
    </tableColumn>
    <tableColumn id="4" xr3:uid="{CDE5E6C8-A314-4BCF-B033-A8F9ACB3CE11}" name="Interest paid" dataDxfId="44">
      <calculatedColumnFormula>Table1[[#This Row],[Current mortgage rate]]*G11</calculatedColumnFormula>
    </tableColumn>
    <tableColumn id="5" xr3:uid="{0BCE09EF-05AD-4B3E-8636-E8D11165D3E0}" name="Principal repaid" dataDxfId="43">
      <calculatedColumnFormula>Table1[[#This Row],[Payment amount]]-Table1[[#This Row],[Interest paid]]</calculatedColumnFormula>
    </tableColumn>
    <tableColumn id="6" xr3:uid="{6FFFF623-5891-4AAA-8B12-495248936551}" name="OB"/>
    <tableColumn id="7" xr3:uid="{7F024F6C-2B4F-4B88-A2A8-E0C7D21E3223}" name="OB W/O  LSP" dataDxfId="42">
      <calculatedColumnFormula>H11-Table1[[#This Row],[Principal repaid]]</calculatedColumnFormula>
    </tableColumn>
    <tableColumn id="12" xr3:uid="{7370525E-73FE-4BEF-A57C-F92C6C313B46}" name="Interest Paid W/O LSP" dataDxfId="41">
      <calculatedColumnFormula>H11*Table1[[#This Row],[Current mortgage rate]]</calculatedColumnFormula>
    </tableColumn>
    <tableColumn id="13" xr3:uid="{C9CE8D7F-4606-4890-A87E-D0DE11A1CED5}" name="Q3 Cashflows" dataDxfId="40">
      <calculatedColumnFormula>IF(Table1[[#This Row],[Month]]&gt;Table7[Amortization period (yrs)]*12,0,IF(Table1[[#This Row],[Month]]&lt;Table7[mortgage term (yrs)]*12,0,IF(Table1[[#This Row],[Month]]=Table7[mortgage term (yrs)]*12,-H$5,Table1[[#This Row],[Payment amount]]+B12)))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5AA3C3-3509-4BEB-B045-7A3DB2E71931}" name="Table7" displayName="Table7" ref="C8:P10" totalsRowCount="1" headerRowDxfId="39" dataDxfId="38">
  <autoFilter ref="C8:P9" xr:uid="{7E13F506-D851-458E-A8DF-56CD21CDAF3B}"/>
  <tableColumns count="14">
    <tableColumn id="1" xr3:uid="{ED8A6952-FE43-4B00-A5D9-0E9FDB0CF93A}" name="Loan Amount" dataDxfId="37" totalsRowDxfId="13"/>
    <tableColumn id="2" xr3:uid="{D2DDADDE-3759-44ED-9BC7-AA07B12A4F6A}" name="Amortization period (yrs)" dataDxfId="36" totalsRowDxfId="12"/>
    <tableColumn id="3" xr3:uid="{D3749EB3-E001-4640-B716-CB4FD1B4337E}" name="mortgage term (yrs)" dataDxfId="35" totalsRowDxfId="11"/>
    <tableColumn id="4" xr3:uid="{46F84B4C-5EE9-4F55-AC86-854954AAE9D6}" name="Mortgage rate" dataDxfId="34" totalsRowDxfId="10"/>
    <tableColumn id="5" xr3:uid="{D210006D-F398-4B40-A554-2FECCDE6514D}" name="Monthly mortgage rate" dataDxfId="33" totalsRowDxfId="9">
      <calculatedColumnFormula>(1+(Table7[[#This Row],[Mortgage rate]]/2))^(1/6)-1</calculatedColumnFormula>
    </tableColumn>
    <tableColumn id="6" xr3:uid="{A83748BA-D9C4-4DD7-A255-1038826C6EC5}" name="Expected Renewal Rate" dataDxfId="32" totalsRowDxfId="8"/>
    <tableColumn id="8" xr3:uid="{A67A4E67-457B-414C-BDCA-49BE468A484D}" name="Monthly Exp Renewal Rate" dataDxfId="31" totalsRowDxfId="7">
      <calculatedColumnFormula>(1+(Table7[[#This Row],[Expected Renewal Rate]]/2))^(1/6)-1</calculatedColumnFormula>
    </tableColumn>
    <tableColumn id="7" xr3:uid="{2129E522-4F5B-496A-961A-45F55E6349EA}" name="Max annual lump sum repayment" dataDxfId="30" totalsRowDxfId="6"/>
    <tableColumn id="9" xr3:uid="{9D5705DC-B4C7-4C7A-A838-4044FEBF1485}" name="Initial Monthly Deposit" dataDxfId="29" totalsRowDxfId="5"/>
    <tableColumn id="11" xr3:uid="{E1DA672E-1949-44C2-BBCA-A631B5C90A17}" name="Interest SF" dataDxfId="28" totalsRowDxfId="4"/>
    <tableColumn id="12" xr3:uid="{D0C8DBB3-E5EC-40C5-B3C0-92B42163A91E}" name="Monthly SF Inter" dataDxfId="27" totalsRowDxfId="3">
      <calculatedColumnFormula>(1+(Table7[[#This Row],[Interest SF]]/2))^(1/6)-1</calculatedColumnFormula>
    </tableColumn>
    <tableColumn id="10" xr3:uid="{3465DD77-5CB7-4BEC-B73E-8777A393D0E8}" name="Inflation" dataDxfId="26" totalsRowDxfId="2"/>
    <tableColumn id="13" xr3:uid="{650F8A12-BD67-421D-AF8C-0F141B190285}" name="Target Date (yrs)" dataDxfId="25" totalsRowDxfId="1"/>
    <tableColumn id="14" xr3:uid="{B8B766BA-A2D6-45B0-8B56-5A152AF11682}" name="TD Months" dataDxfId="24" totalsRowDxfId="0">
      <calculatedColumnFormula>Table7[[#This Row],[Target Date (yrs)]]*12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2CF5D-900D-4A66-8798-25BDCA9027CF}" name="Table9" displayName="Table9" ref="K11:S939" headerRowBorderDxfId="23" tableBorderDxfId="22">
  <autoFilter ref="K11:S939" xr:uid="{1F8A1762-ACC1-4C77-AE61-BF164FA6ADA0}"/>
  <tableColumns count="9">
    <tableColumn id="1" xr3:uid="{5BAD447A-44DE-4FB7-856C-AA455EB84AFC}" name="Month" totalsRowLabel="Total"/>
    <tableColumn id="2" xr3:uid="{988AA67D-95CD-46A8-A792-278B8EED572D}" name="Monthly Payment" dataDxfId="21">
      <calculatedColumnFormula>Table7[Initial Monthly Deposit]*Table9[[#This Row],[Inflation Modifier]]</calculatedColumnFormula>
    </tableColumn>
    <tableColumn id="3" xr3:uid="{CF14B4F7-E775-4BC1-9CFD-417A945CFAD4}" name="Inflation Modifier" dataDxfId="20">
      <calculatedColumnFormula xml:space="preserve"> (1+Table7[Inflation])^(QUOTIENT(Table9[[#This Row],[Month]]-1,12))</calculatedColumnFormula>
    </tableColumn>
    <tableColumn id="4" xr3:uid="{3BD45E55-F4B1-4473-AA03-1FA84B5EB96F}" name="Current Balance" dataDxfId="19">
      <calculatedColumnFormula>Table9[[#This Row],[Monthly Payment]]</calculatedColumnFormula>
    </tableColumn>
    <tableColumn id="5" xr3:uid="{3892D72C-8567-4EFF-9406-658EEE914EF7}" name="Lump Sum Withdrawl" dataDxfId="18">
      <calculatedColumnFormula>IF(MOD(Table9[[#This Row],[Month]],12)=0,(IF(Table9[[#This Row],[Current Balance]]&lt;Table9[[#This Row],[Max Lump Sum ]],Table9[[#This Row],[Current Balance]],Table9[[#This Row],[Max Lump Sum ]])),0)</calculatedColumnFormula>
    </tableColumn>
    <tableColumn id="6" xr3:uid="{F506AB90-5CD1-478B-98DE-4BA96B693BA7}" name="Max Lump Sum " totalsRowFunction="count" dataDxfId="17">
      <calculatedColumnFormula>Table7[Max annual lump sum repayment]*SUM(C13:C24)</calculatedColumnFormula>
    </tableColumn>
    <tableColumn id="7" xr3:uid="{0DD0B6C8-91A9-4701-BE3A-3D490471947E}" name="Q2 ACC FACTOR" dataDxfId="16">
      <calculatedColumnFormula>Q11*(1+Table7[Monthly SF Inter])+Table9[[#This Row],[Inflation Modifier]]-R11*(1+Table7[Monthly SF Inter])</calculatedColumnFormula>
    </tableColumn>
    <tableColumn id="8" xr3:uid="{48FB8293-0E9D-46E7-AE00-6DEBCDC16376}" name="ACC FACTOR PAYMENTS" dataDxfId="15">
      <calculatedColumnFormula>IF(MOD(Table9[[#This Row],[Month]],12)=0,Table9[[#This Row],[Q2 ACC FACTOR]],0)</calculatedColumnFormula>
    </tableColumn>
    <tableColumn id="9" xr3:uid="{2F1BD129-4511-45BE-8A21-69D989BFF8AE}" name="Accumulation to target date" dataDxfId="14">
      <calculatedColumnFormula>S11*(1+D11)+Table9[[#This Row],[ACC FACTOR PAYMENTS]]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3295-A3E7-499E-A98E-7FC299E4937D}">
  <dimension ref="A1:AQ1128"/>
  <sheetViews>
    <sheetView tabSelected="1" topLeftCell="B1" zoomScale="88" workbookViewId="0">
      <selection activeCell="I5" sqref="I5"/>
    </sheetView>
  </sheetViews>
  <sheetFormatPr defaultRowHeight="15" x14ac:dyDescent="0.25"/>
  <cols>
    <col min="1" max="1" width="9.85546875" customWidth="1"/>
    <col min="2" max="2" width="15.5703125" customWidth="1"/>
    <col min="3" max="3" width="20.5703125" style="7" customWidth="1"/>
    <col min="4" max="4" width="25.5703125" style="18" customWidth="1"/>
    <col min="5" max="5" width="20.7109375" customWidth="1"/>
    <col min="6" max="6" width="20.5703125" customWidth="1"/>
    <col min="7" max="7" width="23.5703125" customWidth="1"/>
    <col min="8" max="8" width="25.5703125" customWidth="1"/>
    <col min="9" max="9" width="32.7109375" customWidth="1"/>
    <col min="10" max="10" width="29" customWidth="1"/>
    <col min="11" max="11" width="20.28515625" customWidth="1"/>
    <col min="12" max="12" width="16.7109375" customWidth="1"/>
    <col min="13" max="13" width="18.140625" customWidth="1"/>
    <col min="14" max="14" width="21.28515625" customWidth="1"/>
    <col min="15" max="15" width="16.85546875" customWidth="1"/>
    <col min="16" max="16" width="19.7109375" customWidth="1"/>
    <col min="17" max="17" width="24.5703125" customWidth="1"/>
    <col min="18" max="19" width="19" customWidth="1"/>
    <col min="20" max="20" width="17.140625" customWidth="1"/>
    <col min="21" max="21" width="22.140625" customWidth="1"/>
    <col min="22" max="22" width="19.42578125" customWidth="1"/>
    <col min="23" max="23" width="16.85546875" customWidth="1"/>
    <col min="24" max="24" width="13.7109375" customWidth="1"/>
    <col min="26" max="30" width="9.42578125" bestFit="1" customWidth="1"/>
    <col min="31" max="31" width="11.7109375" customWidth="1"/>
    <col min="35" max="36" width="9.42578125" bestFit="1" customWidth="1"/>
    <col min="37" max="37" width="11.7109375" bestFit="1" customWidth="1"/>
    <col min="38" max="38" width="14.5703125" bestFit="1" customWidth="1"/>
    <col min="39" max="39" width="10.7109375" bestFit="1" customWidth="1"/>
    <col min="40" max="40" width="9.5703125" bestFit="1" customWidth="1"/>
    <col min="41" max="41" width="13" bestFit="1" customWidth="1"/>
    <col min="42" max="42" width="9.28515625" bestFit="1" customWidth="1"/>
    <col min="44" max="48" width="9.28515625" bestFit="1" customWidth="1"/>
    <col min="49" max="49" width="11.85546875" bestFit="1" customWidth="1"/>
  </cols>
  <sheetData>
    <row r="1" spans="1:20" x14ac:dyDescent="0.25">
      <c r="B1" t="s">
        <v>26</v>
      </c>
      <c r="D1" s="18" t="s">
        <v>0</v>
      </c>
      <c r="E1" t="s">
        <v>39</v>
      </c>
      <c r="F1" t="s">
        <v>46</v>
      </c>
      <c r="G1" t="s">
        <v>47</v>
      </c>
    </row>
    <row r="2" spans="1:20" x14ac:dyDescent="0.25">
      <c r="B2" s="34" t="s">
        <v>30</v>
      </c>
      <c r="C2" s="35"/>
      <c r="D2" s="36">
        <f>MATCH(TRUE,INDEX(G13:G1000&lt;0,0),0)-1</f>
        <v>239</v>
      </c>
      <c r="E2" s="34">
        <f>D2/12</f>
        <v>19.916666666666668</v>
      </c>
      <c r="F2">
        <f>D2</f>
        <v>239</v>
      </c>
      <c r="G2">
        <f>F2-1</f>
        <v>238</v>
      </c>
      <c r="I2" t="s">
        <v>33</v>
      </c>
      <c r="J2" t="s">
        <v>34</v>
      </c>
      <c r="K2" t="s">
        <v>38</v>
      </c>
      <c r="L2" t="s">
        <v>45</v>
      </c>
      <c r="M2" s="28"/>
    </row>
    <row r="3" spans="1:20" x14ac:dyDescent="0.25">
      <c r="B3" s="29" t="s">
        <v>27</v>
      </c>
      <c r="C3" s="30"/>
      <c r="D3" s="31"/>
      <c r="E3" s="29"/>
      <c r="F3" s="29"/>
      <c r="G3" s="29"/>
      <c r="H3" s="29"/>
      <c r="I3">
        <f ca="1" xml:space="preserve"> INDIRECT("H"&amp;(12+INT(Table7[TD Months])))</f>
        <v>382978.68102446204</v>
      </c>
      <c r="J3">
        <f ca="1">INDIRECT("S"&amp;(INT(Table7[TD Months])+11))</f>
        <v>317.08636957690243</v>
      </c>
      <c r="K3" s="31">
        <f ca="1">IF(INDIRECT("R"&amp;((12*MOD(INT(Table7[TD Months]),12))+IF(MOD(INT(Table7[TD Months]),12)=0,12,11)))&lt;0,0,IF(INDIRECT("R"&amp;((12*MOD(INT(Table7[TD Months]),12))+IF(MOD(INT(Table7[TD Months]),12)=0,12,11)))*(I3/J3)&lt;=P12,I3/J3,0))</f>
        <v>1207.805562678338</v>
      </c>
    </row>
    <row r="4" spans="1:20" x14ac:dyDescent="0.25">
      <c r="B4" s="32" t="s">
        <v>28</v>
      </c>
      <c r="C4" s="13"/>
      <c r="D4" s="33"/>
      <c r="E4" s="32"/>
      <c r="F4" s="32"/>
      <c r="G4" s="32"/>
      <c r="H4" t="s">
        <v>41</v>
      </c>
      <c r="I4" t="s">
        <v>43</v>
      </c>
      <c r="J4" t="s">
        <v>44</v>
      </c>
    </row>
    <row r="5" spans="1:20" x14ac:dyDescent="0.25">
      <c r="B5" s="32" t="s">
        <v>29</v>
      </c>
      <c r="C5" s="13"/>
      <c r="D5" s="33"/>
      <c r="E5" s="32"/>
      <c r="F5" s="32"/>
      <c r="G5" s="32"/>
      <c r="H5">
        <f ca="1">INDIRECT(("G"&amp;Table7[mortgage term (yrs)]*12+12))</f>
        <v>581895.3676471822</v>
      </c>
      <c r="I5" s="37">
        <f ca="1">IRR(J12:J1130)</f>
        <v>4.9038467037618716E-3</v>
      </c>
      <c r="J5" s="32">
        <f ca="1">(((1+I5)^6)-1)*2</f>
        <v>5.9572326254620833E-2</v>
      </c>
    </row>
    <row r="8" spans="1:20" x14ac:dyDescent="0.25">
      <c r="C8" s="7" t="s">
        <v>5</v>
      </c>
      <c r="D8" s="16" t="s">
        <v>7</v>
      </c>
      <c r="E8" s="3" t="s">
        <v>8</v>
      </c>
      <c r="F8" s="3" t="s">
        <v>6</v>
      </c>
      <c r="G8" s="3" t="s">
        <v>11</v>
      </c>
      <c r="H8" s="3" t="s">
        <v>12</v>
      </c>
      <c r="I8" s="3" t="s">
        <v>14</v>
      </c>
      <c r="J8" s="3" t="s">
        <v>9</v>
      </c>
      <c r="K8" s="3" t="s">
        <v>16</v>
      </c>
      <c r="L8" s="3" t="s">
        <v>17</v>
      </c>
      <c r="M8" s="3" t="s">
        <v>24</v>
      </c>
      <c r="N8" s="3" t="s">
        <v>18</v>
      </c>
      <c r="O8" s="3" t="s">
        <v>25</v>
      </c>
      <c r="P8" s="3" t="s">
        <v>32</v>
      </c>
    </row>
    <row r="9" spans="1:20" x14ac:dyDescent="0.25">
      <c r="B9" s="5"/>
      <c r="C9" s="7">
        <v>750000</v>
      </c>
      <c r="D9" s="19">
        <v>20</v>
      </c>
      <c r="E9" s="1">
        <v>5</v>
      </c>
      <c r="F9" s="9">
        <v>3.5999999999999997E-2</v>
      </c>
      <c r="G9" s="6">
        <f>(1+(Table7[[#This Row],[Mortgage rate]]/2))^(1/6)-1</f>
        <v>2.9777443873004739E-3</v>
      </c>
      <c r="H9" s="9">
        <v>5.9572326000000002E-2</v>
      </c>
      <c r="I9" s="12">
        <f>(1+(Table7[[#This Row],[Expected Renewal Rate]]/2))^(1/6)-1</f>
        <v>4.9038466830562122E-3</v>
      </c>
      <c r="J9" s="8">
        <v>0.15</v>
      </c>
      <c r="K9" s="8">
        <v>400</v>
      </c>
      <c r="L9" s="8">
        <v>0.05</v>
      </c>
      <c r="M9" s="10">
        <f>(1+(Table7[[#This Row],[Interest SF]]/2))^(1/6)-1</f>
        <v>4.1239154651442345E-3</v>
      </c>
      <c r="N9" s="8">
        <v>0.02</v>
      </c>
      <c r="O9" s="8">
        <v>15</v>
      </c>
      <c r="P9" s="8">
        <f>Table7[[#This Row],[Target Date (yrs)]]*12</f>
        <v>180</v>
      </c>
    </row>
    <row r="10" spans="1:20" x14ac:dyDescent="0.25">
      <c r="D10" s="11"/>
      <c r="E10" s="1"/>
      <c r="F10" s="8"/>
      <c r="G10" s="6"/>
      <c r="H10" s="8"/>
      <c r="I10" s="8"/>
      <c r="J10" s="23"/>
      <c r="K10" s="1"/>
      <c r="L10" s="1"/>
      <c r="M10" s="1"/>
      <c r="N10" s="1"/>
      <c r="O10" s="1"/>
      <c r="P10" s="1"/>
    </row>
    <row r="11" spans="1:20" x14ac:dyDescent="0.25">
      <c r="A11" s="14" t="s">
        <v>15</v>
      </c>
      <c r="B11" s="14" t="s">
        <v>10</v>
      </c>
      <c r="C11" s="15" t="s">
        <v>1</v>
      </c>
      <c r="D11" s="17" t="s">
        <v>13</v>
      </c>
      <c r="E11" s="14" t="s">
        <v>2</v>
      </c>
      <c r="F11" s="14" t="s">
        <v>3</v>
      </c>
      <c r="G11" s="14" t="s">
        <v>4</v>
      </c>
      <c r="H11" s="22" t="s">
        <v>31</v>
      </c>
      <c r="I11" s="27" t="s">
        <v>40</v>
      </c>
      <c r="J11" s="27" t="s">
        <v>42</v>
      </c>
      <c r="K11" t="s">
        <v>15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s="26" t="s">
        <v>35</v>
      </c>
      <c r="R11" s="26" t="s">
        <v>36</v>
      </c>
      <c r="S11" s="26" t="s">
        <v>37</v>
      </c>
      <c r="T11" s="24"/>
    </row>
    <row r="12" spans="1:20" x14ac:dyDescent="0.25">
      <c r="A12" s="1">
        <v>0</v>
      </c>
      <c r="B12" s="1">
        <f>Table9[[#This Row],[Lump Sum Withdrawl]]</f>
        <v>0</v>
      </c>
      <c r="C12" s="7">
        <f>G$12/-PV(Table7[Monthly mortgage rate], (12*Table7[Amortization period (yrs)]),1 )</f>
        <v>4377.9977174134756</v>
      </c>
      <c r="D12" s="11">
        <f>IF(Table1[[#This Row],[Month]]&lt;=(12*Table7[mortgage term (yrs)]),Table7[Monthly mortgage rate],Table7[Monthly Exp Renewal Rate])</f>
        <v>2.9777443873004739E-3</v>
      </c>
      <c r="E12" s="20" t="e">
        <f>Table1[[#This Row],[Current mortgage rate]]*G11</f>
        <v>#VALUE!</v>
      </c>
      <c r="F12" s="7" t="e">
        <f>Table1[[#This Row],[Payment amount]]-Table1[[#This Row],[Interest paid]]</f>
        <v>#VALUE!</v>
      </c>
      <c r="G12" s="4">
        <f>$C9</f>
        <v>750000</v>
      </c>
      <c r="H12" s="4">
        <f>Table7[Loan Amount]</f>
        <v>750000</v>
      </c>
      <c r="I12" t="e">
        <f>H11*Table1[[#This Row],[Current mortgage rate]]</f>
        <v>#VALUE!</v>
      </c>
      <c r="J12" s="25">
        <f>IF(Table1[[#This Row],[Month]]&gt;Table7[Amortization period (yrs)]*12,0,IF(Table1[[#This Row],[Month]]&lt;Table7[mortgage term (yrs)]*12,0,IF(Table1[[#This Row],[Month]]=Table7[mortgage term (yrs)]*12,-H$5,Table1[[#This Row],[Payment amount]]+B12)))</f>
        <v>0</v>
      </c>
      <c r="K12">
        <v>1</v>
      </c>
      <c r="L12">
        <f>Table7[Initial Monthly Deposit]*Table9[[#This Row],[Inflation Modifier]]</f>
        <v>400</v>
      </c>
      <c r="M12">
        <f xml:space="preserve"> (1+Table7[Inflation])^(QUOTIENT(Table9[[#This Row],[Month]]-1,12))</f>
        <v>1</v>
      </c>
      <c r="N12">
        <f>Table9[[#This Row],[Monthly Payment]]</f>
        <v>400</v>
      </c>
      <c r="O12">
        <f>IF(MOD(Table9[[#This Row],[Month]],12)=0,(IF(Table9[[#This Row],[Current Balance]]&lt;Table9[[#This Row],[Max Lump Sum ]],Table9[[#This Row],[Current Balance]],Table9[[#This Row],[Max Lump Sum ]])),0)</f>
        <v>0</v>
      </c>
      <c r="P12" s="21">
        <f>Table7[Max annual lump sum repayment]*SUM(C13:C24)</f>
        <v>7880.3958913442566</v>
      </c>
      <c r="Q12" s="25">
        <f>Table9[[#This Row],[Inflation Modifier]]</f>
        <v>1</v>
      </c>
      <c r="R12" s="25">
        <f>IF(MOD(Table9[[#This Row],[Month]],12)=0,Table9[[#This Row],[Q2 ACC FACTOR]],0)</f>
        <v>0</v>
      </c>
      <c r="S12" s="25">
        <f>Table9[[#This Row],[ACC FACTOR PAYMENTS]]</f>
        <v>0</v>
      </c>
    </row>
    <row r="13" spans="1:20" x14ac:dyDescent="0.25">
      <c r="A13" s="1">
        <v>1</v>
      </c>
      <c r="B13" s="1">
        <f t="shared" ref="B13:B76" si="0">O12</f>
        <v>0</v>
      </c>
      <c r="C13" s="7">
        <f>G$12/-PV(Table7[Monthly mortgage rate], (12*Table7[Amortization period (yrs)]),1 )</f>
        <v>4377.9977174134756</v>
      </c>
      <c r="D13" s="11">
        <f>IF(Table1[[#This Row],[Month]]&lt;=(12*Table7[mortgage term (yrs)]),Table7[Monthly mortgage rate],Table7[Monthly Exp Renewal Rate])</f>
        <v>2.9777443873004739E-3</v>
      </c>
      <c r="E13" s="20">
        <f>Table1[[#This Row],[Current mortgage rate]]*G12</f>
        <v>2233.3082904753555</v>
      </c>
      <c r="F13" s="7">
        <f>Table1[[#This Row],[Payment amount]]-Table1[[#This Row],[Interest paid]]</f>
        <v>2144.6894269381201</v>
      </c>
      <c r="G13" s="20">
        <f>G12-Table1[[#This Row],[Principal repaid]]</f>
        <v>747855.31057306193</v>
      </c>
      <c r="H13" s="20">
        <f>H12-(Table1[[#This Row],[Payment amount]]-Table1[[#This Row],[Interest Paid W/O LSP]])</f>
        <v>747855.31057306193</v>
      </c>
      <c r="I13">
        <f>H12*Table1[[#This Row],[Current mortgage rate]]</f>
        <v>2233.3082904753555</v>
      </c>
      <c r="J13" s="25">
        <f>IF(Table1[[#This Row],[Month]]&gt;Table7[Amortization period (yrs)]*12,0,IF(Table1[[#This Row],[Month]]&lt;Table7[mortgage term (yrs)]*12,0,IF(Table1[[#This Row],[Month]]=Table7[mortgage term (yrs)]*12,-H$5,Table1[[#This Row],[Payment amount]]+B13)))</f>
        <v>0</v>
      </c>
      <c r="K13">
        <v>2</v>
      </c>
      <c r="L13">
        <f>Table7[Initial Monthly Deposit]*Table9[[#This Row],[Inflation Modifier]]</f>
        <v>400</v>
      </c>
      <c r="M13">
        <f xml:space="preserve"> (1+Table7[Inflation])^(QUOTIENT(Table9[[#This Row],[Month]]-1,12))</f>
        <v>1</v>
      </c>
      <c r="N13">
        <f>N12*(1+Table7[Monthly SF Inter])+Table9[[#This Row],[Monthly Payment]]-O12*(1+Table7[Monthly SF Inter])</f>
        <v>801.64956618605765</v>
      </c>
      <c r="O13">
        <f>IF(MOD(Table9[[#This Row],[Month]],12)=0,(IF(Table9[[#This Row],[Current Balance]]&lt;Table9[[#This Row],[Max Lump Sum ]],Table9[[#This Row],[Current Balance]],Table9[[#This Row],[Max Lump Sum ]])),0)</f>
        <v>0</v>
      </c>
      <c r="P13" s="21">
        <f>Table7[Max annual lump sum repayment]*SUM(C14:C25)</f>
        <v>7880.3958913442566</v>
      </c>
      <c r="Q13" s="25">
        <f>Q12*(1+Table7[Monthly SF Inter])+Table9[[#This Row],[Inflation Modifier]]-R12*(1+Table7[Monthly SF Inter])</f>
        <v>2.0041239154651445</v>
      </c>
      <c r="R13" s="25">
        <f>IF(MOD(Table9[[#This Row],[Month]],12)=0,Table9[[#This Row],[Q2 ACC FACTOR]],0)</f>
        <v>0</v>
      </c>
      <c r="S13" s="25">
        <f>S12*(1+D12)+Table9[[#This Row],[ACC FACTOR PAYMENTS]]</f>
        <v>0</v>
      </c>
    </row>
    <row r="14" spans="1:20" x14ac:dyDescent="0.25">
      <c r="A14" s="1">
        <v>2</v>
      </c>
      <c r="B14" s="1">
        <f t="shared" si="0"/>
        <v>0</v>
      </c>
      <c r="C14" s="7">
        <f>G$12/-PV(Table7[Monthly mortgage rate], (12*Table7[Amortization period (yrs)]),1 )</f>
        <v>4377.9977174134756</v>
      </c>
      <c r="D14" s="11">
        <f>IF(Table1[[#This Row],[Month]]&lt;=(12*Table7[mortgage term (yrs)]),Table7[Monthly mortgage rate],Table7[Monthly Exp Renewal Rate])</f>
        <v>2.9777443873004739E-3</v>
      </c>
      <c r="E14" s="20">
        <f>Table1[[#This Row],[Current mortgage rate]]*G13</f>
        <v>2226.921953571788</v>
      </c>
      <c r="F14" s="7">
        <f>Table1[[#This Row],[Payment amount]]-Table1[[#This Row],[Interest paid]]</f>
        <v>2151.0757638416876</v>
      </c>
      <c r="G14" s="20">
        <f>G13-Table1[[#This Row],[Principal repaid]]-Table1[[#This Row],[Annual paym]]</f>
        <v>745704.23480922019</v>
      </c>
      <c r="H14" s="20">
        <f>H13-(Table1[[#This Row],[Payment amount]]-Table1[[#This Row],[Interest Paid W/O LSP]])</f>
        <v>745704.23480922019</v>
      </c>
      <c r="I14">
        <f>H13*Table1[[#This Row],[Current mortgage rate]]</f>
        <v>2226.921953571788</v>
      </c>
      <c r="J14" s="25">
        <f>IF(Table1[[#This Row],[Month]]&gt;Table7[Amortization period (yrs)]*12,0,IF(Table1[[#This Row],[Month]]&lt;Table7[mortgage term (yrs)]*12,0,IF(Table1[[#This Row],[Month]]=Table7[mortgage term (yrs)]*12,-H$5,Table1[[#This Row],[Payment amount]]+B14)))</f>
        <v>0</v>
      </c>
      <c r="K14">
        <v>3</v>
      </c>
      <c r="L14">
        <f>Table7[Initial Monthly Deposit]*Table9[[#This Row],[Inflation Modifier]]</f>
        <v>400</v>
      </c>
      <c r="M14">
        <f xml:space="preserve"> (1+Table7[Inflation])^(QUOTIENT(Table9[[#This Row],[Month]]-1,12))</f>
        <v>1</v>
      </c>
      <c r="N14">
        <f>N13*(1+Table7[Monthly SF Inter])+Table9[[#This Row],[Monthly Payment]]-O13*(1+Table7[Monthly SF Inter])</f>
        <v>1204.9555012296785</v>
      </c>
      <c r="O14">
        <f>IF(MOD(Table9[[#This Row],[Month]],12)=0,(IF(Table9[[#This Row],[Current Balance]]&lt;Table9[[#This Row],[Max Lump Sum ]],Table9[[#This Row],[Current Balance]],Table9[[#This Row],[Max Lump Sum ]])),0)</f>
        <v>0</v>
      </c>
      <c r="P14" s="21">
        <f>Table7[Max annual lump sum repayment]*SUM(C15:C26)</f>
        <v>7880.3958913442566</v>
      </c>
      <c r="Q14" s="25">
        <f>Q13*(1+Table7[Monthly SF Inter])+Table9[[#This Row],[Inflation Modifier]]-R13*(1+Table7[Monthly SF Inter])</f>
        <v>3.0123887530741964</v>
      </c>
      <c r="R14" s="25">
        <f>IF(MOD(Table9[[#This Row],[Month]],12)=0,Table9[[#This Row],[Q2 ACC FACTOR]],0)</f>
        <v>0</v>
      </c>
      <c r="S14" s="25">
        <f>S13*(1+D13)+Table9[[#This Row],[ACC FACTOR PAYMENTS]]</f>
        <v>0</v>
      </c>
    </row>
    <row r="15" spans="1:20" x14ac:dyDescent="0.25">
      <c r="A15" s="1">
        <v>3</v>
      </c>
      <c r="B15" s="1">
        <f t="shared" si="0"/>
        <v>0</v>
      </c>
      <c r="C15" s="7">
        <f>G$12/-PV(Table7[Monthly mortgage rate], (12*Table7[Amortization period (yrs)]),1 )</f>
        <v>4377.9977174134756</v>
      </c>
      <c r="D15" s="11">
        <f>IF(Table1[[#This Row],[Month]]&lt;=(12*Table7[mortgage term (yrs)]),Table7[Monthly mortgage rate],Table7[Monthly Exp Renewal Rate])</f>
        <v>2.9777443873004739E-3</v>
      </c>
      <c r="E15" s="20">
        <f>Table1[[#This Row],[Current mortgage rate]]*G14</f>
        <v>2220.51659978935</v>
      </c>
      <c r="F15" s="7">
        <f>Table1[[#This Row],[Payment amount]]-Table1[[#This Row],[Interest paid]]</f>
        <v>2157.4811176241255</v>
      </c>
      <c r="G15" s="20">
        <f>G14-Table1[[#This Row],[Principal repaid]]-Table1[[#This Row],[Annual paym]]</f>
        <v>743546.7536915961</v>
      </c>
      <c r="H15" s="20">
        <f>H14-(Table1[[#This Row],[Payment amount]]-Table1[[#This Row],[Interest Paid W/O LSP]])</f>
        <v>743546.7536915961</v>
      </c>
      <c r="I15">
        <f>H14*Table1[[#This Row],[Current mortgage rate]]</f>
        <v>2220.51659978935</v>
      </c>
      <c r="J15" s="25">
        <f>IF(Table1[[#This Row],[Month]]&gt;Table7[Amortization period (yrs)]*12,0,IF(Table1[[#This Row],[Month]]&lt;Table7[mortgage term (yrs)]*12,0,IF(Table1[[#This Row],[Month]]=Table7[mortgage term (yrs)]*12,-H$5,Table1[[#This Row],[Payment amount]]+B15)))</f>
        <v>0</v>
      </c>
      <c r="K15">
        <v>4</v>
      </c>
      <c r="L15">
        <f>Table7[Initial Monthly Deposit]*Table9[[#This Row],[Inflation Modifier]]</f>
        <v>400</v>
      </c>
      <c r="M15">
        <f xml:space="preserve"> (1+Table7[Inflation])^(QUOTIENT(Table9[[#This Row],[Month]]-1,12))</f>
        <v>1</v>
      </c>
      <c r="N15">
        <f>N14*(1+Table7[Monthly SF Inter])+Table9[[#This Row],[Monthly Payment]]-O14*(1+Table7[Monthly SF Inter])</f>
        <v>1609.9246358560101</v>
      </c>
      <c r="O15">
        <f>IF(MOD(Table9[[#This Row],[Month]],12)=0,(IF(Table9[[#This Row],[Current Balance]]&lt;Table9[[#This Row],[Max Lump Sum ]],Table9[[#This Row],[Current Balance]],Table9[[#This Row],[Max Lump Sum ]])),0)</f>
        <v>0</v>
      </c>
      <c r="P15" s="21">
        <f>Table7[Max annual lump sum repayment]*SUM(C16:C27)</f>
        <v>7880.3958913442566</v>
      </c>
      <c r="Q15" s="25">
        <f>Q14*(1+Table7[Monthly SF Inter])+Table9[[#This Row],[Inflation Modifier]]-R14*(1+Table7[Monthly SF Inter])</f>
        <v>4.0248115896400254</v>
      </c>
      <c r="R15" s="25">
        <f>IF(MOD(Table9[[#This Row],[Month]],12)=0,Table9[[#This Row],[Q2 ACC FACTOR]],0)</f>
        <v>0</v>
      </c>
      <c r="S15" s="25">
        <f>S14*(1+D14)+Table9[[#This Row],[ACC FACTOR PAYMENTS]]</f>
        <v>0</v>
      </c>
    </row>
    <row r="16" spans="1:20" x14ac:dyDescent="0.25">
      <c r="A16" s="1">
        <v>4</v>
      </c>
      <c r="B16" s="1">
        <f t="shared" si="0"/>
        <v>0</v>
      </c>
      <c r="C16" s="7">
        <f>G$12/-PV(Table7[Monthly mortgage rate], (12*Table7[Amortization period (yrs)]),1 )</f>
        <v>4377.9977174134756</v>
      </c>
      <c r="D16" s="11">
        <f>IF(Table1[[#This Row],[Month]]&lt;=(12*Table7[mortgage term (yrs)]),Table7[Monthly mortgage rate],Table7[Monthly Exp Renewal Rate])</f>
        <v>2.9777443873004739E-3</v>
      </c>
      <c r="E16" s="20">
        <f>Table1[[#This Row],[Current mortgage rate]]*G15</f>
        <v>2214.0921725006383</v>
      </c>
      <c r="F16" s="7">
        <f>Table1[[#This Row],[Payment amount]]-Table1[[#This Row],[Interest paid]]</f>
        <v>2163.9055449128373</v>
      </c>
      <c r="G16" s="20">
        <f>G15-Table1[[#This Row],[Principal repaid]]-Table1[[#This Row],[Annual paym]]</f>
        <v>741382.8481466833</v>
      </c>
      <c r="H16" s="20">
        <f>H15-(Table1[[#This Row],[Payment amount]]-Table1[[#This Row],[Interest Paid W/O LSP]])</f>
        <v>741382.8481466833</v>
      </c>
      <c r="I16">
        <f>H15*Table1[[#This Row],[Current mortgage rate]]</f>
        <v>2214.0921725006383</v>
      </c>
      <c r="J16" s="25">
        <f>IF(Table1[[#This Row],[Month]]&gt;Table7[Amortization period (yrs)]*12,0,IF(Table1[[#This Row],[Month]]&lt;Table7[mortgage term (yrs)]*12,0,IF(Table1[[#This Row],[Month]]=Table7[mortgage term (yrs)]*12,-H$5,Table1[[#This Row],[Payment amount]]+B16)))</f>
        <v>0</v>
      </c>
      <c r="K16">
        <v>5</v>
      </c>
      <c r="L16">
        <f>Table7[Initial Monthly Deposit]*Table9[[#This Row],[Inflation Modifier]]</f>
        <v>400</v>
      </c>
      <c r="M16">
        <f xml:space="preserve"> (1+Table7[Inflation])^(QUOTIENT(Table9[[#This Row],[Month]]-1,12))</f>
        <v>1</v>
      </c>
      <c r="N16">
        <f>N15*(1+Table7[Monthly SF Inter])+Table9[[#This Row],[Monthly Payment]]-O15*(1+Table7[Monthly SF Inter])</f>
        <v>2016.5638289595333</v>
      </c>
      <c r="O16">
        <f>IF(MOD(Table9[[#This Row],[Month]],12)=0,(IF(Table9[[#This Row],[Current Balance]]&lt;Table9[[#This Row],[Max Lump Sum ]],Table9[[#This Row],[Current Balance]],Table9[[#This Row],[Max Lump Sum ]])),0)</f>
        <v>0</v>
      </c>
      <c r="P16" s="21">
        <f>Table7[Max annual lump sum repayment]*SUM(C17:C28)</f>
        <v>7880.3958913442566</v>
      </c>
      <c r="Q16" s="25">
        <f>Q15*(1+Table7[Monthly SF Inter])+Table9[[#This Row],[Inflation Modifier]]-R15*(1+Table7[Monthly SF Inter])</f>
        <v>5.0414095723988339</v>
      </c>
      <c r="R16" s="25">
        <f>IF(MOD(Table9[[#This Row],[Month]],12)=0,Table9[[#This Row],[Q2 ACC FACTOR]],0)</f>
        <v>0</v>
      </c>
      <c r="S16" s="25">
        <f>S15*(1+D15)+Table9[[#This Row],[ACC FACTOR PAYMENTS]]</f>
        <v>0</v>
      </c>
    </row>
    <row r="17" spans="1:19" x14ac:dyDescent="0.25">
      <c r="A17" s="1">
        <v>5</v>
      </c>
      <c r="B17" s="1">
        <f t="shared" si="0"/>
        <v>0</v>
      </c>
      <c r="C17" s="7">
        <f>G$12/-PV(Table7[Monthly mortgage rate], (12*Table7[Amortization period (yrs)]),1 )</f>
        <v>4377.9977174134756</v>
      </c>
      <c r="D17" s="11">
        <f>IF(Table1[[#This Row],[Month]]&lt;=(12*Table7[mortgage term (yrs)]),Table7[Monthly mortgage rate],Table7[Monthly Exp Renewal Rate])</f>
        <v>2.9777443873004739E-3</v>
      </c>
      <c r="E17" s="20">
        <f>Table1[[#This Row],[Current mortgage rate]]*G16</f>
        <v>2207.6486149096258</v>
      </c>
      <c r="F17" s="7">
        <f>Table1[[#This Row],[Payment amount]]-Table1[[#This Row],[Interest paid]]</f>
        <v>2170.3491025038497</v>
      </c>
      <c r="G17" s="20">
        <f>G16-Table1[[#This Row],[Principal repaid]]-Table1[[#This Row],[Annual paym]]</f>
        <v>739212.49904417945</v>
      </c>
      <c r="H17" s="20">
        <f>H16-(Table1[[#This Row],[Payment amount]]-Table1[[#This Row],[Interest Paid W/O LSP]])</f>
        <v>739212.49904417945</v>
      </c>
      <c r="I17">
        <f>H16*Table1[[#This Row],[Current mortgage rate]]</f>
        <v>2207.6486149096258</v>
      </c>
      <c r="J17" s="25">
        <f>IF(Table1[[#This Row],[Month]]&gt;Table7[Amortization period (yrs)]*12,0,IF(Table1[[#This Row],[Month]]&lt;Table7[mortgage term (yrs)]*12,0,IF(Table1[[#This Row],[Month]]=Table7[mortgage term (yrs)]*12,-H$5,Table1[[#This Row],[Payment amount]]+B17)))</f>
        <v>0</v>
      </c>
      <c r="K17">
        <v>6</v>
      </c>
      <c r="L17">
        <f>Table7[Initial Monthly Deposit]*Table9[[#This Row],[Inflation Modifier]]</f>
        <v>400</v>
      </c>
      <c r="M17">
        <f xml:space="preserve"> (1+Table7[Inflation])^(QUOTIENT(Table9[[#This Row],[Month]]-1,12))</f>
        <v>1</v>
      </c>
      <c r="N17">
        <f>N16*(1+Table7[Monthly SF Inter])+Table9[[#This Row],[Monthly Payment]]-O16*(1+Table7[Monthly SF Inter])</f>
        <v>2424.8799677202301</v>
      </c>
      <c r="O17">
        <f>IF(MOD(Table9[[#This Row],[Month]],12)=0,(IF(Table9[[#This Row],[Current Balance]]&lt;Table9[[#This Row],[Max Lump Sum ]],Table9[[#This Row],[Current Balance]],Table9[[#This Row],[Max Lump Sum ]])),0)</f>
        <v>0</v>
      </c>
      <c r="P17" s="21">
        <f>Table7[Max annual lump sum repayment]*SUM(C18:C29)</f>
        <v>7880.3958913442566</v>
      </c>
      <c r="Q17" s="25">
        <f>Q16*(1+Table7[Monthly SF Inter])+Table9[[#This Row],[Inflation Modifier]]-R16*(1+Table7[Monthly SF Inter])</f>
        <v>6.0621999193005758</v>
      </c>
      <c r="R17" s="25">
        <f>IF(MOD(Table9[[#This Row],[Month]],12)=0,Table9[[#This Row],[Q2 ACC FACTOR]],0)</f>
        <v>0</v>
      </c>
      <c r="S17" s="25">
        <f>S16*(1+D16)+Table9[[#This Row],[ACC FACTOR PAYMENTS]]</f>
        <v>0</v>
      </c>
    </row>
    <row r="18" spans="1:19" x14ac:dyDescent="0.25">
      <c r="A18" s="1">
        <v>6</v>
      </c>
      <c r="B18" s="1">
        <f t="shared" si="0"/>
        <v>0</v>
      </c>
      <c r="C18" s="7">
        <f>G$12/-PV(Table7[Monthly mortgage rate], (12*Table7[Amortization period (yrs)]),1 )</f>
        <v>4377.9977174134756</v>
      </c>
      <c r="D18" s="11">
        <f>IF(Table1[[#This Row],[Month]]&lt;=(12*Table7[mortgage term (yrs)]),Table7[Monthly mortgage rate],Table7[Monthly Exp Renewal Rate])</f>
        <v>2.9777443873004739E-3</v>
      </c>
      <c r="E18" s="20">
        <f>Table1[[#This Row],[Current mortgage rate]]*G17</f>
        <v>2201.1858700511621</v>
      </c>
      <c r="F18" s="7">
        <f>Table1[[#This Row],[Payment amount]]-Table1[[#This Row],[Interest paid]]</f>
        <v>2176.8118473623135</v>
      </c>
      <c r="G18" s="20">
        <f>G17-Table1[[#This Row],[Principal repaid]]-Table1[[#This Row],[Annual paym]]</f>
        <v>737035.68719681713</v>
      </c>
      <c r="H18" s="20">
        <f>H17-(Table1[[#This Row],[Payment amount]]-Table1[[#This Row],[Interest Paid W/O LSP]])</f>
        <v>737035.68719681713</v>
      </c>
      <c r="I18">
        <f>H17*Table1[[#This Row],[Current mortgage rate]]</f>
        <v>2201.1858700511621</v>
      </c>
      <c r="J18" s="25">
        <f>IF(Table1[[#This Row],[Month]]&gt;Table7[Amortization period (yrs)]*12,0,IF(Table1[[#This Row],[Month]]&lt;Table7[mortgage term (yrs)]*12,0,IF(Table1[[#This Row],[Month]]=Table7[mortgage term (yrs)]*12,-H$5,Table1[[#This Row],[Payment amount]]+B18)))</f>
        <v>0</v>
      </c>
      <c r="K18">
        <v>7</v>
      </c>
      <c r="L18">
        <f>Table7[Initial Monthly Deposit]*Table9[[#This Row],[Inflation Modifier]]</f>
        <v>400</v>
      </c>
      <c r="M18">
        <f xml:space="preserve"> (1+Table7[Inflation])^(QUOTIENT(Table9[[#This Row],[Month]]-1,12))</f>
        <v>1</v>
      </c>
      <c r="N18">
        <f>N17*(1+Table7[Monthly SF Inter])+Table9[[#This Row],[Monthly Payment]]-O17*(1+Table7[Monthly SF Inter])</f>
        <v>2834.8799677202301</v>
      </c>
      <c r="O18">
        <f>IF(MOD(Table9[[#This Row],[Month]],12)=0,(IF(Table9[[#This Row],[Current Balance]]&lt;Table9[[#This Row],[Max Lump Sum ]],Table9[[#This Row],[Current Balance]],Table9[[#This Row],[Max Lump Sum ]])),0)</f>
        <v>0</v>
      </c>
      <c r="P18" s="21">
        <f>Table7[Max annual lump sum repayment]*SUM(C19:C30)</f>
        <v>7880.3958913442566</v>
      </c>
      <c r="Q18" s="25">
        <f>Q17*(1+Table7[Monthly SF Inter])+Table9[[#This Row],[Inflation Modifier]]-R17*(1+Table7[Monthly SF Inter])</f>
        <v>7.0871999193005752</v>
      </c>
      <c r="R18" s="25">
        <f>IF(MOD(Table9[[#This Row],[Month]],12)=0,Table9[[#This Row],[Q2 ACC FACTOR]],0)</f>
        <v>0</v>
      </c>
      <c r="S18" s="25">
        <f>S17*(1+D17)+Table9[[#This Row],[ACC FACTOR PAYMENTS]]</f>
        <v>0</v>
      </c>
    </row>
    <row r="19" spans="1:19" x14ac:dyDescent="0.25">
      <c r="A19" s="1">
        <v>7</v>
      </c>
      <c r="B19" s="1">
        <f t="shared" si="0"/>
        <v>0</v>
      </c>
      <c r="C19" s="7">
        <f>G$12/-PV(Table7[Monthly mortgage rate], (12*Table7[Amortization period (yrs)]),1 )</f>
        <v>4377.9977174134756</v>
      </c>
      <c r="D19" s="11">
        <f>IF(Table1[[#This Row],[Month]]&lt;=(12*Table7[mortgage term (yrs)]),Table7[Monthly mortgage rate],Table7[Monthly Exp Renewal Rate])</f>
        <v>2.9777443873004739E-3</v>
      </c>
      <c r="E19" s="20">
        <f>Table1[[#This Row],[Current mortgage rate]]*G18</f>
        <v>2194.7038807904701</v>
      </c>
      <c r="F19" s="7">
        <f>Table1[[#This Row],[Payment amount]]-Table1[[#This Row],[Interest paid]]</f>
        <v>2183.2938366230055</v>
      </c>
      <c r="G19" s="20">
        <f>G18-Table1[[#This Row],[Principal repaid]]-Table1[[#This Row],[Annual paym]]</f>
        <v>734852.39336019417</v>
      </c>
      <c r="H19" s="20">
        <f>H18-(Table1[[#This Row],[Payment amount]]-Table1[[#This Row],[Interest Paid W/O LSP]])</f>
        <v>734852.39336019417</v>
      </c>
      <c r="I19">
        <f>H18*Table1[[#This Row],[Current mortgage rate]]</f>
        <v>2194.7038807904701</v>
      </c>
      <c r="J19" s="25">
        <f>IF(Table1[[#This Row],[Month]]&gt;Table7[Amortization period (yrs)]*12,0,IF(Table1[[#This Row],[Month]]&lt;Table7[mortgage term (yrs)]*12,0,IF(Table1[[#This Row],[Month]]=Table7[mortgage term (yrs)]*12,-H$5,Table1[[#This Row],[Payment amount]]+B19)))</f>
        <v>0</v>
      </c>
      <c r="K19">
        <v>8</v>
      </c>
      <c r="L19">
        <f>Table7[Initial Monthly Deposit]*Table9[[#This Row],[Inflation Modifier]]</f>
        <v>400</v>
      </c>
      <c r="M19">
        <f xml:space="preserve"> (1+Table7[Inflation])^(QUOTIENT(Table9[[#This Row],[Month]]-1,12))</f>
        <v>1</v>
      </c>
      <c r="N19">
        <f>N18*(1+Table7[Monthly SF Inter])+Table9[[#This Row],[Monthly Payment]]-O18*(1+Table7[Monthly SF Inter])</f>
        <v>3246.5707730609392</v>
      </c>
      <c r="O19">
        <f>IF(MOD(Table9[[#This Row],[Month]],12)=0,(IF(Table9[[#This Row],[Current Balance]]&lt;Table9[[#This Row],[Max Lump Sum ]],Table9[[#This Row],[Current Balance]],Table9[[#This Row],[Max Lump Sum ]])),0)</f>
        <v>0</v>
      </c>
      <c r="P19" s="21">
        <f>Table7[Max annual lump sum repayment]*SUM(C20:C31)</f>
        <v>7880.3958913442566</v>
      </c>
      <c r="Q19" s="25">
        <f>Q18*(1+Table7[Monthly SF Inter])+Table9[[#This Row],[Inflation Modifier]]-R18*(1+Table7[Monthly SF Inter])</f>
        <v>8.1164269326523488</v>
      </c>
      <c r="R19" s="25">
        <f>IF(MOD(Table9[[#This Row],[Month]],12)=0,Table9[[#This Row],[Q2 ACC FACTOR]],0)</f>
        <v>0</v>
      </c>
      <c r="S19" s="25">
        <f>S18*(1+D18)+Table9[[#This Row],[ACC FACTOR PAYMENTS]]</f>
        <v>0</v>
      </c>
    </row>
    <row r="20" spans="1:19" x14ac:dyDescent="0.25">
      <c r="A20" s="1">
        <v>8</v>
      </c>
      <c r="B20" s="1">
        <f t="shared" si="0"/>
        <v>0</v>
      </c>
      <c r="C20" s="7">
        <f>G$12/-PV(Table7[Monthly mortgage rate], (12*Table7[Amortization period (yrs)]),1 )</f>
        <v>4377.9977174134756</v>
      </c>
      <c r="D20" s="11">
        <f>IF(Table1[[#This Row],[Month]]&lt;=(12*Table7[mortgage term (yrs)]),Table7[Monthly mortgage rate],Table7[Monthly Exp Renewal Rate])</f>
        <v>2.9777443873004739E-3</v>
      </c>
      <c r="E20" s="20">
        <f>Table1[[#This Row],[Current mortgage rate]]*G19</f>
        <v>2188.2025898226384</v>
      </c>
      <c r="F20" s="7">
        <f>Table1[[#This Row],[Payment amount]]-Table1[[#This Row],[Interest paid]]</f>
        <v>2189.7951275908372</v>
      </c>
      <c r="G20" s="20">
        <f>G19-Table1[[#This Row],[Principal repaid]]-Table1[[#This Row],[Annual paym]]</f>
        <v>732662.59823260328</v>
      </c>
      <c r="H20" s="20">
        <f>H19-(Table1[[#This Row],[Payment amount]]-Table1[[#This Row],[Interest Paid W/O LSP]])</f>
        <v>732662.59823260328</v>
      </c>
      <c r="I20">
        <f>H19*Table1[[#This Row],[Current mortgage rate]]</f>
        <v>2188.2025898226384</v>
      </c>
      <c r="J20" s="25">
        <f>IF(Table1[[#This Row],[Month]]&gt;Table7[Amortization period (yrs)]*12,0,IF(Table1[[#This Row],[Month]]&lt;Table7[mortgage term (yrs)]*12,0,IF(Table1[[#This Row],[Month]]=Table7[mortgage term (yrs)]*12,-H$5,Table1[[#This Row],[Payment amount]]+B20)))</f>
        <v>0</v>
      </c>
      <c r="K20">
        <v>9</v>
      </c>
      <c r="L20">
        <f>Table7[Initial Monthly Deposit]*Table9[[#This Row],[Inflation Modifier]]</f>
        <v>400</v>
      </c>
      <c r="M20">
        <f xml:space="preserve"> (1+Table7[Inflation])^(QUOTIENT(Table9[[#This Row],[Month]]-1,12))</f>
        <v>1</v>
      </c>
      <c r="N20">
        <f>N19*(1+Table7[Monthly SF Inter])+Table9[[#This Row],[Monthly Payment]]-O19*(1+Table7[Monthly SF Inter])</f>
        <v>3659.9593564806505</v>
      </c>
      <c r="O20">
        <f>IF(MOD(Table9[[#This Row],[Month]],12)=0,(IF(Table9[[#This Row],[Current Balance]]&lt;Table9[[#This Row],[Max Lump Sum ]],Table9[[#This Row],[Current Balance]],Table9[[#This Row],[Max Lump Sum ]])),0)</f>
        <v>0</v>
      </c>
      <c r="P20" s="21">
        <f>Table7[Max annual lump sum repayment]*SUM(C21:C32)</f>
        <v>7880.3958913442566</v>
      </c>
      <c r="Q20" s="25">
        <f>Q19*(1+Table7[Monthly SF Inter])+Table9[[#This Row],[Inflation Modifier]]-R19*(1+Table7[Monthly SF Inter])</f>
        <v>9.1498983912016278</v>
      </c>
      <c r="R20" s="25">
        <f>IF(MOD(Table9[[#This Row],[Month]],12)=0,Table9[[#This Row],[Q2 ACC FACTOR]],0)</f>
        <v>0</v>
      </c>
      <c r="S20" s="25">
        <f>S19*(1+D19)+Table9[[#This Row],[ACC FACTOR PAYMENTS]]</f>
        <v>0</v>
      </c>
    </row>
    <row r="21" spans="1:19" x14ac:dyDescent="0.25">
      <c r="A21" s="1">
        <v>9</v>
      </c>
      <c r="B21" s="1">
        <f t="shared" si="0"/>
        <v>0</v>
      </c>
      <c r="C21" s="7">
        <f>G$12/-PV(Table7[Monthly mortgage rate], (12*Table7[Amortization period (yrs)]),1 )</f>
        <v>4377.9977174134756</v>
      </c>
      <c r="D21" s="11">
        <f>IF(Table1[[#This Row],[Month]]&lt;=(12*Table7[mortgage term (yrs)]),Table7[Monthly mortgage rate],Table7[Monthly Exp Renewal Rate])</f>
        <v>2.9777443873004739E-3</v>
      </c>
      <c r="E21" s="20">
        <f>Table1[[#This Row],[Current mortgage rate]]*G20</f>
        <v>2181.6819396721166</v>
      </c>
      <c r="F21" s="7">
        <f>Table1[[#This Row],[Payment amount]]-Table1[[#This Row],[Interest paid]]</f>
        <v>2196.3157777413589</v>
      </c>
      <c r="G21" s="20">
        <f>G20-Table1[[#This Row],[Principal repaid]]-Table1[[#This Row],[Annual paym]]</f>
        <v>730466.28245486191</v>
      </c>
      <c r="H21" s="20">
        <f>H20-(Table1[[#This Row],[Payment amount]]-Table1[[#This Row],[Interest Paid W/O LSP]])</f>
        <v>730466.28245486191</v>
      </c>
      <c r="I21">
        <f>H20*Table1[[#This Row],[Current mortgage rate]]</f>
        <v>2181.6819396721166</v>
      </c>
      <c r="J21" s="25">
        <f>IF(Table1[[#This Row],[Month]]&gt;Table7[Amortization period (yrs)]*12,0,IF(Table1[[#This Row],[Month]]&lt;Table7[mortgage term (yrs)]*12,0,IF(Table1[[#This Row],[Month]]=Table7[mortgage term (yrs)]*12,-H$5,Table1[[#This Row],[Payment amount]]+B21)))</f>
        <v>0</v>
      </c>
      <c r="K21">
        <v>10</v>
      </c>
      <c r="L21">
        <f>Table7[Initial Monthly Deposit]*Table9[[#This Row],[Inflation Modifier]]</f>
        <v>400</v>
      </c>
      <c r="M21">
        <f xml:space="preserve"> (1+Table7[Inflation])^(QUOTIENT(Table9[[#This Row],[Month]]-1,12))</f>
        <v>1</v>
      </c>
      <c r="N21">
        <f>N20*(1+Table7[Monthly SF Inter])+Table9[[#This Row],[Monthly Payment]]-O20*(1+Table7[Monthly SF Inter])</f>
        <v>4075.0527194726405</v>
      </c>
      <c r="O21">
        <f>IF(MOD(Table9[[#This Row],[Month]],12)=0,(IF(Table9[[#This Row],[Current Balance]]&lt;Table9[[#This Row],[Max Lump Sum ]],Table9[[#This Row],[Current Balance]],Table9[[#This Row],[Max Lump Sum ]])),0)</f>
        <v>0</v>
      </c>
      <c r="P21" s="21">
        <f>Table7[Max annual lump sum repayment]*SUM(C22:C33)</f>
        <v>7880.3958913442566</v>
      </c>
      <c r="Q21" s="25">
        <f>Q20*(1+Table7[Monthly SF Inter])+Table9[[#This Row],[Inflation Modifier]]-R20*(1+Table7[Monthly SF Inter])</f>
        <v>10.187631798681602</v>
      </c>
      <c r="R21" s="25">
        <f>IF(MOD(Table9[[#This Row],[Month]],12)=0,Table9[[#This Row],[Q2 ACC FACTOR]],0)</f>
        <v>0</v>
      </c>
      <c r="S21" s="25">
        <f>S20*(1+D20)+Table9[[#This Row],[ACC FACTOR PAYMENTS]]</f>
        <v>0</v>
      </c>
    </row>
    <row r="22" spans="1:19" x14ac:dyDescent="0.25">
      <c r="A22" s="1">
        <v>10</v>
      </c>
      <c r="B22" s="1">
        <f t="shared" si="0"/>
        <v>0</v>
      </c>
      <c r="C22" s="7">
        <f>G$12/-PV(Table7[Monthly mortgage rate], (12*Table7[Amortization period (yrs)]),1 )</f>
        <v>4377.9977174134756</v>
      </c>
      <c r="D22" s="11">
        <f>IF(Table1[[#This Row],[Month]]&lt;=(12*Table7[mortgage term (yrs)]),Table7[Monthly mortgage rate],Table7[Monthly Exp Renewal Rate])</f>
        <v>2.9777443873004739E-3</v>
      </c>
      <c r="E22" s="20">
        <f>Table1[[#This Row],[Current mortgage rate]]*G21</f>
        <v>2175.1418726922075</v>
      </c>
      <c r="F22" s="7">
        <f>Table1[[#This Row],[Payment amount]]-Table1[[#This Row],[Interest paid]]</f>
        <v>2202.8558447212681</v>
      </c>
      <c r="G22" s="20">
        <f>G21-Table1[[#This Row],[Principal repaid]]-Table1[[#This Row],[Annual paym]]</f>
        <v>728263.4266101406</v>
      </c>
      <c r="H22" s="20">
        <f>H21-(Table1[[#This Row],[Payment amount]]-Table1[[#This Row],[Interest Paid W/O LSP]])</f>
        <v>728263.4266101406</v>
      </c>
      <c r="I22">
        <f>H21*Table1[[#This Row],[Current mortgage rate]]</f>
        <v>2175.1418726922075</v>
      </c>
      <c r="J22" s="25">
        <f>IF(Table1[[#This Row],[Month]]&gt;Table7[Amortization period (yrs)]*12,0,IF(Table1[[#This Row],[Month]]&lt;Table7[mortgage term (yrs)]*12,0,IF(Table1[[#This Row],[Month]]=Table7[mortgage term (yrs)]*12,-H$5,Table1[[#This Row],[Payment amount]]+B22)))</f>
        <v>0</v>
      </c>
      <c r="K22">
        <v>11</v>
      </c>
      <c r="L22">
        <f>Table7[Initial Monthly Deposit]*Table9[[#This Row],[Inflation Modifier]]</f>
        <v>400</v>
      </c>
      <c r="M22">
        <f xml:space="preserve"> (1+Table7[Inflation])^(QUOTIENT(Table9[[#This Row],[Month]]-1,12))</f>
        <v>1</v>
      </c>
      <c r="N22">
        <f>N21*(1+Table7[Monthly SF Inter])+Table9[[#This Row],[Monthly Payment]]-O21*(1+Table7[Monthly SF Inter])</f>
        <v>4491.857892403752</v>
      </c>
      <c r="O22">
        <f>IF(MOD(Table9[[#This Row],[Month]],12)=0,(IF(Table9[[#This Row],[Current Balance]]&lt;Table9[[#This Row],[Max Lump Sum ]],Table9[[#This Row],[Current Balance]],Table9[[#This Row],[Max Lump Sum ]])),0)</f>
        <v>0</v>
      </c>
      <c r="P22" s="21">
        <f>Table7[Max annual lump sum repayment]*SUM(C23:C34)</f>
        <v>7880.3958913442566</v>
      </c>
      <c r="Q22" s="25">
        <f>Q21*(1+Table7[Monthly SF Inter])+Table9[[#This Row],[Inflation Modifier]]-R21*(1+Table7[Monthly SF Inter])</f>
        <v>11.22964473100938</v>
      </c>
      <c r="R22" s="25">
        <f>IF(MOD(Table9[[#This Row],[Month]],12)=0,Table9[[#This Row],[Q2 ACC FACTOR]],0)</f>
        <v>0</v>
      </c>
      <c r="S22" s="25">
        <f>S21*(1+D21)+Table9[[#This Row],[ACC FACTOR PAYMENTS]]</f>
        <v>0</v>
      </c>
    </row>
    <row r="23" spans="1:19" x14ac:dyDescent="0.25">
      <c r="A23" s="1">
        <v>11</v>
      </c>
      <c r="B23" s="1">
        <f t="shared" si="0"/>
        <v>0</v>
      </c>
      <c r="C23" s="7">
        <f>G$12/-PV(Table7[Monthly mortgage rate], (12*Table7[Amortization period (yrs)]),1 )</f>
        <v>4377.9977174134756</v>
      </c>
      <c r="D23" s="11">
        <f>IF(Table1[[#This Row],[Month]]&lt;=(12*Table7[mortgage term (yrs)]),Table7[Monthly mortgage rate],Table7[Monthly Exp Renewal Rate])</f>
        <v>2.9777443873004739E-3</v>
      </c>
      <c r="E23" s="20">
        <f>Table1[[#This Row],[Current mortgage rate]]*G22</f>
        <v>2168.5823310645569</v>
      </c>
      <c r="F23" s="7">
        <f>Table1[[#This Row],[Payment amount]]-Table1[[#This Row],[Interest paid]]</f>
        <v>2209.4153863489187</v>
      </c>
      <c r="G23" s="20">
        <f>G22-Table1[[#This Row],[Principal repaid]]-Table1[[#This Row],[Annual paym]]</f>
        <v>726054.01122379163</v>
      </c>
      <c r="H23" s="20">
        <f>H22-(Table1[[#This Row],[Payment amount]]-Table1[[#This Row],[Interest Paid W/O LSP]])</f>
        <v>726054.01122379163</v>
      </c>
      <c r="I23">
        <f>H22*Table1[[#This Row],[Current mortgage rate]]</f>
        <v>2168.5823310645569</v>
      </c>
      <c r="J23" s="25">
        <f>IF(Table1[[#This Row],[Month]]&gt;Table7[Amortization period (yrs)]*12,0,IF(Table1[[#This Row],[Month]]&lt;Table7[mortgage term (yrs)]*12,0,IF(Table1[[#This Row],[Month]]=Table7[mortgage term (yrs)]*12,-H$5,Table1[[#This Row],[Payment amount]]+B23)))</f>
        <v>0</v>
      </c>
      <c r="K23">
        <v>12</v>
      </c>
      <c r="L23">
        <f>Table7[Initial Monthly Deposit]*Table9[[#This Row],[Inflation Modifier]]</f>
        <v>400</v>
      </c>
      <c r="M23">
        <f xml:space="preserve"> (1+Table7[Inflation])^(QUOTIENT(Table9[[#This Row],[Month]]-1,12))</f>
        <v>1</v>
      </c>
      <c r="N23">
        <f>N22*(1+Table7[Monthly SF Inter])+Table9[[#This Row],[Monthly Payment]]-O22*(1+Table7[Monthly SF Inter])</f>
        <v>4910.3819346334658</v>
      </c>
      <c r="O23">
        <f>IF(MOD(Table9[[#This Row],[Month]],12)=0,(IF(Table9[[#This Row],[Current Balance]]&lt;Table9[[#This Row],[Max Lump Sum ]],Table9[[#This Row],[Current Balance]],Table9[[#This Row],[Max Lump Sum ]])),0)</f>
        <v>4910.3819346334658</v>
      </c>
      <c r="P23" s="21">
        <f>Table7[Max annual lump sum repayment]*SUM(C24:C35)</f>
        <v>7880.3958913442566</v>
      </c>
      <c r="Q23" s="25">
        <f>Q22*(1+Table7[Monthly SF Inter])+Table9[[#This Row],[Inflation Modifier]]-R22*(1+Table7[Monthly SF Inter])</f>
        <v>12.275954836583665</v>
      </c>
      <c r="R23" s="25">
        <f>IF(MOD(Table9[[#This Row],[Month]],12)=0,Table9[[#This Row],[Q2 ACC FACTOR]],0)</f>
        <v>12.275954836583665</v>
      </c>
      <c r="S23" s="25">
        <f>S22*(1+D22)+Table9[[#This Row],[ACC FACTOR PAYMENTS]]</f>
        <v>12.275954836583665</v>
      </c>
    </row>
    <row r="24" spans="1:19" x14ac:dyDescent="0.25">
      <c r="A24" s="1">
        <v>12</v>
      </c>
      <c r="B24" s="1">
        <f t="shared" si="0"/>
        <v>4910.3819346334658</v>
      </c>
      <c r="C24" s="7">
        <f>G$12/-PV(Table7[Monthly mortgage rate], (12*Table7[Amortization period (yrs)]),1 )</f>
        <v>4377.9977174134756</v>
      </c>
      <c r="D24" s="11">
        <f>IF(Table1[[#This Row],[Month]]&lt;=(12*Table7[mortgage term (yrs)]),Table7[Monthly mortgage rate],Table7[Monthly Exp Renewal Rate])</f>
        <v>2.9777443873004739E-3</v>
      </c>
      <c r="E24" s="20">
        <f>Table1[[#This Row],[Current mortgage rate]]*G23</f>
        <v>2162.0032567986409</v>
      </c>
      <c r="F24" s="7">
        <f>Table1[[#This Row],[Payment amount]]-Table1[[#This Row],[Interest paid]]</f>
        <v>2215.9944606148347</v>
      </c>
      <c r="G24" s="20">
        <f>G23-Table1[[#This Row],[Principal repaid]]-Table1[[#This Row],[Annual paym]]</f>
        <v>718927.63482854329</v>
      </c>
      <c r="H24" s="20">
        <f>H23-(Table1[[#This Row],[Payment amount]]-Table1[[#This Row],[Interest Paid W/O LSP]])</f>
        <v>723838.01676317677</v>
      </c>
      <c r="I24">
        <f>H23*Table1[[#This Row],[Current mortgage rate]]</f>
        <v>2162.0032567986409</v>
      </c>
      <c r="J24" s="25">
        <f>IF(Table1[[#This Row],[Month]]&gt;Table7[Amortization period (yrs)]*12,0,IF(Table1[[#This Row],[Month]]&lt;Table7[mortgage term (yrs)]*12,0,IF(Table1[[#This Row],[Month]]=Table7[mortgage term (yrs)]*12,-H$5,Table1[[#This Row],[Payment amount]]+B24)))</f>
        <v>0</v>
      </c>
      <c r="K24">
        <v>13</v>
      </c>
      <c r="L24">
        <f>Table7[Initial Monthly Deposit]*Table9[[#This Row],[Inflation Modifier]]</f>
        <v>408</v>
      </c>
      <c r="M24">
        <f xml:space="preserve"> (1+Table7[Inflation])^(QUOTIENT(Table9[[#This Row],[Month]]-1,12))</f>
        <v>1.02</v>
      </c>
      <c r="N24">
        <f>N23*(1+Table7[Monthly SF Inter])+Table9[[#This Row],[Monthly Payment]]-O23*(1+Table7[Monthly SF Inter])</f>
        <v>408</v>
      </c>
      <c r="O24">
        <f>IF(MOD(Table9[[#This Row],[Month]],12)=0,(IF(Table9[[#This Row],[Current Balance]]&lt;Table9[[#This Row],[Max Lump Sum ]],Table9[[#This Row],[Current Balance]],Table9[[#This Row],[Max Lump Sum ]])),0)</f>
        <v>0</v>
      </c>
      <c r="P24" s="21">
        <f>Table7[Max annual lump sum repayment]*SUM(C25:C36)</f>
        <v>7880.3958913442566</v>
      </c>
      <c r="Q24" s="25">
        <f>Q23*(1+Table7[Monthly SF Inter])+Table9[[#This Row],[Inflation Modifier]]-R23*(1+Table7[Monthly SF Inter])</f>
        <v>1.0199999999999996</v>
      </c>
      <c r="R24" s="25">
        <f>IF(MOD(Table9[[#This Row],[Month]],12)=0,Table9[[#This Row],[Q2 ACC FACTOR]],0)</f>
        <v>0</v>
      </c>
      <c r="S24" s="25">
        <f>S23*(1+D23)+Table9[[#This Row],[ACC FACTOR PAYMENTS]]</f>
        <v>12.312509492197057</v>
      </c>
    </row>
    <row r="25" spans="1:19" x14ac:dyDescent="0.25">
      <c r="A25" s="1">
        <v>13</v>
      </c>
      <c r="B25" s="1">
        <f t="shared" si="0"/>
        <v>0</v>
      </c>
      <c r="C25" s="7">
        <f>G$12/-PV(Table7[Monthly mortgage rate], (12*Table7[Amortization period (yrs)]),1 )</f>
        <v>4377.9977174134756</v>
      </c>
      <c r="D25" s="11">
        <f>IF(Table1[[#This Row],[Month]]&lt;=(12*Table7[mortgage term (yrs)]),Table7[Monthly mortgage rate],Table7[Monthly Exp Renewal Rate])</f>
        <v>2.9777443873004739E-3</v>
      </c>
      <c r="E25" s="20">
        <f>Table1[[#This Row],[Current mortgage rate]]*G24</f>
        <v>2140.7827294858994</v>
      </c>
      <c r="F25" s="7">
        <f>Table1[[#This Row],[Payment amount]]-Table1[[#This Row],[Interest paid]]</f>
        <v>2237.2149879275762</v>
      </c>
      <c r="G25" s="20">
        <f>G24-Table1[[#This Row],[Principal repaid]]-Table1[[#This Row],[Annual paym]]</f>
        <v>716690.41984061571</v>
      </c>
      <c r="H25" s="20">
        <f>H24-(Table1[[#This Row],[Payment amount]]-Table1[[#This Row],[Interest Paid W/O LSP]])</f>
        <v>721615.42363749456</v>
      </c>
      <c r="I25">
        <f>H24*Table1[[#This Row],[Current mortgage rate]]</f>
        <v>2155.404591731256</v>
      </c>
      <c r="J25" s="25">
        <f>IF(Table1[[#This Row],[Month]]&gt;Table7[Amortization period (yrs)]*12,0,IF(Table1[[#This Row],[Month]]&lt;Table7[mortgage term (yrs)]*12,0,IF(Table1[[#This Row],[Month]]=Table7[mortgage term (yrs)]*12,-H$5,Table1[[#This Row],[Payment amount]]+B25)))</f>
        <v>0</v>
      </c>
      <c r="K25">
        <v>14</v>
      </c>
      <c r="L25">
        <f>Table7[Initial Monthly Deposit]*Table9[[#This Row],[Inflation Modifier]]</f>
        <v>408</v>
      </c>
      <c r="M25">
        <f xml:space="preserve"> (1+Table7[Inflation])^(QUOTIENT(Table9[[#This Row],[Month]]-1,12))</f>
        <v>1.02</v>
      </c>
      <c r="N25">
        <f>N24*(1+Table7[Monthly SF Inter])+Table9[[#This Row],[Monthly Payment]]-O24*(1+Table7[Monthly SF Inter])</f>
        <v>817.68255750977892</v>
      </c>
      <c r="O25">
        <f>IF(MOD(Table9[[#This Row],[Month]],12)=0,(IF(Table9[[#This Row],[Current Balance]]&lt;Table9[[#This Row],[Max Lump Sum ]],Table9[[#This Row],[Current Balance]],Table9[[#This Row],[Max Lump Sum ]])),0)</f>
        <v>0</v>
      </c>
      <c r="P25" s="21">
        <f>Table7[Max annual lump sum repayment]*SUM(C26:C37)</f>
        <v>7880.3958913442566</v>
      </c>
      <c r="Q25" s="25">
        <f>Q24*(1+Table7[Monthly SF Inter])+Table9[[#This Row],[Inflation Modifier]]-R24*(1+Table7[Monthly SF Inter])</f>
        <v>2.0442063937744468</v>
      </c>
      <c r="R25" s="25">
        <f>IF(MOD(Table9[[#This Row],[Month]],12)=0,Table9[[#This Row],[Q2 ACC FACTOR]],0)</f>
        <v>0</v>
      </c>
      <c r="S25" s="25">
        <f>S24*(1+D24)+Table9[[#This Row],[ACC FACTOR PAYMENTS]]</f>
        <v>12.34917299823103</v>
      </c>
    </row>
    <row r="26" spans="1:19" x14ac:dyDescent="0.25">
      <c r="A26" s="1">
        <v>14</v>
      </c>
      <c r="B26" s="1">
        <f t="shared" si="0"/>
        <v>0</v>
      </c>
      <c r="C26" s="7">
        <f>G$12/-PV(Table7[Monthly mortgage rate], (12*Table7[Amortization period (yrs)]),1 )</f>
        <v>4377.9977174134756</v>
      </c>
      <c r="D26" s="11">
        <f>IF(Table1[[#This Row],[Month]]&lt;=(12*Table7[mortgage term (yrs)]),Table7[Monthly mortgage rate],Table7[Monthly Exp Renewal Rate])</f>
        <v>2.9777443873004739E-3</v>
      </c>
      <c r="E26" s="20">
        <f>Table1[[#This Row],[Current mortgage rate]]*G25</f>
        <v>2134.1208751124136</v>
      </c>
      <c r="F26" s="7">
        <f>Table1[[#This Row],[Payment amount]]-Table1[[#This Row],[Interest paid]]</f>
        <v>2243.876842301062</v>
      </c>
      <c r="G26" s="20">
        <f>G25-Table1[[#This Row],[Principal repaid]]-Table1[[#This Row],[Annual paym]]</f>
        <v>714446.5429983146</v>
      </c>
      <c r="H26" s="20">
        <f>H25-(Table1[[#This Row],[Payment amount]]-Table1[[#This Row],[Interest Paid W/O LSP]])</f>
        <v>719386.21219760703</v>
      </c>
      <c r="I26">
        <f>H25*Table1[[#This Row],[Current mortgage rate]]</f>
        <v>2148.7862775260032</v>
      </c>
      <c r="J26" s="25">
        <f>IF(Table1[[#This Row],[Month]]&gt;Table7[Amortization period (yrs)]*12,0,IF(Table1[[#This Row],[Month]]&lt;Table7[mortgage term (yrs)]*12,0,IF(Table1[[#This Row],[Month]]=Table7[mortgage term (yrs)]*12,-H$5,Table1[[#This Row],[Payment amount]]+B26)))</f>
        <v>0</v>
      </c>
      <c r="K26">
        <v>15</v>
      </c>
      <c r="L26">
        <f>Table7[Initial Monthly Deposit]*Table9[[#This Row],[Inflation Modifier]]</f>
        <v>408</v>
      </c>
      <c r="M26">
        <f xml:space="preserve"> (1+Table7[Inflation])^(QUOTIENT(Table9[[#This Row],[Month]]-1,12))</f>
        <v>1.02</v>
      </c>
      <c r="N26">
        <f>N25*(1+Table7[Monthly SF Inter])+Table9[[#This Row],[Monthly Payment]]-O25*(1+Table7[Monthly SF Inter])</f>
        <v>1229.0546112542722</v>
      </c>
      <c r="O26">
        <f>IF(MOD(Table9[[#This Row],[Month]],12)=0,(IF(Table9[[#This Row],[Current Balance]]&lt;Table9[[#This Row],[Max Lump Sum ]],Table9[[#This Row],[Current Balance]],Table9[[#This Row],[Max Lump Sum ]])),0)</f>
        <v>0</v>
      </c>
      <c r="P26" s="21">
        <f>Table7[Max annual lump sum repayment]*SUM(C27:C38)</f>
        <v>7880.3958913442566</v>
      </c>
      <c r="Q26" s="25">
        <f>Q25*(1+Table7[Monthly SF Inter])+Table9[[#This Row],[Inflation Modifier]]-R25*(1+Table7[Monthly SF Inter])</f>
        <v>3.0726365281356798</v>
      </c>
      <c r="R26" s="25">
        <f>IF(MOD(Table9[[#This Row],[Month]],12)=0,Table9[[#This Row],[Q2 ACC FACTOR]],0)</f>
        <v>0</v>
      </c>
      <c r="S26" s="25">
        <f>S25*(1+D25)+Table9[[#This Row],[ACC FACTOR PAYMENTS]]</f>
        <v>12.385945678814315</v>
      </c>
    </row>
    <row r="27" spans="1:19" x14ac:dyDescent="0.25">
      <c r="A27" s="1">
        <v>15</v>
      </c>
      <c r="B27" s="1">
        <f t="shared" si="0"/>
        <v>0</v>
      </c>
      <c r="C27" s="7">
        <f>G$12/-PV(Table7[Monthly mortgage rate], (12*Table7[Amortization period (yrs)]),1 )</f>
        <v>4377.9977174134756</v>
      </c>
      <c r="D27" s="11">
        <f>IF(Table1[[#This Row],[Month]]&lt;=(12*Table7[mortgage term (yrs)]),Table7[Monthly mortgage rate],Table7[Monthly Exp Renewal Rate])</f>
        <v>2.9777443873004739E-3</v>
      </c>
      <c r="E27" s="20">
        <f>Table1[[#This Row],[Current mortgage rate]]*G26</f>
        <v>2127.4391834394578</v>
      </c>
      <c r="F27" s="7">
        <f>Table1[[#This Row],[Payment amount]]-Table1[[#This Row],[Interest paid]]</f>
        <v>2250.5585339740178</v>
      </c>
      <c r="G27" s="20">
        <f>G26-Table1[[#This Row],[Principal repaid]]-Table1[[#This Row],[Annual paym]]</f>
        <v>712195.98446434061</v>
      </c>
      <c r="H27" s="20">
        <f>H26-(Table1[[#This Row],[Payment amount]]-Table1[[#This Row],[Interest Paid W/O LSP]])</f>
        <v>717150.36273586634</v>
      </c>
      <c r="I27">
        <f>H26*Table1[[#This Row],[Current mortgage rate]]</f>
        <v>2142.1482556727719</v>
      </c>
      <c r="J27" s="25">
        <f>IF(Table1[[#This Row],[Month]]&gt;Table7[Amortization period (yrs)]*12,0,IF(Table1[[#This Row],[Month]]&lt;Table7[mortgage term (yrs)]*12,0,IF(Table1[[#This Row],[Month]]=Table7[mortgage term (yrs)]*12,-H$5,Table1[[#This Row],[Payment amount]]+B27)))</f>
        <v>0</v>
      </c>
      <c r="K27">
        <v>16</v>
      </c>
      <c r="L27">
        <f>Table7[Initial Monthly Deposit]*Table9[[#This Row],[Inflation Modifier]]</f>
        <v>408</v>
      </c>
      <c r="M27">
        <f xml:space="preserve"> (1+Table7[Inflation])^(QUOTIENT(Table9[[#This Row],[Month]]-1,12))</f>
        <v>1.02</v>
      </c>
      <c r="N27">
        <f>N26*(1+Table7[Monthly SF Inter])+Table9[[#This Row],[Monthly Payment]]-O26*(1+Table7[Monthly SF Inter])</f>
        <v>1642.1231285731305</v>
      </c>
      <c r="O27">
        <f>IF(MOD(Table9[[#This Row],[Month]],12)=0,(IF(Table9[[#This Row],[Current Balance]]&lt;Table9[[#This Row],[Max Lump Sum ]],Table9[[#This Row],[Current Balance]],Table9[[#This Row],[Max Lump Sum ]])),0)</f>
        <v>0</v>
      </c>
      <c r="P27" s="21">
        <f>Table7[Max annual lump sum repayment]*SUM(C28:C39)</f>
        <v>7880.3958913442566</v>
      </c>
      <c r="Q27" s="25">
        <f>Q26*(1+Table7[Monthly SF Inter])+Table9[[#This Row],[Inflation Modifier]]-R26*(1+Table7[Monthly SF Inter])</f>
        <v>4.1053078214328256</v>
      </c>
      <c r="R27" s="25">
        <f>IF(MOD(Table9[[#This Row],[Month]],12)=0,Table9[[#This Row],[Q2 ACC FACTOR]],0)</f>
        <v>0</v>
      </c>
      <c r="S27" s="25">
        <f>S26*(1+D26)+Table9[[#This Row],[ACC FACTOR PAYMENTS]]</f>
        <v>12.422827859040812</v>
      </c>
    </row>
    <row r="28" spans="1:19" x14ac:dyDescent="0.25">
      <c r="A28" s="1">
        <v>16</v>
      </c>
      <c r="B28" s="1">
        <f t="shared" si="0"/>
        <v>0</v>
      </c>
      <c r="C28" s="7">
        <f>G$12/-PV(Table7[Monthly mortgage rate], (12*Table7[Amortization period (yrs)]),1 )</f>
        <v>4377.9977174134756</v>
      </c>
      <c r="D28" s="11">
        <f>IF(Table1[[#This Row],[Month]]&lt;=(12*Table7[mortgage term (yrs)]),Table7[Monthly mortgage rate],Table7[Monthly Exp Renewal Rate])</f>
        <v>2.9777443873004739E-3</v>
      </c>
      <c r="E28" s="20">
        <f>Table1[[#This Row],[Current mortgage rate]]*G27</f>
        <v>2120.7375953966257</v>
      </c>
      <c r="F28" s="7">
        <f>Table1[[#This Row],[Payment amount]]-Table1[[#This Row],[Interest paid]]</f>
        <v>2257.2601220168499</v>
      </c>
      <c r="G28" s="20">
        <f>G27-Table1[[#This Row],[Principal repaid]]-Table1[[#This Row],[Annual paym]]</f>
        <v>709938.72434232372</v>
      </c>
      <c r="H28" s="20">
        <f>H27-(Table1[[#This Row],[Payment amount]]-Table1[[#This Row],[Interest Paid W/O LSP]])</f>
        <v>714907.85548594012</v>
      </c>
      <c r="I28">
        <f>H27*Table1[[#This Row],[Current mortgage rate]]</f>
        <v>2135.490467487225</v>
      </c>
      <c r="J28" s="25">
        <f>IF(Table1[[#This Row],[Month]]&gt;Table7[Amortization period (yrs)]*12,0,IF(Table1[[#This Row],[Month]]&lt;Table7[mortgage term (yrs)]*12,0,IF(Table1[[#This Row],[Month]]=Table7[mortgage term (yrs)]*12,-H$5,Table1[[#This Row],[Payment amount]]+B28)))</f>
        <v>0</v>
      </c>
      <c r="K28">
        <v>17</v>
      </c>
      <c r="L28">
        <f>Table7[Initial Monthly Deposit]*Table9[[#This Row],[Inflation Modifier]]</f>
        <v>408</v>
      </c>
      <c r="M28">
        <f xml:space="preserve"> (1+Table7[Inflation])^(QUOTIENT(Table9[[#This Row],[Month]]-1,12))</f>
        <v>1.02</v>
      </c>
      <c r="N28">
        <f>N27*(1+Table7[Monthly SF Inter])+Table9[[#This Row],[Monthly Payment]]-O27*(1+Table7[Monthly SF Inter])</f>
        <v>2056.8951055387242</v>
      </c>
      <c r="O28">
        <f>IF(MOD(Table9[[#This Row],[Month]],12)=0,(IF(Table9[[#This Row],[Current Balance]]&lt;Table9[[#This Row],[Max Lump Sum ]],Table9[[#This Row],[Current Balance]],Table9[[#This Row],[Max Lump Sum ]])),0)</f>
        <v>0</v>
      </c>
      <c r="P28" s="21">
        <f>Table7[Max annual lump sum repayment]*SUM(C29:C40)</f>
        <v>7880.3958913442566</v>
      </c>
      <c r="Q28" s="25">
        <f>Q27*(1+Table7[Monthly SF Inter])+Table9[[#This Row],[Inflation Modifier]]-R27*(1+Table7[Monthly SF Inter])</f>
        <v>5.1422377638468095</v>
      </c>
      <c r="R28" s="25">
        <f>IF(MOD(Table9[[#This Row],[Month]],12)=0,Table9[[#This Row],[Q2 ACC FACTOR]],0)</f>
        <v>0</v>
      </c>
      <c r="S28" s="25">
        <f>S27*(1+D27)+Table9[[#This Row],[ACC FACTOR PAYMENTS]]</f>
        <v>12.45981986497247</v>
      </c>
    </row>
    <row r="29" spans="1:19" x14ac:dyDescent="0.25">
      <c r="A29" s="1">
        <v>17</v>
      </c>
      <c r="B29" s="1">
        <f t="shared" si="0"/>
        <v>0</v>
      </c>
      <c r="C29" s="7">
        <f>G$12/-PV(Table7[Monthly mortgage rate], (12*Table7[Amortization period (yrs)]),1 )</f>
        <v>4377.9977174134756</v>
      </c>
      <c r="D29" s="11">
        <f>IF(Table1[[#This Row],[Month]]&lt;=(12*Table7[mortgage term (yrs)]),Table7[Monthly mortgage rate],Table7[Monthly Exp Renewal Rate])</f>
        <v>2.9777443873004739E-3</v>
      </c>
      <c r="E29" s="20">
        <f>Table1[[#This Row],[Current mortgage rate]]*G28</f>
        <v>2114.0160517376125</v>
      </c>
      <c r="F29" s="7">
        <f>Table1[[#This Row],[Payment amount]]-Table1[[#This Row],[Interest paid]]</f>
        <v>2263.981665675863</v>
      </c>
      <c r="G29" s="20">
        <f>G28-Table1[[#This Row],[Principal repaid]]-Table1[[#This Row],[Annual paym]]</f>
        <v>707674.74267664785</v>
      </c>
      <c r="H29" s="20">
        <f>H28-(Table1[[#This Row],[Payment amount]]-Table1[[#This Row],[Interest Paid W/O LSP]])</f>
        <v>712658.67062263691</v>
      </c>
      <c r="I29">
        <f>H28*Table1[[#This Row],[Current mortgage rate]]</f>
        <v>2128.8128541102765</v>
      </c>
      <c r="J29" s="25">
        <f>IF(Table1[[#This Row],[Month]]&gt;Table7[Amortization period (yrs)]*12,0,IF(Table1[[#This Row],[Month]]&lt;Table7[mortgage term (yrs)]*12,0,IF(Table1[[#This Row],[Month]]=Table7[mortgage term (yrs)]*12,-H$5,Table1[[#This Row],[Payment amount]]+B29)))</f>
        <v>0</v>
      </c>
      <c r="K29">
        <v>18</v>
      </c>
      <c r="L29">
        <f>Table7[Initial Monthly Deposit]*Table9[[#This Row],[Inflation Modifier]]</f>
        <v>408</v>
      </c>
      <c r="M29">
        <f xml:space="preserve"> (1+Table7[Inflation])^(QUOTIENT(Table9[[#This Row],[Month]]-1,12))</f>
        <v>1.02</v>
      </c>
      <c r="N29">
        <f>N28*(1+Table7[Monthly SF Inter])+Table9[[#This Row],[Monthly Payment]]-O28*(1+Table7[Monthly SF Inter])</f>
        <v>2473.377567074635</v>
      </c>
      <c r="O29">
        <f>IF(MOD(Table9[[#This Row],[Month]],12)=0,(IF(Table9[[#This Row],[Current Balance]]&lt;Table9[[#This Row],[Max Lump Sum ]],Table9[[#This Row],[Current Balance]],Table9[[#This Row],[Max Lump Sum ]])),0)</f>
        <v>0</v>
      </c>
      <c r="P29" s="21">
        <f>Table7[Max annual lump sum repayment]*SUM(C30:C41)</f>
        <v>7880.3958913442566</v>
      </c>
      <c r="Q29" s="25">
        <f>Q28*(1+Table7[Monthly SF Inter])+Table9[[#This Row],[Inflation Modifier]]-R28*(1+Table7[Monthly SF Inter])</f>
        <v>6.1834439176865867</v>
      </c>
      <c r="R29" s="25">
        <f>IF(MOD(Table9[[#This Row],[Month]],12)=0,Table9[[#This Row],[Q2 ACC FACTOR]],0)</f>
        <v>0</v>
      </c>
      <c r="S29" s="25">
        <f>S28*(1+D28)+Table9[[#This Row],[ACC FACTOR PAYMENTS]]</f>
        <v>12.496922023642167</v>
      </c>
    </row>
    <row r="30" spans="1:19" x14ac:dyDescent="0.25">
      <c r="A30" s="1">
        <v>18</v>
      </c>
      <c r="B30" s="1">
        <f t="shared" si="0"/>
        <v>0</v>
      </c>
      <c r="C30" s="7">
        <f>G$12/-PV(Table7[Monthly mortgage rate], (12*Table7[Amortization period (yrs)]),1 )</f>
        <v>4377.9977174134756</v>
      </c>
      <c r="D30" s="11">
        <f>IF(Table1[[#This Row],[Month]]&lt;=(12*Table7[mortgage term (yrs)]),Table7[Monthly mortgage rate],Table7[Monthly Exp Renewal Rate])</f>
        <v>2.9777443873004739E-3</v>
      </c>
      <c r="E30" s="20">
        <f>Table1[[#This Row],[Current mortgage rate]]*G29</f>
        <v>2107.2744930396952</v>
      </c>
      <c r="F30" s="7">
        <f>Table1[[#This Row],[Payment amount]]-Table1[[#This Row],[Interest paid]]</f>
        <v>2270.7232243737803</v>
      </c>
      <c r="G30" s="20">
        <f>G29-Table1[[#This Row],[Principal repaid]]-Table1[[#This Row],[Annual paym]]</f>
        <v>705404.01945227408</v>
      </c>
      <c r="H30" s="20">
        <f>H29-(Table1[[#This Row],[Payment amount]]-Table1[[#This Row],[Interest Paid W/O LSP]])</f>
        <v>710402.78826173104</v>
      </c>
      <c r="I30">
        <f>H29*Table1[[#This Row],[Current mortgage rate]]</f>
        <v>2122.1153565075742</v>
      </c>
      <c r="J30" s="25">
        <f>IF(Table1[[#This Row],[Month]]&gt;Table7[Amortization period (yrs)]*12,0,IF(Table1[[#This Row],[Month]]&lt;Table7[mortgage term (yrs)]*12,0,IF(Table1[[#This Row],[Month]]=Table7[mortgage term (yrs)]*12,-H$5,Table1[[#This Row],[Payment amount]]+B30)))</f>
        <v>0</v>
      </c>
      <c r="K30">
        <v>19</v>
      </c>
      <c r="L30">
        <f>Table7[Initial Monthly Deposit]*Table9[[#This Row],[Inflation Modifier]]</f>
        <v>408</v>
      </c>
      <c r="M30">
        <f xml:space="preserve"> (1+Table7[Inflation])^(QUOTIENT(Table9[[#This Row],[Month]]-1,12))</f>
        <v>1.02</v>
      </c>
      <c r="N30">
        <f>N29*(1+Table7[Monthly SF Inter])+Table9[[#This Row],[Monthly Payment]]-O29*(1+Table7[Monthly SF Inter])</f>
        <v>2891.5775670746348</v>
      </c>
      <c r="O30">
        <f>IF(MOD(Table9[[#This Row],[Month]],12)=0,(IF(Table9[[#This Row],[Current Balance]]&lt;Table9[[#This Row],[Max Lump Sum ]],Table9[[#This Row],[Current Balance]],Table9[[#This Row],[Max Lump Sum ]])),0)</f>
        <v>0</v>
      </c>
      <c r="P30" s="21">
        <f>Table7[Max annual lump sum repayment]*SUM(C31:C42)</f>
        <v>7880.3958913442566</v>
      </c>
      <c r="Q30" s="25">
        <f>Q29*(1+Table7[Monthly SF Inter])+Table9[[#This Row],[Inflation Modifier]]-R29*(1+Table7[Monthly SF Inter])</f>
        <v>7.2289439176865873</v>
      </c>
      <c r="R30" s="25">
        <f>IF(MOD(Table9[[#This Row],[Month]],12)=0,Table9[[#This Row],[Q2 ACC FACTOR]],0)</f>
        <v>0</v>
      </c>
      <c r="S30" s="25">
        <f>S29*(1+D29)+Table9[[#This Row],[ACC FACTOR PAYMENTS]]</f>
        <v>12.5341346630566</v>
      </c>
    </row>
    <row r="31" spans="1:19" x14ac:dyDescent="0.25">
      <c r="A31" s="1">
        <v>19</v>
      </c>
      <c r="B31" s="1">
        <f t="shared" si="0"/>
        <v>0</v>
      </c>
      <c r="C31" s="7">
        <f>G$12/-PV(Table7[Monthly mortgage rate], (12*Table7[Amortization period (yrs)]),1 )</f>
        <v>4377.9977174134756</v>
      </c>
      <c r="D31" s="11">
        <f>IF(Table1[[#This Row],[Month]]&lt;=(12*Table7[mortgage term (yrs)]),Table7[Monthly mortgage rate],Table7[Monthly Exp Renewal Rate])</f>
        <v>2.9777443873004739E-3</v>
      </c>
      <c r="E31" s="20">
        <f>Table1[[#This Row],[Current mortgage rate]]*G30</f>
        <v>2100.5128597032035</v>
      </c>
      <c r="F31" s="7">
        <f>Table1[[#This Row],[Payment amount]]-Table1[[#This Row],[Interest paid]]</f>
        <v>2277.4848577102721</v>
      </c>
      <c r="G31" s="20">
        <f>G30-Table1[[#This Row],[Principal repaid]]-Table1[[#This Row],[Annual paym]]</f>
        <v>703126.53459456377</v>
      </c>
      <c r="H31" s="20">
        <f>H30-(Table1[[#This Row],[Payment amount]]-Table1[[#This Row],[Interest Paid W/O LSP]])</f>
        <v>708140.18845978659</v>
      </c>
      <c r="I31">
        <f>H30*Table1[[#This Row],[Current mortgage rate]]</f>
        <v>2115.3979154689764</v>
      </c>
      <c r="J31" s="25">
        <f>IF(Table1[[#This Row],[Month]]&gt;Table7[Amortization period (yrs)]*12,0,IF(Table1[[#This Row],[Month]]&lt;Table7[mortgage term (yrs)]*12,0,IF(Table1[[#This Row],[Month]]=Table7[mortgage term (yrs)]*12,-H$5,Table1[[#This Row],[Payment amount]]+B31)))</f>
        <v>0</v>
      </c>
      <c r="K31">
        <v>20</v>
      </c>
      <c r="L31">
        <f>Table7[Initial Monthly Deposit]*Table9[[#This Row],[Inflation Modifier]]</f>
        <v>408</v>
      </c>
      <c r="M31">
        <f xml:space="preserve"> (1+Table7[Inflation])^(QUOTIENT(Table9[[#This Row],[Month]]-1,12))</f>
        <v>1.02</v>
      </c>
      <c r="N31">
        <f>N30*(1+Table7[Monthly SF Inter])+Table9[[#This Row],[Monthly Payment]]-O30*(1+Table7[Monthly SF Inter])</f>
        <v>3311.5021885221581</v>
      </c>
      <c r="O31">
        <f>IF(MOD(Table9[[#This Row],[Month]],12)=0,(IF(Table9[[#This Row],[Current Balance]]&lt;Table9[[#This Row],[Max Lump Sum ]],Table9[[#This Row],[Current Balance]],Table9[[#This Row],[Max Lump Sum ]])),0)</f>
        <v>0</v>
      </c>
      <c r="P31" s="21">
        <f>Table7[Max annual lump sum repayment]*SUM(C32:C43)</f>
        <v>7880.3958913442566</v>
      </c>
      <c r="Q31" s="25">
        <f>Q30*(1+Table7[Monthly SF Inter])+Table9[[#This Row],[Inflation Modifier]]-R30*(1+Table7[Monthly SF Inter])</f>
        <v>8.278755471305395</v>
      </c>
      <c r="R31" s="25">
        <f>IF(MOD(Table9[[#This Row],[Month]],12)=0,Table9[[#This Row],[Q2 ACC FACTOR]],0)</f>
        <v>0</v>
      </c>
      <c r="S31" s="25">
        <f>S30*(1+D30)+Table9[[#This Row],[ACC FACTOR PAYMENTS]]</f>
        <v>12.571458112199185</v>
      </c>
    </row>
    <row r="32" spans="1:19" x14ac:dyDescent="0.25">
      <c r="A32" s="1">
        <v>20</v>
      </c>
      <c r="B32" s="1">
        <f t="shared" si="0"/>
        <v>0</v>
      </c>
      <c r="C32" s="7">
        <f>G$12/-PV(Table7[Monthly mortgage rate], (12*Table7[Amortization period (yrs)]),1 )</f>
        <v>4377.9977174134756</v>
      </c>
      <c r="D32" s="11">
        <f>IF(Table1[[#This Row],[Month]]&lt;=(12*Table7[mortgage term (yrs)]),Table7[Monthly mortgage rate],Table7[Monthly Exp Renewal Rate])</f>
        <v>2.9777443873004739E-3</v>
      </c>
      <c r="E32" s="20">
        <f>Table1[[#This Row],[Current mortgage rate]]*G31</f>
        <v>2093.7310919509946</v>
      </c>
      <c r="F32" s="7">
        <f>Table1[[#This Row],[Payment amount]]-Table1[[#This Row],[Interest paid]]</f>
        <v>2284.266625462481</v>
      </c>
      <c r="G32" s="20">
        <f>G31-Table1[[#This Row],[Principal repaid]]-Table1[[#This Row],[Annual paym]]</f>
        <v>700842.26796910132</v>
      </c>
      <c r="H32" s="20">
        <f>H31-(Table1[[#This Row],[Payment amount]]-Table1[[#This Row],[Interest Paid W/O LSP]])</f>
        <v>705870.85121398116</v>
      </c>
      <c r="I32">
        <f>H31*Table1[[#This Row],[Current mortgage rate]]</f>
        <v>2108.6604716080292</v>
      </c>
      <c r="J32" s="25">
        <f>IF(Table1[[#This Row],[Month]]&gt;Table7[Amortization period (yrs)]*12,0,IF(Table1[[#This Row],[Month]]&lt;Table7[mortgage term (yrs)]*12,0,IF(Table1[[#This Row],[Month]]=Table7[mortgage term (yrs)]*12,-H$5,Table1[[#This Row],[Payment amount]]+B32)))</f>
        <v>0</v>
      </c>
      <c r="K32">
        <v>21</v>
      </c>
      <c r="L32">
        <f>Table7[Initial Monthly Deposit]*Table9[[#This Row],[Inflation Modifier]]</f>
        <v>408</v>
      </c>
      <c r="M32">
        <f xml:space="preserve"> (1+Table7[Inflation])^(QUOTIENT(Table9[[#This Row],[Month]]-1,12))</f>
        <v>1.02</v>
      </c>
      <c r="N32">
        <f>N31*(1+Table7[Monthly SF Inter])+Table9[[#This Row],[Monthly Payment]]-O31*(1+Table7[Monthly SF Inter])</f>
        <v>3733.1585436102637</v>
      </c>
      <c r="O32">
        <f>IF(MOD(Table9[[#This Row],[Month]],12)=0,(IF(Table9[[#This Row],[Current Balance]]&lt;Table9[[#This Row],[Max Lump Sum ]],Table9[[#This Row],[Current Balance]],Table9[[#This Row],[Max Lump Sum ]])),0)</f>
        <v>0</v>
      </c>
      <c r="P32" s="21">
        <f>Table7[Max annual lump sum repayment]*SUM(C33:C44)</f>
        <v>7880.3958913442566</v>
      </c>
      <c r="Q32" s="25">
        <f>Q31*(1+Table7[Monthly SF Inter])+Table9[[#This Row],[Inflation Modifier]]-R31*(1+Table7[Monthly SF Inter])</f>
        <v>9.3328963590256588</v>
      </c>
      <c r="R32" s="25">
        <f>IF(MOD(Table9[[#This Row],[Month]],12)=0,Table9[[#This Row],[Q2 ACC FACTOR]],0)</f>
        <v>0</v>
      </c>
      <c r="S32" s="25">
        <f>S31*(1+D31)+Table9[[#This Row],[ACC FACTOR PAYMENTS]]</f>
        <v>12.608892701032969</v>
      </c>
    </row>
    <row r="33" spans="1:19" x14ac:dyDescent="0.25">
      <c r="A33" s="1">
        <v>21</v>
      </c>
      <c r="B33" s="1">
        <f t="shared" si="0"/>
        <v>0</v>
      </c>
      <c r="C33" s="7">
        <f>G$12/-PV(Table7[Monthly mortgage rate], (12*Table7[Amortization period (yrs)]),1 )</f>
        <v>4377.9977174134756</v>
      </c>
      <c r="D33" s="11">
        <f>IF(Table1[[#This Row],[Month]]&lt;=(12*Table7[mortgage term (yrs)]),Table7[Monthly mortgage rate],Table7[Monthly Exp Renewal Rate])</f>
        <v>2.9777443873004739E-3</v>
      </c>
      <c r="E33" s="20">
        <f>Table1[[#This Row],[Current mortgage rate]]*G32</f>
        <v>2086.9291298279263</v>
      </c>
      <c r="F33" s="7">
        <f>Table1[[#This Row],[Payment amount]]-Table1[[#This Row],[Interest paid]]</f>
        <v>2291.0685875855493</v>
      </c>
      <c r="G33" s="20">
        <f>G32-Table1[[#This Row],[Principal repaid]]-Table1[[#This Row],[Annual paym]]</f>
        <v>698551.19938151573</v>
      </c>
      <c r="H33" s="20">
        <f>H32-(Table1[[#This Row],[Payment amount]]-Table1[[#This Row],[Interest Paid W/O LSP]])</f>
        <v>703594.75646192918</v>
      </c>
      <c r="I33">
        <f>H32*Table1[[#This Row],[Current mortgage rate]]</f>
        <v>2101.9029653614402</v>
      </c>
      <c r="J33" s="25">
        <f>IF(Table1[[#This Row],[Month]]&gt;Table7[Amortization period (yrs)]*12,0,IF(Table1[[#This Row],[Month]]&lt;Table7[mortgage term (yrs)]*12,0,IF(Table1[[#This Row],[Month]]=Table7[mortgage term (yrs)]*12,-H$5,Table1[[#This Row],[Payment amount]]+B33)))</f>
        <v>0</v>
      </c>
      <c r="K33">
        <v>22</v>
      </c>
      <c r="L33">
        <f>Table7[Initial Monthly Deposit]*Table9[[#This Row],[Inflation Modifier]]</f>
        <v>408</v>
      </c>
      <c r="M33">
        <f xml:space="preserve"> (1+Table7[Inflation])^(QUOTIENT(Table9[[#This Row],[Month]]-1,12))</f>
        <v>1.02</v>
      </c>
      <c r="N33">
        <f>N32*(1+Table7[Monthly SF Inter])+Table9[[#This Row],[Monthly Payment]]-O32*(1+Table7[Monthly SF Inter])</f>
        <v>4156.5537738620933</v>
      </c>
      <c r="O33">
        <f>IF(MOD(Table9[[#This Row],[Month]],12)=0,(IF(Table9[[#This Row],[Current Balance]]&lt;Table9[[#This Row],[Max Lump Sum ]],Table9[[#This Row],[Current Balance]],Table9[[#This Row],[Max Lump Sum ]])),0)</f>
        <v>0</v>
      </c>
      <c r="P33" s="21">
        <f>Table7[Max annual lump sum repayment]*SUM(C34:C45)</f>
        <v>7880.3958913442566</v>
      </c>
      <c r="Q33" s="25">
        <f>Q32*(1+Table7[Monthly SF Inter])+Table9[[#This Row],[Inflation Modifier]]-R32*(1+Table7[Monthly SF Inter])</f>
        <v>10.391384434655233</v>
      </c>
      <c r="R33" s="25">
        <f>IF(MOD(Table9[[#This Row],[Month]],12)=0,Table9[[#This Row],[Q2 ACC FACTOR]],0)</f>
        <v>0</v>
      </c>
      <c r="S33" s="25">
        <f>S32*(1+D32)+Table9[[#This Row],[ACC FACTOR PAYMENTS]]</f>
        <v>12.646438760503544</v>
      </c>
    </row>
    <row r="34" spans="1:19" x14ac:dyDescent="0.25">
      <c r="A34" s="1">
        <v>22</v>
      </c>
      <c r="B34" s="1">
        <f t="shared" si="0"/>
        <v>0</v>
      </c>
      <c r="C34" s="7">
        <f>G$12/-PV(Table7[Monthly mortgage rate], (12*Table7[Amortization period (yrs)]),1 )</f>
        <v>4377.9977174134756</v>
      </c>
      <c r="D34" s="11">
        <f>IF(Table1[[#This Row],[Month]]&lt;=(12*Table7[mortgage term (yrs)]),Table7[Monthly mortgage rate],Table7[Monthly Exp Renewal Rate])</f>
        <v>2.9777443873004739E-3</v>
      </c>
      <c r="E34" s="20">
        <f>Table1[[#This Row],[Current mortgage rate]]*G33</f>
        <v>2080.1069132003227</v>
      </c>
      <c r="F34" s="7">
        <f>Table1[[#This Row],[Payment amount]]-Table1[[#This Row],[Interest paid]]</f>
        <v>2297.8908042131529</v>
      </c>
      <c r="G34" s="20">
        <f>G33-Table1[[#This Row],[Principal repaid]]-Table1[[#This Row],[Annual paym]]</f>
        <v>696253.30857730261</v>
      </c>
      <c r="H34" s="20">
        <f>H33-(Table1[[#This Row],[Payment amount]]-Table1[[#This Row],[Interest Paid W/O LSP]])</f>
        <v>701311.88408150431</v>
      </c>
      <c r="I34">
        <f>H33*Table1[[#This Row],[Current mortgage rate]]</f>
        <v>2095.1253369885535</v>
      </c>
      <c r="J34" s="25">
        <f>IF(Table1[[#This Row],[Month]]&gt;Table7[Amortization period (yrs)]*12,0,IF(Table1[[#This Row],[Month]]&lt;Table7[mortgage term (yrs)]*12,0,IF(Table1[[#This Row],[Month]]=Table7[mortgage term (yrs)]*12,-H$5,Table1[[#This Row],[Payment amount]]+B34)))</f>
        <v>0</v>
      </c>
      <c r="K34">
        <v>23</v>
      </c>
      <c r="L34">
        <f>Table7[Initial Monthly Deposit]*Table9[[#This Row],[Inflation Modifier]]</f>
        <v>408</v>
      </c>
      <c r="M34">
        <f xml:space="preserve"> (1+Table7[Inflation])^(QUOTIENT(Table9[[#This Row],[Month]]-1,12))</f>
        <v>1.02</v>
      </c>
      <c r="N34">
        <f>N33*(1+Table7[Monthly SF Inter])+Table9[[#This Row],[Monthly Payment]]-O33*(1+Table7[Monthly SF Inter])</f>
        <v>4581.6950502518266</v>
      </c>
      <c r="O34">
        <f>IF(MOD(Table9[[#This Row],[Month]],12)=0,(IF(Table9[[#This Row],[Current Balance]]&lt;Table9[[#This Row],[Max Lump Sum ]],Table9[[#This Row],[Current Balance]],Table9[[#This Row],[Max Lump Sum ]])),0)</f>
        <v>0</v>
      </c>
      <c r="P34" s="21">
        <f>Table7[Max annual lump sum repayment]*SUM(C35:C46)</f>
        <v>7880.3958913442566</v>
      </c>
      <c r="Q34" s="25">
        <f>Q33*(1+Table7[Monthly SF Inter])+Table9[[#This Row],[Inflation Modifier]]-R33*(1+Table7[Monthly SF Inter])</f>
        <v>11.454237625629567</v>
      </c>
      <c r="R34" s="25">
        <f>IF(MOD(Table9[[#This Row],[Month]],12)=0,Table9[[#This Row],[Q2 ACC FACTOR]],0)</f>
        <v>0</v>
      </c>
      <c r="S34" s="25">
        <f>S33*(1+D33)+Table9[[#This Row],[ACC FACTOR PAYMENTS]]</f>
        <v>12.684096622541974</v>
      </c>
    </row>
    <row r="35" spans="1:19" x14ac:dyDescent="0.25">
      <c r="A35" s="1">
        <v>23</v>
      </c>
      <c r="B35" s="1">
        <f t="shared" si="0"/>
        <v>0</v>
      </c>
      <c r="C35" s="7">
        <f>G$12/-PV(Table7[Monthly mortgage rate], (12*Table7[Amortization period (yrs)]),1 )</f>
        <v>4377.9977174134756</v>
      </c>
      <c r="D35" s="11">
        <f>IF(Table1[[#This Row],[Month]]&lt;=(12*Table7[mortgage term (yrs)]),Table7[Monthly mortgage rate],Table7[Monthly Exp Renewal Rate])</f>
        <v>2.9777443873004739E-3</v>
      </c>
      <c r="E35" s="20">
        <f>Table1[[#This Row],[Current mortgage rate]]*G34</f>
        <v>2073.2643817554476</v>
      </c>
      <c r="F35" s="7">
        <f>Table1[[#This Row],[Payment amount]]-Table1[[#This Row],[Interest paid]]</f>
        <v>2304.733335658028</v>
      </c>
      <c r="G35" s="20">
        <f>G34-Table1[[#This Row],[Principal repaid]]-Table1[[#This Row],[Annual paym]]</f>
        <v>693948.57524164463</v>
      </c>
      <c r="H35" s="20">
        <f>H34-(Table1[[#This Row],[Payment amount]]-Table1[[#This Row],[Interest Paid W/O LSP]])</f>
        <v>699022.2138906616</v>
      </c>
      <c r="I35">
        <f>H34*Table1[[#This Row],[Current mortgage rate]]</f>
        <v>2088.3275265708198</v>
      </c>
      <c r="J35" s="25">
        <f>IF(Table1[[#This Row],[Month]]&gt;Table7[Amortization period (yrs)]*12,0,IF(Table1[[#This Row],[Month]]&lt;Table7[mortgage term (yrs)]*12,0,IF(Table1[[#This Row],[Month]]=Table7[mortgage term (yrs)]*12,-H$5,Table1[[#This Row],[Payment amount]]+B35)))</f>
        <v>0</v>
      </c>
      <c r="K35">
        <v>24</v>
      </c>
      <c r="L35">
        <f>Table7[Initial Monthly Deposit]*Table9[[#This Row],[Inflation Modifier]]</f>
        <v>408</v>
      </c>
      <c r="M35">
        <f xml:space="preserve"> (1+Table7[Inflation])^(QUOTIENT(Table9[[#This Row],[Month]]-1,12))</f>
        <v>1.02</v>
      </c>
      <c r="N35">
        <f>N34*(1+Table7[Monthly SF Inter])+Table9[[#This Row],[Monthly Payment]]-O34*(1+Table7[Monthly SF Inter])</f>
        <v>5008.589573326135</v>
      </c>
      <c r="O35">
        <f>IF(MOD(Table9[[#This Row],[Month]],12)=0,(IF(Table9[[#This Row],[Current Balance]]&lt;Table9[[#This Row],[Max Lump Sum ]],Table9[[#This Row],[Current Balance]],Table9[[#This Row],[Max Lump Sum ]])),0)</f>
        <v>5008.589573326135</v>
      </c>
      <c r="P35" s="21">
        <f>Table7[Max annual lump sum repayment]*SUM(C36:C47)</f>
        <v>7880.3958913442566</v>
      </c>
      <c r="Q35" s="25">
        <f>Q34*(1+Table7[Monthly SF Inter])+Table9[[#This Row],[Inflation Modifier]]-R34*(1+Table7[Monthly SF Inter])</f>
        <v>12.521473933315336</v>
      </c>
      <c r="R35" s="25">
        <f>IF(MOD(Table9[[#This Row],[Month]],12)=0,Table9[[#This Row],[Q2 ACC FACTOR]],0)</f>
        <v>12.521473933315336</v>
      </c>
      <c r="S35" s="25">
        <f>S34*(1+D34)+Table9[[#This Row],[ACC FACTOR PAYMENTS]]</f>
        <v>25.243340553383064</v>
      </c>
    </row>
    <row r="36" spans="1:19" x14ac:dyDescent="0.25">
      <c r="A36" s="1">
        <v>24</v>
      </c>
      <c r="B36" s="1">
        <f t="shared" si="0"/>
        <v>5008.589573326135</v>
      </c>
      <c r="C36" s="7">
        <f>G$12/-PV(Table7[Monthly mortgage rate], (12*Table7[Amortization period (yrs)]),1 )</f>
        <v>4377.9977174134756</v>
      </c>
      <c r="D36" s="11">
        <f>IF(Table1[[#This Row],[Month]]&lt;=(12*Table7[mortgage term (yrs)]),Table7[Monthly mortgage rate],Table7[Monthly Exp Renewal Rate])</f>
        <v>2.9777443873004739E-3</v>
      </c>
      <c r="E36" s="20">
        <f>Table1[[#This Row],[Current mortgage rate]]*G35</f>
        <v>2066.4014750009678</v>
      </c>
      <c r="F36" s="7">
        <f>Table1[[#This Row],[Payment amount]]-Table1[[#This Row],[Interest paid]]</f>
        <v>2311.5962424125078</v>
      </c>
      <c r="G36" s="20">
        <f>G35-Table1[[#This Row],[Principal repaid]]-Table1[[#This Row],[Annual paym]]</f>
        <v>686628.389425906</v>
      </c>
      <c r="H36" s="20">
        <f>H35-(Table1[[#This Row],[Payment amount]]-Table1[[#This Row],[Interest Paid W/O LSP]])</f>
        <v>696725.72564725939</v>
      </c>
      <c r="I36">
        <f>H35*Table1[[#This Row],[Current mortgage rate]]</f>
        <v>2081.509474011269</v>
      </c>
      <c r="J36" s="25">
        <f>IF(Table1[[#This Row],[Month]]&gt;Table7[Amortization period (yrs)]*12,0,IF(Table1[[#This Row],[Month]]&lt;Table7[mortgage term (yrs)]*12,0,IF(Table1[[#This Row],[Month]]=Table7[mortgage term (yrs)]*12,-H$5,Table1[[#This Row],[Payment amount]]+B36)))</f>
        <v>0</v>
      </c>
      <c r="K36">
        <v>25</v>
      </c>
      <c r="L36">
        <f>Table7[Initial Monthly Deposit]*Table9[[#This Row],[Inflation Modifier]]</f>
        <v>416.15999999999997</v>
      </c>
      <c r="M36">
        <f xml:space="preserve"> (1+Table7[Inflation])^(QUOTIENT(Table9[[#This Row],[Month]]-1,12))</f>
        <v>1.0404</v>
      </c>
      <c r="N36">
        <f>N35*(1+Table7[Monthly SF Inter])+Table9[[#This Row],[Monthly Payment]]-O35*(1+Table7[Monthly SF Inter])</f>
        <v>416.15999999999985</v>
      </c>
      <c r="O36">
        <f>IF(MOD(Table9[[#This Row],[Month]],12)=0,(IF(Table9[[#This Row],[Current Balance]]&lt;Table9[[#This Row],[Max Lump Sum ]],Table9[[#This Row],[Current Balance]],Table9[[#This Row],[Max Lump Sum ]])),0)</f>
        <v>0</v>
      </c>
      <c r="P36" s="21">
        <f>Table7[Max annual lump sum repayment]*SUM(C37:C48)</f>
        <v>7880.3958913442566</v>
      </c>
      <c r="Q36" s="25">
        <f>Q35*(1+Table7[Monthly SF Inter])+Table9[[#This Row],[Inflation Modifier]]-R35*(1+Table7[Monthly SF Inter])</f>
        <v>1.0404</v>
      </c>
      <c r="R36" s="25">
        <f>IF(MOD(Table9[[#This Row],[Month]],12)=0,Table9[[#This Row],[Q2 ACC FACTOR]],0)</f>
        <v>0</v>
      </c>
      <c r="S36" s="25">
        <f>S35*(1+D35)+Table9[[#This Row],[ACC FACTOR PAYMENTS]]</f>
        <v>25.318508769032615</v>
      </c>
    </row>
    <row r="37" spans="1:19" x14ac:dyDescent="0.25">
      <c r="A37" s="1">
        <v>25</v>
      </c>
      <c r="B37" s="1">
        <f t="shared" si="0"/>
        <v>0</v>
      </c>
      <c r="C37" s="7">
        <f>G$12/-PV(Table7[Monthly mortgage rate], (12*Table7[Amortization period (yrs)]),1 )</f>
        <v>4377.9977174134756</v>
      </c>
      <c r="D37" s="11">
        <f>IF(Table1[[#This Row],[Month]]&lt;=(12*Table7[mortgage term (yrs)]),Table7[Monthly mortgage rate],Table7[Monthly Exp Renewal Rate])</f>
        <v>2.9777443873004739E-3</v>
      </c>
      <c r="E37" s="20">
        <f>Table1[[#This Row],[Current mortgage rate]]*G36</f>
        <v>2044.6038327741555</v>
      </c>
      <c r="F37" s="7">
        <f>Table1[[#This Row],[Payment amount]]-Table1[[#This Row],[Interest paid]]</f>
        <v>2333.3938846393203</v>
      </c>
      <c r="G37" s="20">
        <f>G36-Table1[[#This Row],[Principal repaid]]-Table1[[#This Row],[Annual paym]]</f>
        <v>684294.99554126663</v>
      </c>
      <c r="H37" s="20">
        <f>H36-(Table1[[#This Row],[Payment amount]]-Table1[[#This Row],[Interest Paid W/O LSP]])</f>
        <v>694422.39904887986</v>
      </c>
      <c r="I37">
        <f>H36*Table1[[#This Row],[Current mortgage rate]]</f>
        <v>2074.6711190339765</v>
      </c>
      <c r="J37" s="25">
        <f>IF(Table1[[#This Row],[Month]]&gt;Table7[Amortization period (yrs)]*12,0,IF(Table1[[#This Row],[Month]]&lt;Table7[mortgage term (yrs)]*12,0,IF(Table1[[#This Row],[Month]]=Table7[mortgage term (yrs)]*12,-H$5,Table1[[#This Row],[Payment amount]]+B37)))</f>
        <v>0</v>
      </c>
      <c r="K37">
        <v>26</v>
      </c>
      <c r="L37">
        <f>Table7[Initial Monthly Deposit]*Table9[[#This Row],[Inflation Modifier]]</f>
        <v>416.15999999999997</v>
      </c>
      <c r="M37">
        <f xml:space="preserve"> (1+Table7[Inflation])^(QUOTIENT(Table9[[#This Row],[Month]]-1,12))</f>
        <v>1.0404</v>
      </c>
      <c r="N37">
        <f>N36*(1+Table7[Monthly SF Inter])+Table9[[#This Row],[Monthly Payment]]-O36*(1+Table7[Monthly SF Inter])</f>
        <v>834.03620865997425</v>
      </c>
      <c r="O37">
        <f>IF(MOD(Table9[[#This Row],[Month]],12)=0,(IF(Table9[[#This Row],[Current Balance]]&lt;Table9[[#This Row],[Max Lump Sum ]],Table9[[#This Row],[Current Balance]],Table9[[#This Row],[Max Lump Sum ]])),0)</f>
        <v>0</v>
      </c>
      <c r="P37" s="21">
        <f>Table7[Max annual lump sum repayment]*SUM(C38:C49)</f>
        <v>7880.3958913442566</v>
      </c>
      <c r="Q37" s="25">
        <f>Q36*(1+Table7[Monthly SF Inter])+Table9[[#This Row],[Inflation Modifier]]-R36*(1+Table7[Monthly SF Inter])</f>
        <v>2.0850905216499358</v>
      </c>
      <c r="R37" s="25">
        <f>IF(MOD(Table9[[#This Row],[Month]],12)=0,Table9[[#This Row],[Q2 ACC FACTOR]],0)</f>
        <v>0</v>
      </c>
      <c r="S37" s="25">
        <f>S36*(1+D36)+Table9[[#This Row],[ACC FACTOR PAYMENTS]]</f>
        <v>25.393900816414419</v>
      </c>
    </row>
    <row r="38" spans="1:19" x14ac:dyDescent="0.25">
      <c r="A38" s="1">
        <v>26</v>
      </c>
      <c r="B38" s="1">
        <f t="shared" si="0"/>
        <v>0</v>
      </c>
      <c r="C38" s="7">
        <f>G$12/-PV(Table7[Monthly mortgage rate], (12*Table7[Amortization period (yrs)]),1 )</f>
        <v>4377.9977174134756</v>
      </c>
      <c r="D38" s="11">
        <f>IF(Table1[[#This Row],[Month]]&lt;=(12*Table7[mortgage term (yrs)]),Table7[Monthly mortgage rate],Table7[Monthly Exp Renewal Rate])</f>
        <v>2.9777443873004739E-3</v>
      </c>
      <c r="E38" s="20">
        <f>Table1[[#This Row],[Current mortgage rate]]*G37</f>
        <v>2037.6555822308094</v>
      </c>
      <c r="F38" s="7">
        <f>Table1[[#This Row],[Payment amount]]-Table1[[#This Row],[Interest paid]]</f>
        <v>2340.3421351826664</v>
      </c>
      <c r="G38" s="20">
        <f>G37-Table1[[#This Row],[Principal repaid]]-Table1[[#This Row],[Annual paym]]</f>
        <v>681954.65340608393</v>
      </c>
      <c r="H38" s="20">
        <f>H37-(Table1[[#This Row],[Payment amount]]-Table1[[#This Row],[Interest Paid W/O LSP]])</f>
        <v>692112.21373264992</v>
      </c>
      <c r="I38">
        <f>H37*Table1[[#This Row],[Current mortgage rate]]</f>
        <v>2067.8124011835321</v>
      </c>
      <c r="J38" s="25">
        <f>IF(Table1[[#This Row],[Month]]&gt;Table7[Amortization period (yrs)]*12,0,IF(Table1[[#This Row],[Month]]&lt;Table7[mortgage term (yrs)]*12,0,IF(Table1[[#This Row],[Month]]=Table7[mortgage term (yrs)]*12,-H$5,Table1[[#This Row],[Payment amount]]+B38)))</f>
        <v>0</v>
      </c>
      <c r="K38">
        <v>27</v>
      </c>
      <c r="L38">
        <f>Table7[Initial Monthly Deposit]*Table9[[#This Row],[Inflation Modifier]]</f>
        <v>416.15999999999997</v>
      </c>
      <c r="M38">
        <f xml:space="preserve"> (1+Table7[Inflation])^(QUOTIENT(Table9[[#This Row],[Month]]-1,12))</f>
        <v>1.0404</v>
      </c>
      <c r="N38">
        <f>N37*(1+Table7[Monthly SF Inter])+Table9[[#This Row],[Monthly Payment]]-O37*(1+Table7[Monthly SF Inter])</f>
        <v>1253.6357034793573</v>
      </c>
      <c r="O38">
        <f>IF(MOD(Table9[[#This Row],[Month]],12)=0,(IF(Table9[[#This Row],[Current Balance]]&lt;Table9[[#This Row],[Max Lump Sum ]],Table9[[#This Row],[Current Balance]],Table9[[#This Row],[Max Lump Sum ]])),0)</f>
        <v>0</v>
      </c>
      <c r="P38" s="21">
        <f>Table7[Max annual lump sum repayment]*SUM(C39:C50)</f>
        <v>7880.3958913442566</v>
      </c>
      <c r="Q38" s="25">
        <f>Q37*(1+Table7[Monthly SF Inter])+Table9[[#This Row],[Inflation Modifier]]-R37*(1+Table7[Monthly SF Inter])</f>
        <v>3.1340892586983937</v>
      </c>
      <c r="R38" s="25">
        <f>IF(MOD(Table9[[#This Row],[Month]],12)=0,Table9[[#This Row],[Q2 ACC FACTOR]],0)</f>
        <v>0</v>
      </c>
      <c r="S38" s="25">
        <f>S37*(1+D37)+Table9[[#This Row],[ACC FACTOR PAYMENTS]]</f>
        <v>25.469517362042161</v>
      </c>
    </row>
    <row r="39" spans="1:19" x14ac:dyDescent="0.25">
      <c r="A39" s="1">
        <v>27</v>
      </c>
      <c r="B39" s="1">
        <f t="shared" si="0"/>
        <v>0</v>
      </c>
      <c r="C39" s="7">
        <f>G$12/-PV(Table7[Monthly mortgage rate], (12*Table7[Amortization period (yrs)]),1 )</f>
        <v>4377.9977174134756</v>
      </c>
      <c r="D39" s="11">
        <f>IF(Table1[[#This Row],[Month]]&lt;=(12*Table7[mortgage term (yrs)]),Table7[Monthly mortgage rate],Table7[Monthly Exp Renewal Rate])</f>
        <v>2.9777443873004739E-3</v>
      </c>
      <c r="E39" s="20">
        <f>Table1[[#This Row],[Current mortgage rate]]*G38</f>
        <v>2030.6866415734064</v>
      </c>
      <c r="F39" s="7">
        <f>Table1[[#This Row],[Payment amount]]-Table1[[#This Row],[Interest paid]]</f>
        <v>2347.311075840069</v>
      </c>
      <c r="G39" s="20">
        <f>G38-Table1[[#This Row],[Principal repaid]]-Table1[[#This Row],[Annual paym]]</f>
        <v>679607.3423302439</v>
      </c>
      <c r="H39" s="20">
        <f>H38-(Table1[[#This Row],[Payment amount]]-Table1[[#This Row],[Interest Paid W/O LSP]])</f>
        <v>689795.14927506098</v>
      </c>
      <c r="I39">
        <f>H38*Table1[[#This Row],[Current mortgage rate]]</f>
        <v>2060.9332598245041</v>
      </c>
      <c r="J39" s="25">
        <f>IF(Table1[[#This Row],[Month]]&gt;Table7[Amortization period (yrs)]*12,0,IF(Table1[[#This Row],[Month]]&lt;Table7[mortgage term (yrs)]*12,0,IF(Table1[[#This Row],[Month]]=Table7[mortgage term (yrs)]*12,-H$5,Table1[[#This Row],[Payment amount]]+B39)))</f>
        <v>0</v>
      </c>
      <c r="K39">
        <v>28</v>
      </c>
      <c r="L39">
        <f>Table7[Initial Monthly Deposit]*Table9[[#This Row],[Inflation Modifier]]</f>
        <v>416.15999999999997</v>
      </c>
      <c r="M39">
        <f xml:space="preserve"> (1+Table7[Inflation])^(QUOTIENT(Table9[[#This Row],[Month]]-1,12))</f>
        <v>1.0404</v>
      </c>
      <c r="N39">
        <f>N38*(1+Table7[Monthly SF Inter])+Table9[[#This Row],[Monthly Payment]]-O38*(1+Table7[Monthly SF Inter])</f>
        <v>1674.965591144593</v>
      </c>
      <c r="O39">
        <f>IF(MOD(Table9[[#This Row],[Month]],12)=0,(IF(Table9[[#This Row],[Current Balance]]&lt;Table9[[#This Row],[Max Lump Sum ]],Table9[[#This Row],[Current Balance]],Table9[[#This Row],[Max Lump Sum ]])),0)</f>
        <v>0</v>
      </c>
      <c r="P39" s="21">
        <f>Table7[Max annual lump sum repayment]*SUM(C40:C51)</f>
        <v>7880.3958913442566</v>
      </c>
      <c r="Q39" s="25">
        <f>Q38*(1+Table7[Monthly SF Inter])+Table9[[#This Row],[Inflation Modifier]]-R38*(1+Table7[Monthly SF Inter])</f>
        <v>4.1874139778614818</v>
      </c>
      <c r="R39" s="25">
        <f>IF(MOD(Table9[[#This Row],[Month]],12)=0,Table9[[#This Row],[Q2 ACC FACTOR]],0)</f>
        <v>0</v>
      </c>
      <c r="S39" s="25">
        <f>S38*(1+D38)+Table9[[#This Row],[ACC FACTOR PAYMENTS]]</f>
        <v>25.545359074414236</v>
      </c>
    </row>
    <row r="40" spans="1:19" x14ac:dyDescent="0.25">
      <c r="A40" s="1">
        <v>28</v>
      </c>
      <c r="B40" s="1">
        <f t="shared" si="0"/>
        <v>0</v>
      </c>
      <c r="C40" s="7">
        <f>G$12/-PV(Table7[Monthly mortgage rate], (12*Table7[Amortization period (yrs)]),1 )</f>
        <v>4377.9977174134756</v>
      </c>
      <c r="D40" s="11">
        <f>IF(Table1[[#This Row],[Month]]&lt;=(12*Table7[mortgage term (yrs)]),Table7[Monthly mortgage rate],Table7[Monthly Exp Renewal Rate])</f>
        <v>2.9777443873004739E-3</v>
      </c>
      <c r="E40" s="20">
        <f>Table1[[#This Row],[Current mortgage rate]]*G39</f>
        <v>2023.6969491920756</v>
      </c>
      <c r="F40" s="7">
        <f>Table1[[#This Row],[Payment amount]]-Table1[[#This Row],[Interest paid]]</f>
        <v>2354.3007682214002</v>
      </c>
      <c r="G40" s="20">
        <f>G39-Table1[[#This Row],[Principal repaid]]-Table1[[#This Row],[Annual paym]]</f>
        <v>677253.04156202252</v>
      </c>
      <c r="H40" s="20">
        <f>H39-(Table1[[#This Row],[Payment amount]]-Table1[[#This Row],[Interest Paid W/O LSP]])</f>
        <v>687471.18519178836</v>
      </c>
      <c r="I40">
        <f>H39*Table1[[#This Row],[Current mortgage rate]]</f>
        <v>2054.0336341409052</v>
      </c>
      <c r="J40" s="25">
        <f>IF(Table1[[#This Row],[Month]]&gt;Table7[Amortization period (yrs)]*12,0,IF(Table1[[#This Row],[Month]]&lt;Table7[mortgage term (yrs)]*12,0,IF(Table1[[#This Row],[Month]]=Table7[mortgage term (yrs)]*12,-H$5,Table1[[#This Row],[Payment amount]]+B40)))</f>
        <v>0</v>
      </c>
      <c r="K40">
        <v>29</v>
      </c>
      <c r="L40">
        <f>Table7[Initial Monthly Deposit]*Table9[[#This Row],[Inflation Modifier]]</f>
        <v>416.15999999999997</v>
      </c>
      <c r="M40">
        <f xml:space="preserve"> (1+Table7[Inflation])^(QUOTIENT(Table9[[#This Row],[Month]]-1,12))</f>
        <v>1.0404</v>
      </c>
      <c r="N40">
        <f>N39*(1+Table7[Monthly SF Inter])+Table9[[#This Row],[Monthly Payment]]-O39*(1+Table7[Monthly SF Inter])</f>
        <v>2098.0330076494984</v>
      </c>
      <c r="O40">
        <f>IF(MOD(Table9[[#This Row],[Month]],12)=0,(IF(Table9[[#This Row],[Current Balance]]&lt;Table9[[#This Row],[Max Lump Sum ]],Table9[[#This Row],[Current Balance]],Table9[[#This Row],[Max Lump Sum ]])),0)</f>
        <v>0</v>
      </c>
      <c r="P40" s="21">
        <f>Table7[Max annual lump sum repayment]*SUM(C41:C52)</f>
        <v>7880.3958913442566</v>
      </c>
      <c r="Q40" s="25">
        <f>Q39*(1+Table7[Monthly SF Inter])+Table9[[#This Row],[Inflation Modifier]]-R39*(1+Table7[Monthly SF Inter])</f>
        <v>5.2450825191237458</v>
      </c>
      <c r="R40" s="25">
        <f>IF(MOD(Table9[[#This Row],[Month]],12)=0,Table9[[#This Row],[Q2 ACC FACTOR]],0)</f>
        <v>0</v>
      </c>
      <c r="S40" s="25">
        <f>S39*(1+D39)+Table9[[#This Row],[ACC FACTOR PAYMENTS]]</f>
        <v>25.621426624019648</v>
      </c>
    </row>
    <row r="41" spans="1:19" x14ac:dyDescent="0.25">
      <c r="A41" s="1">
        <v>29</v>
      </c>
      <c r="B41" s="1">
        <f t="shared" si="0"/>
        <v>0</v>
      </c>
      <c r="C41" s="7">
        <f>G$12/-PV(Table7[Monthly mortgage rate], (12*Table7[Amortization period (yrs)]),1 )</f>
        <v>4377.9977174134756</v>
      </c>
      <c r="D41" s="11">
        <f>IF(Table1[[#This Row],[Month]]&lt;=(12*Table7[mortgage term (yrs)]),Table7[Monthly mortgage rate],Table7[Monthly Exp Renewal Rate])</f>
        <v>2.9777443873004739E-3</v>
      </c>
      <c r="E41" s="20">
        <f>Table1[[#This Row],[Current mortgage rate]]*G40</f>
        <v>2016.6864432934872</v>
      </c>
      <c r="F41" s="7">
        <f>Table1[[#This Row],[Payment amount]]-Table1[[#This Row],[Interest paid]]</f>
        <v>2361.3112741199884</v>
      </c>
      <c r="G41" s="20">
        <f>G40-Table1[[#This Row],[Principal repaid]]-Table1[[#This Row],[Annual paym]]</f>
        <v>674891.73028790252</v>
      </c>
      <c r="H41" s="20">
        <f>H40-(Table1[[#This Row],[Payment amount]]-Table1[[#This Row],[Interest Paid W/O LSP]])</f>
        <v>685140.30093751056</v>
      </c>
      <c r="I41">
        <f>H40*Table1[[#This Row],[Current mortgage rate]]</f>
        <v>2047.1134631356524</v>
      </c>
      <c r="J41" s="25">
        <f>IF(Table1[[#This Row],[Month]]&gt;Table7[Amortization period (yrs)]*12,0,IF(Table1[[#This Row],[Month]]&lt;Table7[mortgage term (yrs)]*12,0,IF(Table1[[#This Row],[Month]]=Table7[mortgage term (yrs)]*12,-H$5,Table1[[#This Row],[Payment amount]]+B41)))</f>
        <v>0</v>
      </c>
      <c r="K41">
        <v>30</v>
      </c>
      <c r="L41">
        <f>Table7[Initial Monthly Deposit]*Table9[[#This Row],[Inflation Modifier]]</f>
        <v>416.15999999999997</v>
      </c>
      <c r="M41">
        <f xml:space="preserve"> (1+Table7[Inflation])^(QUOTIENT(Table9[[#This Row],[Month]]-1,12))</f>
        <v>1.0404</v>
      </c>
      <c r="N41">
        <f>N40*(1+Table7[Monthly SF Inter])+Table9[[#This Row],[Monthly Payment]]-O40*(1+Table7[Monthly SF Inter])</f>
        <v>2522.8451184161272</v>
      </c>
      <c r="O41">
        <f>IF(MOD(Table9[[#This Row],[Month]],12)=0,(IF(Table9[[#This Row],[Current Balance]]&lt;Table9[[#This Row],[Max Lump Sum ]],Table9[[#This Row],[Current Balance]],Table9[[#This Row],[Max Lump Sum ]])),0)</f>
        <v>0</v>
      </c>
      <c r="P41" s="21">
        <f>Table7[Max annual lump sum repayment]*SUM(C42:C53)</f>
        <v>7880.3958913442566</v>
      </c>
      <c r="Q41" s="25">
        <f>Q40*(1+Table7[Monthly SF Inter])+Table9[[#This Row],[Inflation Modifier]]-R40*(1+Table7[Monthly SF Inter])</f>
        <v>6.3071127960403182</v>
      </c>
      <c r="R41" s="25">
        <f>IF(MOD(Table9[[#This Row],[Month]],12)=0,Table9[[#This Row],[Q2 ACC FACTOR]],0)</f>
        <v>0</v>
      </c>
      <c r="S41" s="25">
        <f>S40*(1+D40)+Table9[[#This Row],[ACC FACTOR PAYMENTS]]</f>
        <v>25.697720683343952</v>
      </c>
    </row>
    <row r="42" spans="1:19" x14ac:dyDescent="0.25">
      <c r="A42" s="1">
        <v>30</v>
      </c>
      <c r="B42" s="1">
        <f t="shared" si="0"/>
        <v>0</v>
      </c>
      <c r="C42" s="7">
        <f>G$12/-PV(Table7[Monthly mortgage rate], (12*Table7[Amortization period (yrs)]),1 )</f>
        <v>4377.9977174134756</v>
      </c>
      <c r="D42" s="11">
        <f>IF(Table1[[#This Row],[Month]]&lt;=(12*Table7[mortgage term (yrs)]),Table7[Monthly mortgage rate],Table7[Monthly Exp Renewal Rate])</f>
        <v>2.9777443873004739E-3</v>
      </c>
      <c r="E42" s="20">
        <f>Table1[[#This Row],[Current mortgage rate]]*G41</f>
        <v>2009.6550619003069</v>
      </c>
      <c r="F42" s="7">
        <f>Table1[[#This Row],[Payment amount]]-Table1[[#This Row],[Interest paid]]</f>
        <v>2368.3426555131687</v>
      </c>
      <c r="G42" s="20">
        <f>G41-Table1[[#This Row],[Principal repaid]]-Table1[[#This Row],[Annual paym]]</f>
        <v>672523.38763238932</v>
      </c>
      <c r="H42" s="20">
        <f>H41-(Table1[[#This Row],[Payment amount]]-Table1[[#This Row],[Interest Paid W/O LSP]])</f>
        <v>682802.47590572713</v>
      </c>
      <c r="I42">
        <f>H41*Table1[[#This Row],[Current mortgage rate]]</f>
        <v>2040.1726856300297</v>
      </c>
      <c r="J42" s="25">
        <f>IF(Table1[[#This Row],[Month]]&gt;Table7[Amortization period (yrs)]*12,0,IF(Table1[[#This Row],[Month]]&lt;Table7[mortgage term (yrs)]*12,0,IF(Table1[[#This Row],[Month]]=Table7[mortgage term (yrs)]*12,-H$5,Table1[[#This Row],[Payment amount]]+B42)))</f>
        <v>0</v>
      </c>
      <c r="K42">
        <v>31</v>
      </c>
      <c r="L42">
        <f>Table7[Initial Monthly Deposit]*Table9[[#This Row],[Inflation Modifier]]</f>
        <v>416.15999999999997</v>
      </c>
      <c r="M42">
        <f xml:space="preserve"> (1+Table7[Inflation])^(QUOTIENT(Table9[[#This Row],[Month]]-1,12))</f>
        <v>1.0404</v>
      </c>
      <c r="N42">
        <f>N41*(1+Table7[Monthly SF Inter])+Table9[[#This Row],[Monthly Payment]]-O41*(1+Table7[Monthly SF Inter])</f>
        <v>2949.4091184161271</v>
      </c>
      <c r="O42">
        <f>IF(MOD(Table9[[#This Row],[Month]],12)=0,(IF(Table9[[#This Row],[Current Balance]]&lt;Table9[[#This Row],[Max Lump Sum ]],Table9[[#This Row],[Current Balance]],Table9[[#This Row],[Max Lump Sum ]])),0)</f>
        <v>0</v>
      </c>
      <c r="P42" s="21">
        <f>Table7[Max annual lump sum repayment]*SUM(C43:C54)</f>
        <v>7880.3958913442566</v>
      </c>
      <c r="Q42" s="25">
        <f>Q41*(1+Table7[Monthly SF Inter])+Table9[[#This Row],[Inflation Modifier]]-R41*(1+Table7[Monthly SF Inter])</f>
        <v>7.3735227960403176</v>
      </c>
      <c r="R42" s="25">
        <f>IF(MOD(Table9[[#This Row],[Month]],12)=0,Table9[[#This Row],[Q2 ACC FACTOR]],0)</f>
        <v>0</v>
      </c>
      <c r="S42" s="25">
        <f>S41*(1+D41)+Table9[[#This Row],[ACC FACTOR PAYMENTS]]</f>
        <v>25.774241926875195</v>
      </c>
    </row>
    <row r="43" spans="1:19" x14ac:dyDescent="0.25">
      <c r="A43" s="1">
        <v>31</v>
      </c>
      <c r="B43" s="1">
        <f t="shared" si="0"/>
        <v>0</v>
      </c>
      <c r="C43" s="7">
        <f>G$12/-PV(Table7[Monthly mortgage rate], (12*Table7[Amortization period (yrs)]),1 )</f>
        <v>4377.9977174134756</v>
      </c>
      <c r="D43" s="11">
        <f>IF(Table1[[#This Row],[Month]]&lt;=(12*Table7[mortgage term (yrs)]),Table7[Monthly mortgage rate],Table7[Monthly Exp Renewal Rate])</f>
        <v>2.9777443873004739E-3</v>
      </c>
      <c r="E43" s="20">
        <f>Table1[[#This Row],[Current mortgage rate]]*G42</f>
        <v>2002.6027428506482</v>
      </c>
      <c r="F43" s="7">
        <f>Table1[[#This Row],[Payment amount]]-Table1[[#This Row],[Interest paid]]</f>
        <v>2375.3949745628274</v>
      </c>
      <c r="G43" s="20">
        <f>G42-Table1[[#This Row],[Principal repaid]]-Table1[[#This Row],[Annual paym]]</f>
        <v>670147.99265782651</v>
      </c>
      <c r="H43" s="20">
        <f>H42-(Table1[[#This Row],[Payment amount]]-Table1[[#This Row],[Interest Paid W/O LSP]])</f>
        <v>680457.68942857685</v>
      </c>
      <c r="I43">
        <f>H42*Table1[[#This Row],[Current mortgage rate]]</f>
        <v>2033.211240263146</v>
      </c>
      <c r="J43" s="25">
        <f>IF(Table1[[#This Row],[Month]]&gt;Table7[Amortization period (yrs)]*12,0,IF(Table1[[#This Row],[Month]]&lt;Table7[mortgage term (yrs)]*12,0,IF(Table1[[#This Row],[Month]]=Table7[mortgage term (yrs)]*12,-H$5,Table1[[#This Row],[Payment amount]]+B43)))</f>
        <v>0</v>
      </c>
      <c r="K43">
        <v>32</v>
      </c>
      <c r="L43">
        <f>Table7[Initial Monthly Deposit]*Table9[[#This Row],[Inflation Modifier]]</f>
        <v>416.15999999999997</v>
      </c>
      <c r="M43">
        <f xml:space="preserve"> (1+Table7[Inflation])^(QUOTIENT(Table9[[#This Row],[Month]]-1,12))</f>
        <v>1.0404</v>
      </c>
      <c r="N43">
        <f>N42*(1+Table7[Monthly SF Inter])+Table9[[#This Row],[Monthly Payment]]-O42*(1+Table7[Monthly SF Inter])</f>
        <v>3377.7322322926007</v>
      </c>
      <c r="O43">
        <f>IF(MOD(Table9[[#This Row],[Month]],12)=0,(IF(Table9[[#This Row],[Current Balance]]&lt;Table9[[#This Row],[Max Lump Sum ]],Table9[[#This Row],[Current Balance]],Table9[[#This Row],[Max Lump Sum ]])),0)</f>
        <v>0</v>
      </c>
      <c r="P43" s="21">
        <f>Table7[Max annual lump sum repayment]*SUM(C44:C55)</f>
        <v>7880.3958913442566</v>
      </c>
      <c r="Q43" s="25">
        <f>Q42*(1+Table7[Monthly SF Inter])+Table9[[#This Row],[Inflation Modifier]]-R42*(1+Table7[Monthly SF Inter])</f>
        <v>8.4443305807315028</v>
      </c>
      <c r="R43" s="25">
        <f>IF(MOD(Table9[[#This Row],[Month]],12)=0,Table9[[#This Row],[Q2 ACC FACTOR]],0)</f>
        <v>0</v>
      </c>
      <c r="S43" s="25">
        <f>S42*(1+D42)+Table9[[#This Row],[ACC FACTOR PAYMENTS]]</f>
        <v>25.850991031109871</v>
      </c>
    </row>
    <row r="44" spans="1:19" x14ac:dyDescent="0.25">
      <c r="A44" s="1">
        <v>32</v>
      </c>
      <c r="B44" s="1">
        <f t="shared" si="0"/>
        <v>0</v>
      </c>
      <c r="C44" s="7">
        <f>G$12/-PV(Table7[Monthly mortgage rate], (12*Table7[Amortization period (yrs)]),1 )</f>
        <v>4377.9977174134756</v>
      </c>
      <c r="D44" s="11">
        <f>IF(Table1[[#This Row],[Month]]&lt;=(12*Table7[mortgage term (yrs)]),Table7[Monthly mortgage rate],Table7[Monthly Exp Renewal Rate])</f>
        <v>2.9777443873004739E-3</v>
      </c>
      <c r="E44" s="20">
        <f>Table1[[#This Row],[Current mortgage rate]]*G43</f>
        <v>1995.529423797522</v>
      </c>
      <c r="F44" s="7">
        <f>Table1[[#This Row],[Payment amount]]-Table1[[#This Row],[Interest paid]]</f>
        <v>2382.4682936159534</v>
      </c>
      <c r="G44" s="20">
        <f>G43-Table1[[#This Row],[Principal repaid]]-Table1[[#This Row],[Annual paym]]</f>
        <v>667765.52436421055</v>
      </c>
      <c r="H44" s="20">
        <f>H43-(Table1[[#This Row],[Payment amount]]-Table1[[#This Row],[Interest Paid W/O LSP]])</f>
        <v>678105.92077665473</v>
      </c>
      <c r="I44">
        <f>H43*Table1[[#This Row],[Current mortgage rate]]</f>
        <v>2026.2290654913936</v>
      </c>
      <c r="J44" s="25">
        <f>IF(Table1[[#This Row],[Month]]&gt;Table7[Amortization period (yrs)]*12,0,IF(Table1[[#This Row],[Month]]&lt;Table7[mortgage term (yrs)]*12,0,IF(Table1[[#This Row],[Month]]=Table7[mortgage term (yrs)]*12,-H$5,Table1[[#This Row],[Payment amount]]+B44)))</f>
        <v>0</v>
      </c>
      <c r="K44">
        <v>33</v>
      </c>
      <c r="L44">
        <f>Table7[Initial Monthly Deposit]*Table9[[#This Row],[Inflation Modifier]]</f>
        <v>416.15999999999997</v>
      </c>
      <c r="M44">
        <f xml:space="preserve"> (1+Table7[Inflation])^(QUOTIENT(Table9[[#This Row],[Month]]-1,12))</f>
        <v>1.0404</v>
      </c>
      <c r="N44">
        <f>N43*(1+Table7[Monthly SF Inter])+Table9[[#This Row],[Monthly Payment]]-O43*(1+Table7[Monthly SF Inter])</f>
        <v>3807.821714482468</v>
      </c>
      <c r="O44">
        <f>IF(MOD(Table9[[#This Row],[Month]],12)=0,(IF(Table9[[#This Row],[Current Balance]]&lt;Table9[[#This Row],[Max Lump Sum ]],Table9[[#This Row],[Current Balance]],Table9[[#This Row],[Max Lump Sum ]])),0)</f>
        <v>0</v>
      </c>
      <c r="P44" s="21">
        <f>Table7[Max annual lump sum repayment]*SUM(C45:C56)</f>
        <v>7880.3958913442566</v>
      </c>
      <c r="Q44" s="25">
        <f>Q43*(1+Table7[Monthly SF Inter])+Table9[[#This Row],[Inflation Modifier]]-R43*(1+Table7[Monthly SF Inter])</f>
        <v>9.5195542862061711</v>
      </c>
      <c r="R44" s="25">
        <f>IF(MOD(Table9[[#This Row],[Month]],12)=0,Table9[[#This Row],[Q2 ACC FACTOR]],0)</f>
        <v>0</v>
      </c>
      <c r="S44" s="25">
        <f>S43*(1+D43)+Table9[[#This Row],[ACC FACTOR PAYMENTS]]</f>
        <v>25.927968674558912</v>
      </c>
    </row>
    <row r="45" spans="1:19" x14ac:dyDescent="0.25">
      <c r="A45" s="1">
        <v>33</v>
      </c>
      <c r="B45" s="1">
        <f t="shared" si="0"/>
        <v>0</v>
      </c>
      <c r="C45" s="7">
        <f>G$12/-PV(Table7[Monthly mortgage rate], (12*Table7[Amortization period (yrs)]),1 )</f>
        <v>4377.9977174134756</v>
      </c>
      <c r="D45" s="11">
        <f>IF(Table1[[#This Row],[Month]]&lt;=(12*Table7[mortgage term (yrs)]),Table7[Monthly mortgage rate],Table7[Monthly Exp Renewal Rate])</f>
        <v>2.9777443873004739E-3</v>
      </c>
      <c r="E45" s="20">
        <f>Table1[[#This Row],[Current mortgage rate]]*G44</f>
        <v>1988.4350422082857</v>
      </c>
      <c r="F45" s="7">
        <f>Table1[[#This Row],[Payment amount]]-Table1[[#This Row],[Interest paid]]</f>
        <v>2389.5626752051899</v>
      </c>
      <c r="G45" s="20">
        <f>G44-Table1[[#This Row],[Principal repaid]]-Table1[[#This Row],[Annual paym]]</f>
        <v>665375.96168900537</v>
      </c>
      <c r="H45" s="20">
        <f>H44-(Table1[[#This Row],[Payment amount]]-Table1[[#This Row],[Interest Paid W/O LSP]])</f>
        <v>675747.14915882912</v>
      </c>
      <c r="I45">
        <f>H44*Table1[[#This Row],[Current mortgage rate]]</f>
        <v>2019.2260995879035</v>
      </c>
      <c r="J45" s="25">
        <f>IF(Table1[[#This Row],[Month]]&gt;Table7[Amortization period (yrs)]*12,0,IF(Table1[[#This Row],[Month]]&lt;Table7[mortgage term (yrs)]*12,0,IF(Table1[[#This Row],[Month]]=Table7[mortgage term (yrs)]*12,-H$5,Table1[[#This Row],[Payment amount]]+B45)))</f>
        <v>0</v>
      </c>
      <c r="K45">
        <v>34</v>
      </c>
      <c r="L45">
        <f>Table7[Initial Monthly Deposit]*Table9[[#This Row],[Inflation Modifier]]</f>
        <v>416.15999999999997</v>
      </c>
      <c r="M45">
        <f xml:space="preserve"> (1+Table7[Inflation])^(QUOTIENT(Table9[[#This Row],[Month]]-1,12))</f>
        <v>1.0404</v>
      </c>
      <c r="N45">
        <f>N44*(1+Table7[Monthly SF Inter])+Table9[[#This Row],[Monthly Payment]]-O44*(1+Table7[Monthly SF Inter])</f>
        <v>4239.6848493393345</v>
      </c>
      <c r="O45">
        <f>IF(MOD(Table9[[#This Row],[Month]],12)=0,(IF(Table9[[#This Row],[Current Balance]]&lt;Table9[[#This Row],[Max Lump Sum ]],Table9[[#This Row],[Current Balance]],Table9[[#This Row],[Max Lump Sum ]])),0)</f>
        <v>0</v>
      </c>
      <c r="P45" s="21">
        <f>Table7[Max annual lump sum repayment]*SUM(C46:C57)</f>
        <v>7880.3958913442566</v>
      </c>
      <c r="Q45" s="25">
        <f>Q44*(1+Table7[Monthly SF Inter])+Table9[[#This Row],[Inflation Modifier]]-R44*(1+Table7[Monthly SF Inter])</f>
        <v>10.599212123348337</v>
      </c>
      <c r="R45" s="25">
        <f>IF(MOD(Table9[[#This Row],[Month]],12)=0,Table9[[#This Row],[Q2 ACC FACTOR]],0)</f>
        <v>0</v>
      </c>
      <c r="S45" s="25">
        <f>S44*(1+D44)+Table9[[#This Row],[ACC FACTOR PAYMENTS]]</f>
        <v>26.005175537753683</v>
      </c>
    </row>
    <row r="46" spans="1:19" x14ac:dyDescent="0.25">
      <c r="A46" s="1">
        <v>34</v>
      </c>
      <c r="B46" s="1">
        <f t="shared" si="0"/>
        <v>0</v>
      </c>
      <c r="C46" s="7">
        <f>G$12/-PV(Table7[Monthly mortgage rate], (12*Table7[Amortization period (yrs)]),1 )</f>
        <v>4377.9977174134756</v>
      </c>
      <c r="D46" s="11">
        <f>IF(Table1[[#This Row],[Month]]&lt;=(12*Table7[mortgage term (yrs)]),Table7[Monthly mortgage rate],Table7[Monthly Exp Renewal Rate])</f>
        <v>2.9777443873004739E-3</v>
      </c>
      <c r="E46" s="20">
        <f>Table1[[#This Row],[Current mortgage rate]]*G45</f>
        <v>1981.3195353640908</v>
      </c>
      <c r="F46" s="7">
        <f>Table1[[#This Row],[Payment amount]]-Table1[[#This Row],[Interest paid]]</f>
        <v>2396.6781820493848</v>
      </c>
      <c r="G46" s="20">
        <f>G45-Table1[[#This Row],[Principal repaid]]-Table1[[#This Row],[Annual paym]]</f>
        <v>662979.28350695595</v>
      </c>
      <c r="H46" s="20">
        <f>H45-(Table1[[#This Row],[Payment amount]]-Table1[[#This Row],[Interest Paid W/O LSP]])</f>
        <v>673381.35372205765</v>
      </c>
      <c r="I46">
        <f>H45*Table1[[#This Row],[Current mortgage rate]]</f>
        <v>2012.2022806419996</v>
      </c>
      <c r="J46" s="25">
        <f>IF(Table1[[#This Row],[Month]]&gt;Table7[Amortization period (yrs)]*12,0,IF(Table1[[#This Row],[Month]]&lt;Table7[mortgage term (yrs)]*12,0,IF(Table1[[#This Row],[Month]]=Table7[mortgage term (yrs)]*12,-H$5,Table1[[#This Row],[Payment amount]]+B46)))</f>
        <v>0</v>
      </c>
      <c r="K46">
        <v>35</v>
      </c>
      <c r="L46">
        <f>Table7[Initial Monthly Deposit]*Table9[[#This Row],[Inflation Modifier]]</f>
        <v>416.15999999999997</v>
      </c>
      <c r="M46">
        <f xml:space="preserve"> (1+Table7[Inflation])^(QUOTIENT(Table9[[#This Row],[Month]]-1,12))</f>
        <v>1.0404</v>
      </c>
      <c r="N46">
        <f>N45*(1+Table7[Monthly SF Inter])+Table9[[#This Row],[Monthly Payment]]-O45*(1+Table7[Monthly SF Inter])</f>
        <v>4673.3289512568626</v>
      </c>
      <c r="O46">
        <f>IF(MOD(Table9[[#This Row],[Month]],12)=0,(IF(Table9[[#This Row],[Current Balance]]&lt;Table9[[#This Row],[Max Lump Sum ]],Table9[[#This Row],[Current Balance]],Table9[[#This Row],[Max Lump Sum ]])),0)</f>
        <v>0</v>
      </c>
      <c r="P46" s="21">
        <f>Table7[Max annual lump sum repayment]*SUM(C47:C58)</f>
        <v>7880.3958913442566</v>
      </c>
      <c r="Q46" s="25">
        <f>Q45*(1+Table7[Monthly SF Inter])+Table9[[#This Row],[Inflation Modifier]]-R45*(1+Table7[Monthly SF Inter])</f>
        <v>11.683322378142158</v>
      </c>
      <c r="R46" s="25">
        <f>IF(MOD(Table9[[#This Row],[Month]],12)=0,Table9[[#This Row],[Q2 ACC FACTOR]],0)</f>
        <v>0</v>
      </c>
      <c r="S46" s="25">
        <f>S45*(1+D45)+Table9[[#This Row],[ACC FACTOR PAYMENTS]]</f>
        <v>26.082612303251992</v>
      </c>
    </row>
    <row r="47" spans="1:19" x14ac:dyDescent="0.25">
      <c r="A47" s="1">
        <v>35</v>
      </c>
      <c r="B47" s="1">
        <f t="shared" si="0"/>
        <v>0</v>
      </c>
      <c r="C47" s="7">
        <f>G$12/-PV(Table7[Monthly mortgage rate], (12*Table7[Amortization period (yrs)]),1 )</f>
        <v>4377.9977174134756</v>
      </c>
      <c r="D47" s="11">
        <f>IF(Table1[[#This Row],[Month]]&lt;=(12*Table7[mortgage term (yrs)]),Table7[Monthly mortgage rate],Table7[Monthly Exp Renewal Rate])</f>
        <v>2.9777443873004739E-3</v>
      </c>
      <c r="E47" s="20">
        <f>Table1[[#This Row],[Current mortgage rate]]*G46</f>
        <v>1974.1828403593277</v>
      </c>
      <c r="F47" s="7">
        <f>Table1[[#This Row],[Payment amount]]-Table1[[#This Row],[Interest paid]]</f>
        <v>2403.8148770541479</v>
      </c>
      <c r="G47" s="20">
        <f>G46-Table1[[#This Row],[Principal repaid]]-Table1[[#This Row],[Annual paym]]</f>
        <v>660575.46862990176</v>
      </c>
      <c r="H47" s="20">
        <f>H46-(Table1[[#This Row],[Payment amount]]-Table1[[#This Row],[Interest Paid W/O LSP]])</f>
        <v>671008.51355120284</v>
      </c>
      <c r="I47">
        <f>H46*Table1[[#This Row],[Current mortgage rate]]</f>
        <v>2005.1575465586523</v>
      </c>
      <c r="J47" s="25">
        <f>IF(Table1[[#This Row],[Month]]&gt;Table7[Amortization period (yrs)]*12,0,IF(Table1[[#This Row],[Month]]&lt;Table7[mortgage term (yrs)]*12,0,IF(Table1[[#This Row],[Month]]=Table7[mortgage term (yrs)]*12,-H$5,Table1[[#This Row],[Payment amount]]+B47)))</f>
        <v>0</v>
      </c>
      <c r="K47">
        <v>36</v>
      </c>
      <c r="L47">
        <f>Table7[Initial Monthly Deposit]*Table9[[#This Row],[Inflation Modifier]]</f>
        <v>416.15999999999997</v>
      </c>
      <c r="M47">
        <f xml:space="preserve"> (1+Table7[Inflation])^(QUOTIENT(Table9[[#This Row],[Month]]-1,12))</f>
        <v>1.0404</v>
      </c>
      <c r="N47">
        <f>N46*(1+Table7[Monthly SF Inter])+Table9[[#This Row],[Monthly Payment]]-O46*(1+Table7[Monthly SF Inter])</f>
        <v>5108.7613647926573</v>
      </c>
      <c r="O47">
        <f>IF(MOD(Table9[[#This Row],[Month]],12)=0,(IF(Table9[[#This Row],[Current Balance]]&lt;Table9[[#This Row],[Max Lump Sum ]],Table9[[#This Row],[Current Balance]],Table9[[#This Row],[Max Lump Sum ]])),0)</f>
        <v>5108.7613647926573</v>
      </c>
      <c r="P47" s="21">
        <f>Table7[Max annual lump sum repayment]*SUM(C48:C59)</f>
        <v>7880.3958913442566</v>
      </c>
      <c r="Q47" s="25">
        <f>Q46*(1+Table7[Monthly SF Inter])+Table9[[#This Row],[Inflation Modifier]]-R46*(1+Table7[Monthly SF Inter])</f>
        <v>12.771903411981643</v>
      </c>
      <c r="R47" s="25">
        <f>IF(MOD(Table9[[#This Row],[Month]],12)=0,Table9[[#This Row],[Q2 ACC FACTOR]],0)</f>
        <v>12.771903411981643</v>
      </c>
      <c r="S47" s="25">
        <f>S46*(1+D46)+Table9[[#This Row],[ACC FACTOR PAYMENTS]]</f>
        <v>38.932183067625779</v>
      </c>
    </row>
    <row r="48" spans="1:19" x14ac:dyDescent="0.25">
      <c r="A48" s="1">
        <v>36</v>
      </c>
      <c r="B48" s="1">
        <f t="shared" si="0"/>
        <v>5108.7613647926573</v>
      </c>
      <c r="C48" s="7">
        <f>G$12/-PV(Table7[Monthly mortgage rate], (12*Table7[Amortization period (yrs)]),1 )</f>
        <v>4377.9977174134756</v>
      </c>
      <c r="D48" s="11">
        <f>IF(Table1[[#This Row],[Month]]&lt;=(12*Table7[mortgage term (yrs)]),Table7[Monthly mortgage rate],Table7[Monthly Exp Renewal Rate])</f>
        <v>2.9777443873004739E-3</v>
      </c>
      <c r="E48" s="20">
        <f>Table1[[#This Row],[Current mortgage rate]]*G47</f>
        <v>1967.0248941010702</v>
      </c>
      <c r="F48" s="7">
        <f>Table1[[#This Row],[Payment amount]]-Table1[[#This Row],[Interest paid]]</f>
        <v>2410.9728233124051</v>
      </c>
      <c r="G48" s="20">
        <f>G47-Table1[[#This Row],[Principal repaid]]-Table1[[#This Row],[Annual paym]]</f>
        <v>653055.73444179667</v>
      </c>
      <c r="H48" s="20">
        <f>H47-(Table1[[#This Row],[Payment amount]]-Table1[[#This Row],[Interest Paid W/O LSP]])</f>
        <v>668628.60766884731</v>
      </c>
      <c r="I48">
        <f>H47*Table1[[#This Row],[Current mortgage rate]]</f>
        <v>1998.0918350579282</v>
      </c>
      <c r="J48" s="25">
        <f>IF(Table1[[#This Row],[Month]]&gt;Table7[Amortization period (yrs)]*12,0,IF(Table1[[#This Row],[Month]]&lt;Table7[mortgage term (yrs)]*12,0,IF(Table1[[#This Row],[Month]]=Table7[mortgage term (yrs)]*12,-H$5,Table1[[#This Row],[Payment amount]]+B48)))</f>
        <v>0</v>
      </c>
      <c r="K48">
        <v>37</v>
      </c>
      <c r="L48">
        <f>Table7[Initial Monthly Deposit]*Table9[[#This Row],[Inflation Modifier]]</f>
        <v>424.48319999999995</v>
      </c>
      <c r="M48">
        <f xml:space="preserve"> (1+Table7[Inflation])^(QUOTIENT(Table9[[#This Row],[Month]]-1,12))</f>
        <v>1.0612079999999999</v>
      </c>
      <c r="N48">
        <f>N47*(1+Table7[Monthly SF Inter])+Table9[[#This Row],[Monthly Payment]]-O47*(1+Table7[Monthly SF Inter])</f>
        <v>424.48319999999967</v>
      </c>
      <c r="O48">
        <f>IF(MOD(Table9[[#This Row],[Month]],12)=0,(IF(Table9[[#This Row],[Current Balance]]&lt;Table9[[#This Row],[Max Lump Sum ]],Table9[[#This Row],[Current Balance]],Table9[[#This Row],[Max Lump Sum ]])),0)</f>
        <v>0</v>
      </c>
      <c r="P48" s="21">
        <f>Table7[Max annual lump sum repayment]*SUM(C49:C60)</f>
        <v>7880.3958913442566</v>
      </c>
      <c r="Q48" s="25">
        <f>Q47*(1+Table7[Monthly SF Inter])+Table9[[#This Row],[Inflation Modifier]]-R47*(1+Table7[Monthly SF Inter])</f>
        <v>1.0612080000000006</v>
      </c>
      <c r="R48" s="25">
        <f>IF(MOD(Table9[[#This Row],[Month]],12)=0,Table9[[#This Row],[Q2 ACC FACTOR]],0)</f>
        <v>0</v>
      </c>
      <c r="S48" s="25">
        <f>S47*(1+D47)+Table9[[#This Row],[ACC FACTOR PAYMENTS]]</f>
        <v>39.048113157240756</v>
      </c>
    </row>
    <row r="49" spans="1:19" x14ac:dyDescent="0.25">
      <c r="A49" s="1">
        <v>37</v>
      </c>
      <c r="B49" s="1">
        <f t="shared" si="0"/>
        <v>0</v>
      </c>
      <c r="C49" s="7">
        <f>G$12/-PV(Table7[Monthly mortgage rate], (12*Table7[Amortization period (yrs)]),1 )</f>
        <v>4377.9977174134756</v>
      </c>
      <c r="D49" s="11">
        <f>IF(Table1[[#This Row],[Month]]&lt;=(12*Table7[mortgage term (yrs)]),Table7[Monthly mortgage rate],Table7[Monthly Exp Renewal Rate])</f>
        <v>2.9777443873004739E-3</v>
      </c>
      <c r="E49" s="21">
        <f>Table1[[#This Row],[Current mortgage rate]]*G48</f>
        <v>1944.6330478284488</v>
      </c>
      <c r="F49" s="5">
        <f>Table1[[#This Row],[Payment amount]]-Table1[[#This Row],[Interest paid]]</f>
        <v>2433.3646695850266</v>
      </c>
      <c r="G49" s="20">
        <f>G48-Table1[[#This Row],[Principal repaid]]-Table1[[#This Row],[Annual paym]]</f>
        <v>650622.36977221165</v>
      </c>
      <c r="H49" s="20">
        <f>H48-(Table1[[#This Row],[Payment amount]]-Table1[[#This Row],[Interest Paid W/O LSP]])</f>
        <v>666241.61503510829</v>
      </c>
      <c r="I49">
        <f>H48*Table1[[#This Row],[Current mortgage rate]]</f>
        <v>1991.0050836744406</v>
      </c>
      <c r="J49" s="25">
        <f>IF(Table1[[#This Row],[Month]]&gt;Table7[Amortization period (yrs)]*12,0,IF(Table1[[#This Row],[Month]]&lt;Table7[mortgage term (yrs)]*12,0,IF(Table1[[#This Row],[Month]]=Table7[mortgage term (yrs)]*12,-H$5,Table1[[#This Row],[Payment amount]]+B49)))</f>
        <v>0</v>
      </c>
      <c r="K49">
        <v>38</v>
      </c>
      <c r="L49">
        <f>Table7[Initial Monthly Deposit]*Table9[[#This Row],[Inflation Modifier]]</f>
        <v>424.48319999999995</v>
      </c>
      <c r="M49">
        <f xml:space="preserve"> (1+Table7[Inflation])^(QUOTIENT(Table9[[#This Row],[Month]]-1,12))</f>
        <v>1.0612079999999999</v>
      </c>
      <c r="N49">
        <f>N48*(1+Table7[Monthly SF Inter])+Table9[[#This Row],[Monthly Payment]]-O48*(1+Table7[Monthly SF Inter])</f>
        <v>850.71693283317359</v>
      </c>
      <c r="O49">
        <f>IF(MOD(Table9[[#This Row],[Month]],12)=0,(IF(Table9[[#This Row],[Current Balance]]&lt;Table9[[#This Row],[Max Lump Sum ]],Table9[[#This Row],[Current Balance]],Table9[[#This Row],[Max Lump Sum ]])),0)</f>
        <v>0</v>
      </c>
      <c r="P49" s="21">
        <f>Table7[Max annual lump sum repayment]*SUM(C50:C61)</f>
        <v>7880.3958913442566</v>
      </c>
      <c r="Q49" s="25">
        <f>Q48*(1+Table7[Monthly SF Inter])+Table9[[#This Row],[Inflation Modifier]]-R48*(1+Table7[Monthly SF Inter])</f>
        <v>2.1267923320829354</v>
      </c>
      <c r="R49" s="25">
        <f>IF(MOD(Table9[[#This Row],[Month]],12)=0,Table9[[#This Row],[Q2 ACC FACTOR]],0)</f>
        <v>0</v>
      </c>
      <c r="S49" s="25">
        <f>S48*(1+D48)+Table9[[#This Row],[ACC FACTOR PAYMENTS]]</f>
        <v>39.164388457029403</v>
      </c>
    </row>
    <row r="50" spans="1:19" x14ac:dyDescent="0.25">
      <c r="A50" s="1">
        <v>38</v>
      </c>
      <c r="B50" s="1">
        <f t="shared" si="0"/>
        <v>0</v>
      </c>
      <c r="C50" s="7">
        <f>G$12/-PV(Table7[Monthly mortgage rate], (12*Table7[Amortization period (yrs)]),1 )</f>
        <v>4377.9977174134756</v>
      </c>
      <c r="D50" s="11">
        <f>IF(Table1[[#This Row],[Month]]&lt;=(12*Table7[mortgage term (yrs)]),Table7[Monthly mortgage rate],Table7[Monthly Exp Renewal Rate])</f>
        <v>2.9777443873004739E-3</v>
      </c>
      <c r="E50" s="21">
        <f>Table1[[#This Row],[Current mortgage rate]]*G49</f>
        <v>1937.3871098413367</v>
      </c>
      <c r="F50" s="5">
        <f>Table1[[#This Row],[Payment amount]]-Table1[[#This Row],[Interest paid]]</f>
        <v>2440.6106075721391</v>
      </c>
      <c r="G50" s="20">
        <f>G49-Table1[[#This Row],[Principal repaid]]-Table1[[#This Row],[Annual paym]]</f>
        <v>648181.75916463952</v>
      </c>
      <c r="H50" s="20">
        <f>H49-(Table1[[#This Row],[Payment amount]]-Table1[[#This Row],[Interest Paid W/O LSP]])</f>
        <v>663847.51454745163</v>
      </c>
      <c r="I50">
        <f>H49*Table1[[#This Row],[Current mortgage rate]]</f>
        <v>1983.8972297567966</v>
      </c>
      <c r="J50" s="25">
        <f>IF(Table1[[#This Row],[Month]]&gt;Table7[Amortization period (yrs)]*12,0,IF(Table1[[#This Row],[Month]]&lt;Table7[mortgage term (yrs)]*12,0,IF(Table1[[#This Row],[Month]]=Table7[mortgage term (yrs)]*12,-H$5,Table1[[#This Row],[Payment amount]]+B50)))</f>
        <v>0</v>
      </c>
      <c r="K50">
        <v>39</v>
      </c>
      <c r="L50">
        <f>Table7[Initial Monthly Deposit]*Table9[[#This Row],[Inflation Modifier]]</f>
        <v>424.48319999999995</v>
      </c>
      <c r="M50">
        <f xml:space="preserve"> (1+Table7[Inflation])^(QUOTIENT(Table9[[#This Row],[Month]]-1,12))</f>
        <v>1.0612079999999999</v>
      </c>
      <c r="N50">
        <f>N49*(1+Table7[Monthly SF Inter])+Table9[[#This Row],[Monthly Payment]]-O49*(1+Table7[Monthly SF Inter])</f>
        <v>1278.7084175489442</v>
      </c>
      <c r="O50">
        <f>IF(MOD(Table9[[#This Row],[Month]],12)=0,(IF(Table9[[#This Row],[Current Balance]]&lt;Table9[[#This Row],[Max Lump Sum ]],Table9[[#This Row],[Current Balance]],Table9[[#This Row],[Max Lump Sum ]])),0)</f>
        <v>0</v>
      </c>
      <c r="P50" s="21">
        <f>Table7[Max annual lump sum repayment]*SUM(C51:C62)</f>
        <v>7880.3958913442566</v>
      </c>
      <c r="Q50" s="25">
        <f>Q49*(1+Table7[Monthly SF Inter])+Table9[[#This Row],[Inflation Modifier]]-R49*(1+Table7[Monthly SF Inter])</f>
        <v>3.1967710438723627</v>
      </c>
      <c r="R50" s="25">
        <f>IF(MOD(Table9[[#This Row],[Month]],12)=0,Table9[[#This Row],[Q2 ACC FACTOR]],0)</f>
        <v>0</v>
      </c>
      <c r="S50" s="25">
        <f>S49*(1+D49)+Table9[[#This Row],[ACC FACTOR PAYMENTS]]</f>
        <v>39.281009994939382</v>
      </c>
    </row>
    <row r="51" spans="1:19" x14ac:dyDescent="0.25">
      <c r="A51" s="1">
        <v>39</v>
      </c>
      <c r="B51" s="1">
        <f t="shared" si="0"/>
        <v>0</v>
      </c>
      <c r="C51" s="7">
        <f>G$12/-PV(Table7[Monthly mortgage rate], (12*Table7[Amortization period (yrs)]),1 )</f>
        <v>4377.9977174134756</v>
      </c>
      <c r="D51" s="11">
        <f>IF(Table1[[#This Row],[Month]]&lt;=(12*Table7[mortgage term (yrs)]),Table7[Monthly mortgage rate],Table7[Monthly Exp Renewal Rate])</f>
        <v>2.9777443873004739E-3</v>
      </c>
      <c r="E51" s="21">
        <f>Table1[[#This Row],[Current mortgage rate]]*G50</f>
        <v>1930.1195953030528</v>
      </c>
      <c r="F51" s="5">
        <f>Table1[[#This Row],[Payment amount]]-Table1[[#This Row],[Interest paid]]</f>
        <v>2447.8781221104227</v>
      </c>
      <c r="G51" s="20">
        <f>G50-Table1[[#This Row],[Principal repaid]]-Table1[[#This Row],[Annual paym]]</f>
        <v>645733.88104252913</v>
      </c>
      <c r="H51" s="20">
        <f>H50-(Table1[[#This Row],[Payment amount]]-Table1[[#This Row],[Interest Paid W/O LSP]])</f>
        <v>661446.28504050523</v>
      </c>
      <c r="I51">
        <f>H50*Table1[[#This Row],[Current mortgage rate]]</f>
        <v>1976.7682104670437</v>
      </c>
      <c r="J51" s="25">
        <f>IF(Table1[[#This Row],[Month]]&gt;Table7[Amortization period (yrs)]*12,0,IF(Table1[[#This Row],[Month]]&lt;Table7[mortgage term (yrs)]*12,0,IF(Table1[[#This Row],[Month]]=Table7[mortgage term (yrs)]*12,-H$5,Table1[[#This Row],[Payment amount]]+B51)))</f>
        <v>0</v>
      </c>
      <c r="K51">
        <v>40</v>
      </c>
      <c r="L51">
        <f>Table7[Initial Monthly Deposit]*Table9[[#This Row],[Inflation Modifier]]</f>
        <v>424.48319999999995</v>
      </c>
      <c r="M51">
        <f xml:space="preserve"> (1+Table7[Inflation])^(QUOTIENT(Table9[[#This Row],[Month]]-1,12))</f>
        <v>1.0612079999999999</v>
      </c>
      <c r="N51">
        <f>N50*(1+Table7[Monthly SF Inter])+Table9[[#This Row],[Monthly Payment]]-O50*(1+Table7[Monthly SF Inter])</f>
        <v>1708.4649029674842</v>
      </c>
      <c r="O51">
        <f>IF(MOD(Table9[[#This Row],[Month]],12)=0,(IF(Table9[[#This Row],[Current Balance]]&lt;Table9[[#This Row],[Max Lump Sum ]],Table9[[#This Row],[Current Balance]],Table9[[#This Row],[Max Lump Sum ]])),0)</f>
        <v>0</v>
      </c>
      <c r="P51" s="21">
        <f>Table7[Max annual lump sum repayment]*SUM(C52:C63)</f>
        <v>7880.3958913442566</v>
      </c>
      <c r="Q51" s="25">
        <f>Q50*(1+Table7[Monthly SF Inter])+Table9[[#This Row],[Inflation Modifier]]-R50*(1+Table7[Monthly SF Inter])</f>
        <v>4.2711622574187134</v>
      </c>
      <c r="R51" s="25">
        <f>IF(MOD(Table9[[#This Row],[Month]],12)=0,Table9[[#This Row],[Q2 ACC FACTOR]],0)</f>
        <v>0</v>
      </c>
      <c r="S51" s="25">
        <f>S50*(1+D50)+Table9[[#This Row],[ACC FACTOR PAYMENTS]]</f>
        <v>39.397978801979306</v>
      </c>
    </row>
    <row r="52" spans="1:19" x14ac:dyDescent="0.25">
      <c r="A52" s="1">
        <v>40</v>
      </c>
      <c r="B52" s="1">
        <f t="shared" si="0"/>
        <v>0</v>
      </c>
      <c r="C52" s="7">
        <f>G$12/-PV(Table7[Monthly mortgage rate], (12*Table7[Amortization period (yrs)]),1 )</f>
        <v>4377.9977174134756</v>
      </c>
      <c r="D52" s="11">
        <f>IF(Table1[[#This Row],[Month]]&lt;=(12*Table7[mortgage term (yrs)]),Table7[Monthly mortgage rate],Table7[Monthly Exp Renewal Rate])</f>
        <v>2.9777443873004739E-3</v>
      </c>
      <c r="E52" s="21">
        <f>Table1[[#This Row],[Current mortgage rate]]*G51</f>
        <v>1922.8304399641429</v>
      </c>
      <c r="F52" s="5">
        <f>Table1[[#This Row],[Payment amount]]-Table1[[#This Row],[Interest paid]]</f>
        <v>2455.1672774493327</v>
      </c>
      <c r="G52" s="20">
        <f>G51-Table1[[#This Row],[Principal repaid]]-Table1[[#This Row],[Annual paym]]</f>
        <v>643278.71376507985</v>
      </c>
      <c r="H52" s="20">
        <f>H51-(Table1[[#This Row],[Payment amount]]-Table1[[#This Row],[Interest Paid W/O LSP]])</f>
        <v>659037.90528587182</v>
      </c>
      <c r="I52">
        <f>H51*Table1[[#This Row],[Current mortgage rate]]</f>
        <v>1969.6179627801139</v>
      </c>
      <c r="J52" s="25">
        <f>IF(Table1[[#This Row],[Month]]&gt;Table7[Amortization period (yrs)]*12,0,IF(Table1[[#This Row],[Month]]&lt;Table7[mortgage term (yrs)]*12,0,IF(Table1[[#This Row],[Month]]=Table7[mortgage term (yrs)]*12,-H$5,Table1[[#This Row],[Payment amount]]+B52)))</f>
        <v>0</v>
      </c>
      <c r="K52">
        <v>41</v>
      </c>
      <c r="L52">
        <f>Table7[Initial Monthly Deposit]*Table9[[#This Row],[Inflation Modifier]]</f>
        <v>424.48319999999995</v>
      </c>
      <c r="M52">
        <f xml:space="preserve"> (1+Table7[Inflation])^(QUOTIENT(Table9[[#This Row],[Month]]-1,12))</f>
        <v>1.0612079999999999</v>
      </c>
      <c r="N52">
        <f>N51*(1+Table7[Monthly SF Inter])+Table9[[#This Row],[Monthly Payment]]-O51*(1+Table7[Monthly SF Inter])</f>
        <v>2139.9936678024878</v>
      </c>
      <c r="O52">
        <f>IF(MOD(Table9[[#This Row],[Month]],12)=0,(IF(Table9[[#This Row],[Current Balance]]&lt;Table9[[#This Row],[Max Lump Sum ]],Table9[[#This Row],[Current Balance]],Table9[[#This Row],[Max Lump Sum ]])),0)</f>
        <v>0</v>
      </c>
      <c r="P52" s="21">
        <f>Table7[Max annual lump sum repayment]*SUM(C53:C64)</f>
        <v>7880.3958913442566</v>
      </c>
      <c r="Q52" s="25">
        <f>Q51*(1+Table7[Monthly SF Inter])+Table9[[#This Row],[Inflation Modifier]]-R51*(1+Table7[Monthly SF Inter])</f>
        <v>5.3499841695062225</v>
      </c>
      <c r="R52" s="25">
        <f>IF(MOD(Table9[[#This Row],[Month]],12)=0,Table9[[#This Row],[Q2 ACC FACTOR]],0)</f>
        <v>0</v>
      </c>
      <c r="S52" s="25">
        <f>S51*(1+D51)+Table9[[#This Row],[ACC FACTOR PAYMENTS]]</f>
        <v>39.515295912227884</v>
      </c>
    </row>
    <row r="53" spans="1:19" x14ac:dyDescent="0.25">
      <c r="A53" s="1">
        <v>41</v>
      </c>
      <c r="B53" s="1">
        <f t="shared" si="0"/>
        <v>0</v>
      </c>
      <c r="C53" s="7">
        <f>G$12/-PV(Table7[Monthly mortgage rate], (12*Table7[Amortization period (yrs)]),1 )</f>
        <v>4377.9977174134756</v>
      </c>
      <c r="D53" s="11">
        <f>IF(Table1[[#This Row],[Month]]&lt;=(12*Table7[mortgage term (yrs)]),Table7[Monthly mortgage rate],Table7[Monthly Exp Renewal Rate])</f>
        <v>2.9777443873004739E-3</v>
      </c>
      <c r="E53" s="21">
        <f>Table1[[#This Row],[Current mortgage rate]]*G52</f>
        <v>1915.5195793838345</v>
      </c>
      <c r="F53" s="5">
        <f>Table1[[#This Row],[Payment amount]]-Table1[[#This Row],[Interest paid]]</f>
        <v>2462.4781380296408</v>
      </c>
      <c r="G53" s="20">
        <f>G52-Table1[[#This Row],[Principal repaid]]-Table1[[#This Row],[Annual paym]]</f>
        <v>640816.23562705016</v>
      </c>
      <c r="H53" s="20">
        <f>H52-(Table1[[#This Row],[Payment amount]]-Table1[[#This Row],[Interest Paid W/O LSP]])</f>
        <v>656622.35399194167</v>
      </c>
      <c r="I53">
        <f>H52*Table1[[#This Row],[Current mortgage rate]]</f>
        <v>1962.446423483266</v>
      </c>
      <c r="J53" s="25">
        <f>IF(Table1[[#This Row],[Month]]&gt;Table7[Amortization period (yrs)]*12,0,IF(Table1[[#This Row],[Month]]&lt;Table7[mortgage term (yrs)]*12,0,IF(Table1[[#This Row],[Month]]=Table7[mortgage term (yrs)]*12,-H$5,Table1[[#This Row],[Payment amount]]+B53)))</f>
        <v>0</v>
      </c>
      <c r="K53">
        <v>42</v>
      </c>
      <c r="L53">
        <f>Table7[Initial Monthly Deposit]*Table9[[#This Row],[Inflation Modifier]]</f>
        <v>424.48319999999995</v>
      </c>
      <c r="M53">
        <f xml:space="preserve"> (1+Table7[Inflation])^(QUOTIENT(Table9[[#This Row],[Month]]-1,12))</f>
        <v>1.0612079999999999</v>
      </c>
      <c r="N53">
        <f>N52*(1+Table7[Monthly SF Inter])+Table9[[#This Row],[Monthly Payment]]-O52*(1+Table7[Monthly SF Inter])</f>
        <v>2573.3020207844493</v>
      </c>
      <c r="O53">
        <f>IF(MOD(Table9[[#This Row],[Month]],12)=0,(IF(Table9[[#This Row],[Current Balance]]&lt;Table9[[#This Row],[Max Lump Sum ]],Table9[[#This Row],[Current Balance]],Table9[[#This Row],[Max Lump Sum ]])),0)</f>
        <v>0</v>
      </c>
      <c r="P53" s="21">
        <f>Table7[Max annual lump sum repayment]*SUM(C54:C65)</f>
        <v>7880.3958913442566</v>
      </c>
      <c r="Q53" s="25">
        <f>Q52*(1+Table7[Monthly SF Inter])+Table9[[#This Row],[Inflation Modifier]]-R52*(1+Table7[Monthly SF Inter])</f>
        <v>6.433255051961126</v>
      </c>
      <c r="R53" s="25">
        <f>IF(MOD(Table9[[#This Row],[Month]],12)=0,Table9[[#This Row],[Q2 ACC FACTOR]],0)</f>
        <v>0</v>
      </c>
      <c r="S53" s="25">
        <f>S52*(1+D52)+Table9[[#This Row],[ACC FACTOR PAYMENTS]]</f>
        <v>39.632962362843038</v>
      </c>
    </row>
    <row r="54" spans="1:19" x14ac:dyDescent="0.25">
      <c r="A54" s="1">
        <v>42</v>
      </c>
      <c r="B54" s="1">
        <f t="shared" si="0"/>
        <v>0</v>
      </c>
      <c r="C54" s="7">
        <f>G$12/-PV(Table7[Monthly mortgage rate], (12*Table7[Amortization period (yrs)]),1 )</f>
        <v>4377.9977174134756</v>
      </c>
      <c r="D54" s="11">
        <f>IF(Table1[[#This Row],[Month]]&lt;=(12*Table7[mortgage term (yrs)]),Table7[Monthly mortgage rate],Table7[Monthly Exp Renewal Rate])</f>
        <v>2.9777443873004739E-3</v>
      </c>
      <c r="E54" s="21">
        <f>Table1[[#This Row],[Current mortgage rate]]*G53</f>
        <v>1908.1869489294666</v>
      </c>
      <c r="F54" s="5">
        <f>Table1[[#This Row],[Payment amount]]-Table1[[#This Row],[Interest paid]]</f>
        <v>2469.8107684840088</v>
      </c>
      <c r="G54" s="20">
        <f>G53-Table1[[#This Row],[Principal repaid]]-Table1[[#This Row],[Annual paym]]</f>
        <v>638346.42485856614</v>
      </c>
      <c r="H54" s="20">
        <f>H53-(Table1[[#This Row],[Payment amount]]-Table1[[#This Row],[Interest Paid W/O LSP]])</f>
        <v>654199.60980370373</v>
      </c>
      <c r="I54">
        <f>H53*Table1[[#This Row],[Current mortgage rate]]</f>
        <v>1955.2535291755291</v>
      </c>
      <c r="J54" s="25">
        <f>IF(Table1[[#This Row],[Month]]&gt;Table7[Amortization period (yrs)]*12,0,IF(Table1[[#This Row],[Month]]&lt;Table7[mortgage term (yrs)]*12,0,IF(Table1[[#This Row],[Month]]=Table7[mortgage term (yrs)]*12,-H$5,Table1[[#This Row],[Payment amount]]+B54)))</f>
        <v>0</v>
      </c>
      <c r="K54">
        <v>43</v>
      </c>
      <c r="L54">
        <f>Table7[Initial Monthly Deposit]*Table9[[#This Row],[Inflation Modifier]]</f>
        <v>424.48319999999995</v>
      </c>
      <c r="M54">
        <f xml:space="preserve"> (1+Table7[Inflation])^(QUOTIENT(Table9[[#This Row],[Month]]-1,12))</f>
        <v>1.0612079999999999</v>
      </c>
      <c r="N54">
        <f>N53*(1+Table7[Monthly SF Inter])+Table9[[#This Row],[Monthly Payment]]-O53*(1+Table7[Monthly SF Inter])</f>
        <v>3008.3973007844493</v>
      </c>
      <c r="O54">
        <f>IF(MOD(Table9[[#This Row],[Month]],12)=0,(IF(Table9[[#This Row],[Current Balance]]&lt;Table9[[#This Row],[Max Lump Sum ]],Table9[[#This Row],[Current Balance]],Table9[[#This Row],[Max Lump Sum ]])),0)</f>
        <v>0</v>
      </c>
      <c r="P54" s="21">
        <f>Table7[Max annual lump sum repayment]*SUM(C55:C66)</f>
        <v>7880.3958913442566</v>
      </c>
      <c r="Q54" s="25">
        <f>Q53*(1+Table7[Monthly SF Inter])+Table9[[#This Row],[Inflation Modifier]]-R53*(1+Table7[Monthly SF Inter])</f>
        <v>7.5209932519611256</v>
      </c>
      <c r="R54" s="25">
        <f>IF(MOD(Table9[[#This Row],[Month]],12)=0,Table9[[#This Row],[Q2 ACC FACTOR]],0)</f>
        <v>0</v>
      </c>
      <c r="S54" s="25">
        <f>S53*(1+D53)+Table9[[#This Row],[ACC FACTOR PAYMENTS]]</f>
        <v>39.750979194071085</v>
      </c>
    </row>
    <row r="55" spans="1:19" x14ac:dyDescent="0.25">
      <c r="A55" s="1">
        <v>43</v>
      </c>
      <c r="B55" s="1">
        <f t="shared" si="0"/>
        <v>0</v>
      </c>
      <c r="C55" s="7">
        <f>G$12/-PV(Table7[Monthly mortgage rate], (12*Table7[Amortization period (yrs)]),1 )</f>
        <v>4377.9977174134756</v>
      </c>
      <c r="D55" s="11">
        <f>IF(Table1[[#This Row],[Month]]&lt;=(12*Table7[mortgage term (yrs)]),Table7[Monthly mortgage rate],Table7[Monthly Exp Renewal Rate])</f>
        <v>2.9777443873004739E-3</v>
      </c>
      <c r="E55" s="21">
        <f>Table1[[#This Row],[Current mortgage rate]]*G54</f>
        <v>1900.8324837759189</v>
      </c>
      <c r="F55" s="5">
        <f>Table1[[#This Row],[Payment amount]]-Table1[[#This Row],[Interest paid]]</f>
        <v>2477.1652336375564</v>
      </c>
      <c r="G55" s="20">
        <f>G54-Table1[[#This Row],[Principal repaid]]-Table1[[#This Row],[Annual paym]]</f>
        <v>635869.25962492859</v>
      </c>
      <c r="H55" s="20">
        <f>H54-(Table1[[#This Row],[Payment amount]]-Table1[[#This Row],[Interest Paid W/O LSP]])</f>
        <v>651769.65130255744</v>
      </c>
      <c r="I55">
        <f>H54*Table1[[#This Row],[Current mortgage rate]]</f>
        <v>1948.0392162671387</v>
      </c>
      <c r="J55" s="25">
        <f>IF(Table1[[#This Row],[Month]]&gt;Table7[Amortization period (yrs)]*12,0,IF(Table1[[#This Row],[Month]]&lt;Table7[mortgage term (yrs)]*12,0,IF(Table1[[#This Row],[Month]]=Table7[mortgage term (yrs)]*12,-H$5,Table1[[#This Row],[Payment amount]]+B55)))</f>
        <v>0</v>
      </c>
      <c r="K55">
        <v>44</v>
      </c>
      <c r="L55">
        <f>Table7[Initial Monthly Deposit]*Table9[[#This Row],[Inflation Modifier]]</f>
        <v>424.48319999999995</v>
      </c>
      <c r="M55">
        <f xml:space="preserve"> (1+Table7[Inflation])^(QUOTIENT(Table9[[#This Row],[Month]]-1,12))</f>
        <v>1.0612079999999999</v>
      </c>
      <c r="N55">
        <f>N54*(1+Table7[Monthly SF Inter])+Table9[[#This Row],[Monthly Payment]]-O54*(1+Table7[Monthly SF Inter])</f>
        <v>3445.2868769384527</v>
      </c>
      <c r="O55">
        <f>IF(MOD(Table9[[#This Row],[Month]],12)=0,(IF(Table9[[#This Row],[Current Balance]]&lt;Table9[[#This Row],[Max Lump Sum ]],Table9[[#This Row],[Current Balance]],Table9[[#This Row],[Max Lump Sum ]])),0)</f>
        <v>0</v>
      </c>
      <c r="P55" s="21">
        <f>Table7[Max annual lump sum repayment]*SUM(C56:C67)</f>
        <v>7880.3958913442566</v>
      </c>
      <c r="Q55" s="25">
        <f>Q54*(1+Table7[Monthly SF Inter])+Table9[[#This Row],[Inflation Modifier]]-R54*(1+Table7[Monthly SF Inter])</f>
        <v>8.6132171923461343</v>
      </c>
      <c r="R55" s="25">
        <f>IF(MOD(Table9[[#This Row],[Month]],12)=0,Table9[[#This Row],[Q2 ACC FACTOR]],0)</f>
        <v>0</v>
      </c>
      <c r="S55" s="25">
        <f>S54*(1+D54)+Table9[[#This Row],[ACC FACTOR PAYMENTS]]</f>
        <v>39.869347449255926</v>
      </c>
    </row>
    <row r="56" spans="1:19" x14ac:dyDescent="0.25">
      <c r="A56" s="1">
        <v>44</v>
      </c>
      <c r="B56" s="1">
        <f t="shared" si="0"/>
        <v>0</v>
      </c>
      <c r="C56" s="7">
        <f>G$12/-PV(Table7[Monthly mortgage rate], (12*Table7[Amortization period (yrs)]),1 )</f>
        <v>4377.9977174134756</v>
      </c>
      <c r="D56" s="11">
        <f>IF(Table1[[#This Row],[Month]]&lt;=(12*Table7[mortgage term (yrs)]),Table7[Monthly mortgage rate],Table7[Monthly Exp Renewal Rate])</f>
        <v>2.9777443873004739E-3</v>
      </c>
      <c r="E56" s="21">
        <f>Table1[[#This Row],[Current mortgage rate]]*G55</f>
        <v>1893.4561189050389</v>
      </c>
      <c r="F56" s="5">
        <f>Table1[[#This Row],[Payment amount]]-Table1[[#This Row],[Interest paid]]</f>
        <v>2484.5415985084364</v>
      </c>
      <c r="G56" s="20">
        <f>G55-Table1[[#This Row],[Principal repaid]]-Table1[[#This Row],[Annual paym]]</f>
        <v>633384.7180264201</v>
      </c>
      <c r="H56" s="20">
        <f>H55-(Table1[[#This Row],[Payment amount]]-Table1[[#This Row],[Interest Paid W/O LSP]])</f>
        <v>649332.45700612292</v>
      </c>
      <c r="I56">
        <f>H55*Table1[[#This Row],[Current mortgage rate]]</f>
        <v>1940.8034209789773</v>
      </c>
      <c r="J56" s="25">
        <f>IF(Table1[[#This Row],[Month]]&gt;Table7[Amortization period (yrs)]*12,0,IF(Table1[[#This Row],[Month]]&lt;Table7[mortgage term (yrs)]*12,0,IF(Table1[[#This Row],[Month]]=Table7[mortgage term (yrs)]*12,-H$5,Table1[[#This Row],[Payment amount]]+B56)))</f>
        <v>0</v>
      </c>
      <c r="K56">
        <v>45</v>
      </c>
      <c r="L56">
        <f>Table7[Initial Monthly Deposit]*Table9[[#This Row],[Inflation Modifier]]</f>
        <v>424.48319999999995</v>
      </c>
      <c r="M56">
        <f xml:space="preserve"> (1+Table7[Inflation])^(QUOTIENT(Table9[[#This Row],[Month]]-1,12))</f>
        <v>1.0612079999999999</v>
      </c>
      <c r="N56">
        <f>N55*(1+Table7[Monthly SF Inter])+Table9[[#This Row],[Monthly Payment]]-O55*(1+Table7[Monthly SF Inter])</f>
        <v>3883.9781487721179</v>
      </c>
      <c r="O56">
        <f>IF(MOD(Table9[[#This Row],[Month]],12)=0,(IF(Table9[[#This Row],[Current Balance]]&lt;Table9[[#This Row],[Max Lump Sum ]],Table9[[#This Row],[Current Balance]],Table9[[#This Row],[Max Lump Sum ]])),0)</f>
        <v>0</v>
      </c>
      <c r="P56" s="21">
        <f>Table7[Max annual lump sum repayment]*SUM(C57:C68)</f>
        <v>7880.3958913442566</v>
      </c>
      <c r="Q56" s="25">
        <f>Q55*(1+Table7[Monthly SF Inter])+Table9[[#This Row],[Inflation Modifier]]-R55*(1+Table7[Monthly SF Inter])</f>
        <v>9.7099453719302975</v>
      </c>
      <c r="R56" s="25">
        <f>IF(MOD(Table9[[#This Row],[Month]],12)=0,Table9[[#This Row],[Q2 ACC FACTOR]],0)</f>
        <v>0</v>
      </c>
      <c r="S56" s="25">
        <f>S55*(1+D55)+Table9[[#This Row],[ACC FACTOR PAYMENTS]]</f>
        <v>39.98806817484828</v>
      </c>
    </row>
    <row r="57" spans="1:19" x14ac:dyDescent="0.25">
      <c r="A57" s="1">
        <v>45</v>
      </c>
      <c r="B57" s="1">
        <f t="shared" si="0"/>
        <v>0</v>
      </c>
      <c r="C57" s="7">
        <f>G$12/-PV(Table7[Monthly mortgage rate], (12*Table7[Amortization period (yrs)]),1 )</f>
        <v>4377.9977174134756</v>
      </c>
      <c r="D57" s="11">
        <f>IF(Table1[[#This Row],[Month]]&lt;=(12*Table7[mortgage term (yrs)]),Table7[Monthly mortgage rate],Table7[Monthly Exp Renewal Rate])</f>
        <v>2.9777443873004739E-3</v>
      </c>
      <c r="E57" s="21">
        <f>Table1[[#This Row],[Current mortgage rate]]*G56</f>
        <v>1886.0577891050657</v>
      </c>
      <c r="F57" s="5">
        <f>Table1[[#This Row],[Payment amount]]-Table1[[#This Row],[Interest paid]]</f>
        <v>2491.9399283084099</v>
      </c>
      <c r="G57" s="20">
        <f>G56-Table1[[#This Row],[Principal repaid]]-Table1[[#This Row],[Annual paym]]</f>
        <v>630892.77809811174</v>
      </c>
      <c r="H57" s="20">
        <f>H56-(Table1[[#This Row],[Payment amount]]-Table1[[#This Row],[Interest Paid W/O LSP]])</f>
        <v>646888.00536805147</v>
      </c>
      <c r="I57">
        <f>H56*Table1[[#This Row],[Current mortgage rate]]</f>
        <v>1933.5460793420089</v>
      </c>
      <c r="J57" s="25">
        <f>IF(Table1[[#This Row],[Month]]&gt;Table7[Amortization period (yrs)]*12,0,IF(Table1[[#This Row],[Month]]&lt;Table7[mortgage term (yrs)]*12,0,IF(Table1[[#This Row],[Month]]=Table7[mortgage term (yrs)]*12,-H$5,Table1[[#This Row],[Payment amount]]+B57)))</f>
        <v>0</v>
      </c>
      <c r="K57">
        <v>46</v>
      </c>
      <c r="L57">
        <f>Table7[Initial Monthly Deposit]*Table9[[#This Row],[Inflation Modifier]]</f>
        <v>424.48319999999995</v>
      </c>
      <c r="M57">
        <f xml:space="preserve"> (1+Table7[Inflation])^(QUOTIENT(Table9[[#This Row],[Month]]-1,12))</f>
        <v>1.0612079999999999</v>
      </c>
      <c r="N57">
        <f>N56*(1+Table7[Monthly SF Inter])+Table9[[#This Row],[Monthly Payment]]-O56*(1+Table7[Monthly SF Inter])</f>
        <v>4324.4785463261214</v>
      </c>
      <c r="O57">
        <f>IF(MOD(Table9[[#This Row],[Month]],12)=0,(IF(Table9[[#This Row],[Current Balance]]&lt;Table9[[#This Row],[Max Lump Sum ]],Table9[[#This Row],[Current Balance]],Table9[[#This Row],[Max Lump Sum ]])),0)</f>
        <v>0</v>
      </c>
      <c r="P57" s="21">
        <f>Table7[Max annual lump sum repayment]*SUM(C58:C69)</f>
        <v>7880.3958913442566</v>
      </c>
      <c r="Q57" s="25">
        <f>Q56*(1+Table7[Monthly SF Inter])+Table9[[#This Row],[Inflation Modifier]]-R56*(1+Table7[Monthly SF Inter])</f>
        <v>10.811196365815308</v>
      </c>
      <c r="R57" s="25">
        <f>IF(MOD(Table9[[#This Row],[Month]],12)=0,Table9[[#This Row],[Q2 ACC FACTOR]],0)</f>
        <v>0</v>
      </c>
      <c r="S57" s="25">
        <f>S56*(1+D56)+Table9[[#This Row],[ACC FACTOR PAYMENTS]]</f>
        <v>40.107142420414924</v>
      </c>
    </row>
    <row r="58" spans="1:19" x14ac:dyDescent="0.25">
      <c r="A58" s="1">
        <v>46</v>
      </c>
      <c r="B58" s="1">
        <f t="shared" si="0"/>
        <v>0</v>
      </c>
      <c r="C58" s="7">
        <f>G$12/-PV(Table7[Monthly mortgage rate], (12*Table7[Amortization period (yrs)]),1 )</f>
        <v>4377.9977174134756</v>
      </c>
      <c r="D58" s="11">
        <f>IF(Table1[[#This Row],[Month]]&lt;=(12*Table7[mortgage term (yrs)]),Table7[Monthly mortgage rate],Table7[Monthly Exp Renewal Rate])</f>
        <v>2.9777443873004739E-3</v>
      </c>
      <c r="E58" s="21">
        <f>Table1[[#This Row],[Current mortgage rate]]*G57</f>
        <v>1878.6374289700555</v>
      </c>
      <c r="F58" s="5">
        <f>Table1[[#This Row],[Payment amount]]-Table1[[#This Row],[Interest paid]]</f>
        <v>2499.3602884434204</v>
      </c>
      <c r="G58" s="20">
        <f>G57-Table1[[#This Row],[Principal repaid]]-Table1[[#This Row],[Annual paym]]</f>
        <v>628393.41780966835</v>
      </c>
      <c r="H58" s="20">
        <f>H57-(Table1[[#This Row],[Payment amount]]-Table1[[#This Row],[Interest Paid W/O LSP]])</f>
        <v>644436.27477783465</v>
      </c>
      <c r="I58">
        <f>H57*Table1[[#This Row],[Current mortgage rate]]</f>
        <v>1926.267127196714</v>
      </c>
      <c r="J58" s="25">
        <f>IF(Table1[[#This Row],[Month]]&gt;Table7[Amortization period (yrs)]*12,0,IF(Table1[[#This Row],[Month]]&lt;Table7[mortgage term (yrs)]*12,0,IF(Table1[[#This Row],[Month]]=Table7[mortgage term (yrs)]*12,-H$5,Table1[[#This Row],[Payment amount]]+B58)))</f>
        <v>0</v>
      </c>
      <c r="K58">
        <v>47</v>
      </c>
      <c r="L58">
        <f>Table7[Initial Monthly Deposit]*Table9[[#This Row],[Inflation Modifier]]</f>
        <v>424.48319999999995</v>
      </c>
      <c r="M58">
        <f xml:space="preserve"> (1+Table7[Inflation])^(QUOTIENT(Table9[[#This Row],[Month]]-1,12))</f>
        <v>1.0612079999999999</v>
      </c>
      <c r="N58">
        <f>N57*(1+Table7[Monthly SF Inter])+Table9[[#This Row],[Monthly Payment]]-O57*(1+Table7[Monthly SF Inter])</f>
        <v>4766.7955302820001</v>
      </c>
      <c r="O58">
        <f>IF(MOD(Table9[[#This Row],[Month]],12)=0,(IF(Table9[[#This Row],[Current Balance]]&lt;Table9[[#This Row],[Max Lump Sum ]],Table9[[#This Row],[Current Balance]],Table9[[#This Row],[Max Lump Sum ]])),0)</f>
        <v>0</v>
      </c>
      <c r="P58" s="21">
        <f>Table7[Max annual lump sum repayment]*SUM(C59:C70)</f>
        <v>7880.3958913442566</v>
      </c>
      <c r="Q58" s="25">
        <f>Q57*(1+Table7[Monthly SF Inter])+Table9[[#This Row],[Inflation Modifier]]-R57*(1+Table7[Monthly SF Inter])</f>
        <v>11.916988825705005</v>
      </c>
      <c r="R58" s="25">
        <f>IF(MOD(Table9[[#This Row],[Month]],12)=0,Table9[[#This Row],[Q2 ACC FACTOR]],0)</f>
        <v>0</v>
      </c>
      <c r="S58" s="25">
        <f>S57*(1+D57)+Table9[[#This Row],[ACC FACTOR PAYMENTS]]</f>
        <v>40.226571238647978</v>
      </c>
    </row>
    <row r="59" spans="1:19" x14ac:dyDescent="0.25">
      <c r="A59" s="1">
        <v>47</v>
      </c>
      <c r="B59" s="1">
        <f t="shared" si="0"/>
        <v>0</v>
      </c>
      <c r="C59" s="7">
        <f>G$12/-PV(Table7[Monthly mortgage rate], (12*Table7[Amortization period (yrs)]),1 )</f>
        <v>4377.9977174134756</v>
      </c>
      <c r="D59" s="11">
        <f>IF(Table1[[#This Row],[Month]]&lt;=(12*Table7[mortgage term (yrs)]),Table7[Monthly mortgage rate],Table7[Monthly Exp Renewal Rate])</f>
        <v>2.9777443873004739E-3</v>
      </c>
      <c r="E59" s="21">
        <f>Table1[[#This Row],[Current mortgage rate]]*G58</f>
        <v>1871.1949728993015</v>
      </c>
      <c r="F59" s="5">
        <f>Table1[[#This Row],[Payment amount]]-Table1[[#This Row],[Interest paid]]</f>
        <v>2506.8027445141743</v>
      </c>
      <c r="G59" s="20">
        <f>G58-Table1[[#This Row],[Principal repaid]]-Table1[[#This Row],[Annual paym]]</f>
        <v>625886.61506515415</v>
      </c>
      <c r="H59" s="20">
        <f>H58-(Table1[[#This Row],[Payment amount]]-Table1[[#This Row],[Interest Paid W/O LSP]])</f>
        <v>641977.24356061372</v>
      </c>
      <c r="I59">
        <f>H58*Table1[[#This Row],[Current mortgage rate]]</f>
        <v>1918.966500192523</v>
      </c>
      <c r="J59" s="25">
        <f>IF(Table1[[#This Row],[Month]]&gt;Table7[Amortization period (yrs)]*12,0,IF(Table1[[#This Row],[Month]]&lt;Table7[mortgage term (yrs)]*12,0,IF(Table1[[#This Row],[Month]]=Table7[mortgage term (yrs)]*12,-H$5,Table1[[#This Row],[Payment amount]]+B59)))</f>
        <v>0</v>
      </c>
      <c r="K59">
        <v>48</v>
      </c>
      <c r="L59">
        <f>Table7[Initial Monthly Deposit]*Table9[[#This Row],[Inflation Modifier]]</f>
        <v>424.48319999999995</v>
      </c>
      <c r="M59">
        <f xml:space="preserve"> (1+Table7[Inflation])^(QUOTIENT(Table9[[#This Row],[Month]]-1,12))</f>
        <v>1.0612079999999999</v>
      </c>
      <c r="N59">
        <f>N58*(1+Table7[Monthly SF Inter])+Table9[[#This Row],[Monthly Payment]]-O58*(1+Table7[Monthly SF Inter])</f>
        <v>5210.9365920885102</v>
      </c>
      <c r="O59">
        <f>IF(MOD(Table9[[#This Row],[Month]],12)=0,(IF(Table9[[#This Row],[Current Balance]]&lt;Table9[[#This Row],[Max Lump Sum ]],Table9[[#This Row],[Current Balance]],Table9[[#This Row],[Max Lump Sum ]])),0)</f>
        <v>5210.9365920885102</v>
      </c>
      <c r="P59" s="21">
        <f>Table7[Max annual lump sum repayment]*SUM(C60:C71)</f>
        <v>7880.3958913442566</v>
      </c>
      <c r="Q59" s="25">
        <f>Q58*(1+Table7[Monthly SF Inter])+Table9[[#This Row],[Inflation Modifier]]-R58*(1+Table7[Monthly SF Inter])</f>
        <v>13.027341480221281</v>
      </c>
      <c r="R59" s="25">
        <f>IF(MOD(Table9[[#This Row],[Month]],12)=0,Table9[[#This Row],[Q2 ACC FACTOR]],0)</f>
        <v>13.027341480221281</v>
      </c>
      <c r="S59" s="25">
        <f>S58*(1+D58)+Table9[[#This Row],[ACC FACTOR PAYMENTS]]</f>
        <v>53.373697165595487</v>
      </c>
    </row>
    <row r="60" spans="1:19" x14ac:dyDescent="0.25">
      <c r="A60" s="1">
        <v>48</v>
      </c>
      <c r="B60" s="1">
        <f t="shared" si="0"/>
        <v>5210.9365920885102</v>
      </c>
      <c r="C60" s="7">
        <f>G$12/-PV(Table7[Monthly mortgage rate], (12*Table7[Amortization period (yrs)]),1 )</f>
        <v>4377.9977174134756</v>
      </c>
      <c r="D60" s="11">
        <f>IF(Table1[[#This Row],[Month]]&lt;=(12*Table7[mortgage term (yrs)]),Table7[Monthly mortgage rate],Table7[Monthly Exp Renewal Rate])</f>
        <v>2.9777443873004739E-3</v>
      </c>
      <c r="E60" s="21">
        <f>Table1[[#This Row],[Current mortgage rate]]*G59</f>
        <v>1863.7303550967549</v>
      </c>
      <c r="F60" s="5">
        <f>Table1[[#This Row],[Payment amount]]-Table1[[#This Row],[Interest paid]]</f>
        <v>2514.2673623167207</v>
      </c>
      <c r="G60" s="20">
        <f>G59-Table1[[#This Row],[Principal repaid]]-Table1[[#This Row],[Annual paym]]</f>
        <v>618161.41111074889</v>
      </c>
      <c r="H60" s="20">
        <f>H59-(Table1[[#This Row],[Payment amount]]-Table1[[#This Row],[Interest Paid W/O LSP]])</f>
        <v>639510.8899769875</v>
      </c>
      <c r="I60">
        <f>H59*Table1[[#This Row],[Current mortgage rate]]</f>
        <v>1911.6441337872468</v>
      </c>
      <c r="J60" s="25">
        <f>IF(Table1[[#This Row],[Month]]&gt;Table7[Amortization period (yrs)]*12,0,IF(Table1[[#This Row],[Month]]&lt;Table7[mortgage term (yrs)]*12,0,IF(Table1[[#This Row],[Month]]=Table7[mortgage term (yrs)]*12,-H$5,Table1[[#This Row],[Payment amount]]+B60)))</f>
        <v>0</v>
      </c>
      <c r="K60">
        <v>49</v>
      </c>
      <c r="L60">
        <f>Table7[Initial Monthly Deposit]*Table9[[#This Row],[Inflation Modifier]]</f>
        <v>432.97286400000002</v>
      </c>
      <c r="M60">
        <f xml:space="preserve"> (1+Table7[Inflation])^(QUOTIENT(Table9[[#This Row],[Month]]-1,12))</f>
        <v>1.08243216</v>
      </c>
      <c r="N60">
        <f>N59*(1+Table7[Monthly SF Inter])+Table9[[#This Row],[Monthly Payment]]-O59*(1+Table7[Monthly SF Inter])</f>
        <v>432.9728640000003</v>
      </c>
      <c r="O60">
        <f>IF(MOD(Table9[[#This Row],[Month]],12)=0,(IF(Table9[[#This Row],[Current Balance]]&lt;Table9[[#This Row],[Max Lump Sum ]],Table9[[#This Row],[Current Balance]],Table9[[#This Row],[Max Lump Sum ]])),0)</f>
        <v>0</v>
      </c>
      <c r="P60" s="21">
        <f>Table7[Max annual lump sum repayment]*SUM(C61:C72)</f>
        <v>7880.3958913442566</v>
      </c>
      <c r="Q60" s="25">
        <f>Q59*(1+Table7[Monthly SF Inter])+Table9[[#This Row],[Inflation Modifier]]-R59*(1+Table7[Monthly SF Inter])</f>
        <v>1.0824321599999998</v>
      </c>
      <c r="R60" s="25">
        <f>IF(MOD(Table9[[#This Row],[Month]],12)=0,Table9[[#This Row],[Q2 ACC FACTOR]],0)</f>
        <v>0</v>
      </c>
      <c r="S60" s="25">
        <f>S59*(1+D59)+Table9[[#This Row],[ACC FACTOR PAYMENTS]]</f>
        <v>53.532630392759813</v>
      </c>
    </row>
    <row r="61" spans="1:19" x14ac:dyDescent="0.25">
      <c r="A61" s="1">
        <v>49</v>
      </c>
      <c r="B61" s="1">
        <f t="shared" si="0"/>
        <v>0</v>
      </c>
      <c r="C61" s="7">
        <f>G$12/-PV(Table7[Monthly mortgage rate], (12*Table7[Amortization period (yrs)]),1 )</f>
        <v>4377.9977174134756</v>
      </c>
      <c r="D61" s="11">
        <f>IF(Table1[[#This Row],[Month]]&lt;=(12*Table7[mortgage term (yrs)]),Table7[Monthly mortgage rate],Table7[Monthly Exp Renewal Rate])</f>
        <v>2.9777443873004739E-3</v>
      </c>
      <c r="E61" s="21">
        <f>Table1[[#This Row],[Current mortgage rate]]*G60</f>
        <v>1840.7266723807734</v>
      </c>
      <c r="F61" s="5">
        <f>Table1[[#This Row],[Payment amount]]-Table1[[#This Row],[Interest paid]]</f>
        <v>2537.2710450327022</v>
      </c>
      <c r="G61" s="20">
        <f>G60-Table1[[#This Row],[Principal repaid]]-Table1[[#This Row],[Annual paym]]</f>
        <v>615624.14006571623</v>
      </c>
      <c r="H61" s="20">
        <f>H60-(Table1[[#This Row],[Payment amount]]-Table1[[#This Row],[Interest Paid W/O LSP]])</f>
        <v>637037.19222282048</v>
      </c>
      <c r="I61">
        <f>H60*Table1[[#This Row],[Current mortgage rate]]</f>
        <v>1904.2999632465053</v>
      </c>
      <c r="J61" s="25">
        <f>IF(Table1[[#This Row],[Month]]&gt;Table7[Amortization period (yrs)]*12,0,IF(Table1[[#This Row],[Month]]&lt;Table7[mortgage term (yrs)]*12,0,IF(Table1[[#This Row],[Month]]=Table7[mortgage term (yrs)]*12,-H$5,Table1[[#This Row],[Payment amount]]+B61)))</f>
        <v>0</v>
      </c>
      <c r="K61">
        <v>50</v>
      </c>
      <c r="L61">
        <f>Table7[Initial Monthly Deposit]*Table9[[#This Row],[Inflation Modifier]]</f>
        <v>432.97286400000002</v>
      </c>
      <c r="M61">
        <f xml:space="preserve"> (1+Table7[Inflation])^(QUOTIENT(Table9[[#This Row],[Month]]-1,12))</f>
        <v>1.08243216</v>
      </c>
      <c r="N61">
        <f>N60*(1+Table7[Monthly SF Inter])+Table9[[#This Row],[Monthly Payment]]-O60*(1+Table7[Monthly SF Inter])</f>
        <v>867.7312714898377</v>
      </c>
      <c r="O61">
        <f>IF(MOD(Table9[[#This Row],[Month]],12)=0,(IF(Table9[[#This Row],[Current Balance]]&lt;Table9[[#This Row],[Max Lump Sum ]],Table9[[#This Row],[Current Balance]],Table9[[#This Row],[Max Lump Sum ]])),0)</f>
        <v>0</v>
      </c>
      <c r="P61" s="21">
        <f>Table7[Max annual lump sum repayment]*SUM(C62:C73)</f>
        <v>7880.3958913442566</v>
      </c>
      <c r="Q61" s="25">
        <f>Q60*(1+Table7[Monthly SF Inter])+Table9[[#This Row],[Inflation Modifier]]-R60*(1+Table7[Monthly SF Inter])</f>
        <v>2.1693281787245935</v>
      </c>
      <c r="R61" s="25">
        <f>IF(MOD(Table9[[#This Row],[Month]],12)=0,Table9[[#This Row],[Q2 ACC FACTOR]],0)</f>
        <v>0</v>
      </c>
      <c r="S61" s="25">
        <f>S60*(1+D60)+Table9[[#This Row],[ACC FACTOR PAYMENTS]]</f>
        <v>53.692036882449287</v>
      </c>
    </row>
    <row r="62" spans="1:19" x14ac:dyDescent="0.25">
      <c r="A62" s="1">
        <v>50</v>
      </c>
      <c r="B62" s="1">
        <f t="shared" si="0"/>
        <v>0</v>
      </c>
      <c r="C62" s="7">
        <f>G$12/-PV(Table7[Monthly mortgage rate], (12*Table7[Amortization period (yrs)]),1 )</f>
        <v>4377.9977174134756</v>
      </c>
      <c r="D62" s="11">
        <f>IF(Table1[[#This Row],[Month]]&lt;=(12*Table7[mortgage term (yrs)]),Table7[Monthly mortgage rate],Table7[Monthly Exp Renewal Rate])</f>
        <v>2.9777443873004739E-3</v>
      </c>
      <c r="E62" s="21">
        <f>Table1[[#This Row],[Current mortgage rate]]*G61</f>
        <v>1833.1713277673673</v>
      </c>
      <c r="F62" s="5">
        <f>Table1[[#This Row],[Payment amount]]-Table1[[#This Row],[Interest paid]]</f>
        <v>2544.8263896461085</v>
      </c>
      <c r="G62" s="20">
        <f>G61-Table1[[#This Row],[Principal repaid]]-Table1[[#This Row],[Annual paym]]</f>
        <v>613079.31367607007</v>
      </c>
      <c r="H62" s="20">
        <f>H61-(Table1[[#This Row],[Payment amount]]-Table1[[#This Row],[Interest Paid W/O LSP]])</f>
        <v>634556.12842905021</v>
      </c>
      <c r="I62">
        <f>H61*Table1[[#This Row],[Current mortgage rate]]</f>
        <v>1896.9339236431567</v>
      </c>
      <c r="J62" s="25">
        <f>IF(Table1[[#This Row],[Month]]&gt;Table7[Amortization period (yrs)]*12,0,IF(Table1[[#This Row],[Month]]&lt;Table7[mortgage term (yrs)]*12,0,IF(Table1[[#This Row],[Month]]=Table7[mortgage term (yrs)]*12,-H$5,Table1[[#This Row],[Payment amount]]+B62)))</f>
        <v>0</v>
      </c>
      <c r="K62">
        <v>51</v>
      </c>
      <c r="L62">
        <f>Table7[Initial Monthly Deposit]*Table9[[#This Row],[Inflation Modifier]]</f>
        <v>432.97286400000002</v>
      </c>
      <c r="M62">
        <f xml:space="preserve"> (1+Table7[Inflation])^(QUOTIENT(Table9[[#This Row],[Month]]-1,12))</f>
        <v>1.08243216</v>
      </c>
      <c r="N62">
        <f>N61*(1+Table7[Monthly SF Inter])+Table9[[#This Row],[Monthly Payment]]-O61*(1+Table7[Monthly SF Inter])</f>
        <v>1304.282585899924</v>
      </c>
      <c r="O62">
        <f>IF(MOD(Table9[[#This Row],[Month]],12)=0,(IF(Table9[[#This Row],[Current Balance]]&lt;Table9[[#This Row],[Max Lump Sum ]],Table9[[#This Row],[Current Balance]],Table9[[#This Row],[Max Lump Sum ]])),0)</f>
        <v>0</v>
      </c>
      <c r="P62" s="21">
        <f>Table7[Max annual lump sum repayment]*SUM(C63:C74)</f>
        <v>7880.3958913442566</v>
      </c>
      <c r="Q62" s="25">
        <f>Q61*(1+Table7[Monthly SF Inter])+Table9[[#This Row],[Inflation Modifier]]-R61*(1+Table7[Monthly SF Inter])</f>
        <v>3.2607064647498092</v>
      </c>
      <c r="R62" s="25">
        <f>IF(MOD(Table9[[#This Row],[Month]],12)=0,Table9[[#This Row],[Q2 ACC FACTOR]],0)</f>
        <v>0</v>
      </c>
      <c r="S62" s="25">
        <f>S61*(1+D61)+Table9[[#This Row],[ACC FACTOR PAYMENTS]]</f>
        <v>53.851918043918729</v>
      </c>
    </row>
    <row r="63" spans="1:19" x14ac:dyDescent="0.25">
      <c r="A63" s="1">
        <v>51</v>
      </c>
      <c r="B63" s="1">
        <f t="shared" si="0"/>
        <v>0</v>
      </c>
      <c r="C63" s="7">
        <f>G$12/-PV(Table7[Monthly mortgage rate], (12*Table7[Amortization period (yrs)]),1 )</f>
        <v>4377.9977174134756</v>
      </c>
      <c r="D63" s="11">
        <f>IF(Table1[[#This Row],[Month]]&lt;=(12*Table7[mortgage term (yrs)]),Table7[Monthly mortgage rate],Table7[Monthly Exp Renewal Rate])</f>
        <v>2.9777443873004739E-3</v>
      </c>
      <c r="E63" s="21">
        <f>Table1[[#This Row],[Current mortgage rate]]*G62</f>
        <v>1825.5934852689443</v>
      </c>
      <c r="F63" s="5">
        <f>Table1[[#This Row],[Payment amount]]-Table1[[#This Row],[Interest paid]]</f>
        <v>2552.4042321445313</v>
      </c>
      <c r="G63" s="20">
        <f>G62-Table1[[#This Row],[Principal repaid]]-Table1[[#This Row],[Annual paym]]</f>
        <v>610526.90944392548</v>
      </c>
      <c r="H63" s="20">
        <f>H62-(Table1[[#This Row],[Payment amount]]-Table1[[#This Row],[Interest Paid W/O LSP]])</f>
        <v>632067.67666149349</v>
      </c>
      <c r="I63">
        <f>H62*Table1[[#This Row],[Current mortgage rate]]</f>
        <v>1889.5459498567229</v>
      </c>
      <c r="J63" s="25">
        <f>IF(Table1[[#This Row],[Month]]&gt;Table7[Amortization period (yrs)]*12,0,IF(Table1[[#This Row],[Month]]&lt;Table7[mortgage term (yrs)]*12,0,IF(Table1[[#This Row],[Month]]=Table7[mortgage term (yrs)]*12,-H$5,Table1[[#This Row],[Payment amount]]+B63)))</f>
        <v>0</v>
      </c>
      <c r="K63">
        <v>52</v>
      </c>
      <c r="L63">
        <f>Table7[Initial Monthly Deposit]*Table9[[#This Row],[Inflation Modifier]]</f>
        <v>432.97286400000002</v>
      </c>
      <c r="M63">
        <f xml:space="preserve"> (1+Table7[Inflation])^(QUOTIENT(Table9[[#This Row],[Month]]-1,12))</f>
        <v>1.08243216</v>
      </c>
      <c r="N63">
        <f>N62*(1+Table7[Monthly SF Inter])+Table9[[#This Row],[Monthly Payment]]-O62*(1+Table7[Monthly SF Inter])</f>
        <v>1742.6342010268352</v>
      </c>
      <c r="O63">
        <f>IF(MOD(Table9[[#This Row],[Month]],12)=0,(IF(Table9[[#This Row],[Current Balance]]&lt;Table9[[#This Row],[Max Lump Sum ]],Table9[[#This Row],[Current Balance]],Table9[[#This Row],[Max Lump Sum ]])),0)</f>
        <v>0</v>
      </c>
      <c r="P63" s="21">
        <f>Table7[Max annual lump sum repayment]*SUM(C64:C75)</f>
        <v>7880.3958913442566</v>
      </c>
      <c r="Q63" s="25">
        <f>Q62*(1+Table7[Monthly SF Inter])+Table9[[#This Row],[Inflation Modifier]]-R62*(1+Table7[Monthly SF Inter])</f>
        <v>4.3565855025670865</v>
      </c>
      <c r="R63" s="25">
        <f>IF(MOD(Table9[[#This Row],[Month]],12)=0,Table9[[#This Row],[Q2 ACC FACTOR]],0)</f>
        <v>0</v>
      </c>
      <c r="S63" s="25">
        <f>S62*(1+D62)+Table9[[#This Row],[ACC FACTOR PAYMENTS]]</f>
        <v>54.012275290619371</v>
      </c>
    </row>
    <row r="64" spans="1:19" x14ac:dyDescent="0.25">
      <c r="A64" s="1">
        <v>52</v>
      </c>
      <c r="B64" s="1">
        <f t="shared" si="0"/>
        <v>0</v>
      </c>
      <c r="C64" s="7">
        <f>G$12/-PV(Table7[Monthly mortgage rate], (12*Table7[Amortization period (yrs)]),1 )</f>
        <v>4377.9977174134756</v>
      </c>
      <c r="D64" s="11">
        <f>IF(Table1[[#This Row],[Month]]&lt;=(12*Table7[mortgage term (yrs)]),Table7[Monthly mortgage rate],Table7[Monthly Exp Renewal Rate])</f>
        <v>2.9777443873004739E-3</v>
      </c>
      <c r="E64" s="21">
        <f>Table1[[#This Row],[Current mortgage rate]]*G63</f>
        <v>1817.9930778925539</v>
      </c>
      <c r="F64" s="5">
        <f>Table1[[#This Row],[Payment amount]]-Table1[[#This Row],[Interest paid]]</f>
        <v>2560.004639520922</v>
      </c>
      <c r="G64" s="20">
        <f>G63-Table1[[#This Row],[Principal repaid]]-Table1[[#This Row],[Annual paym]]</f>
        <v>607966.90480440459</v>
      </c>
      <c r="H64" s="20">
        <f>H63-(Table1[[#This Row],[Payment amount]]-Table1[[#This Row],[Interest Paid W/O LSP]])</f>
        <v>629571.81492065277</v>
      </c>
      <c r="I64">
        <f>H63*Table1[[#This Row],[Current mortgage rate]]</f>
        <v>1882.135976572813</v>
      </c>
      <c r="J64" s="25">
        <f>IF(Table1[[#This Row],[Month]]&gt;Table7[Amortization period (yrs)]*12,0,IF(Table1[[#This Row],[Month]]&lt;Table7[mortgage term (yrs)]*12,0,IF(Table1[[#This Row],[Month]]=Table7[mortgage term (yrs)]*12,-H$5,Table1[[#This Row],[Payment amount]]+B64)))</f>
        <v>0</v>
      </c>
      <c r="K64">
        <v>53</v>
      </c>
      <c r="L64">
        <f>Table7[Initial Monthly Deposit]*Table9[[#This Row],[Inflation Modifier]]</f>
        <v>432.97286400000002</v>
      </c>
      <c r="M64">
        <f xml:space="preserve"> (1+Table7[Inflation])^(QUOTIENT(Table9[[#This Row],[Month]]-1,12))</f>
        <v>1.08243216</v>
      </c>
      <c r="N64">
        <f>N63*(1+Table7[Monthly SF Inter])+Table9[[#This Row],[Monthly Payment]]-O63*(1+Table7[Monthly SF Inter])</f>
        <v>2182.793541158539</v>
      </c>
      <c r="O64">
        <f>IF(MOD(Table9[[#This Row],[Month]],12)=0,(IF(Table9[[#This Row],[Current Balance]]&lt;Table9[[#This Row],[Max Lump Sum ]],Table9[[#This Row],[Current Balance]],Table9[[#This Row],[Max Lump Sum ]])),0)</f>
        <v>0</v>
      </c>
      <c r="P64" s="21">
        <f>Table7[Max annual lump sum repayment]*SUM(C65:C76)</f>
        <v>7880.3958913442566</v>
      </c>
      <c r="Q64" s="25">
        <f>Q63*(1+Table7[Monthly SF Inter])+Table9[[#This Row],[Inflation Modifier]]-R63*(1+Table7[Monthly SF Inter])</f>
        <v>5.4569838528963457</v>
      </c>
      <c r="R64" s="25">
        <f>IF(MOD(Table9[[#This Row],[Month]],12)=0,Table9[[#This Row],[Q2 ACC FACTOR]],0)</f>
        <v>0</v>
      </c>
      <c r="S64" s="25">
        <f>S63*(1+D63)+Table9[[#This Row],[ACC FACTOR PAYMENTS]]</f>
        <v>54.173110040211341</v>
      </c>
    </row>
    <row r="65" spans="1:19" x14ac:dyDescent="0.25">
      <c r="A65" s="1">
        <v>53</v>
      </c>
      <c r="B65" s="1">
        <f t="shared" si="0"/>
        <v>0</v>
      </c>
      <c r="C65" s="7">
        <f>G$12/-PV(Table7[Monthly mortgage rate], (12*Table7[Amortization period (yrs)]),1 )</f>
        <v>4377.9977174134756</v>
      </c>
      <c r="D65" s="11">
        <f>IF(Table1[[#This Row],[Month]]&lt;=(12*Table7[mortgage term (yrs)]),Table7[Monthly mortgage rate],Table7[Monthly Exp Renewal Rate])</f>
        <v>2.9777443873004739E-3</v>
      </c>
      <c r="E65" s="21">
        <f>Table1[[#This Row],[Current mortgage rate]]*G64</f>
        <v>1810.3700384457572</v>
      </c>
      <c r="F65" s="5">
        <f>Table1[[#This Row],[Payment amount]]-Table1[[#This Row],[Interest paid]]</f>
        <v>2567.6276789677186</v>
      </c>
      <c r="G65" s="20">
        <f>G64-Table1[[#This Row],[Principal repaid]]-Table1[[#This Row],[Annual paym]]</f>
        <v>605399.27712543693</v>
      </c>
      <c r="H65" s="20">
        <f>H64-(Table1[[#This Row],[Payment amount]]-Table1[[#This Row],[Interest Paid W/O LSP]])</f>
        <v>627068.52114152187</v>
      </c>
      <c r="I65">
        <f>H64*Table1[[#This Row],[Current mortgage rate]]</f>
        <v>1874.7039382825465</v>
      </c>
      <c r="J65" s="25">
        <f>IF(Table1[[#This Row],[Month]]&gt;Table7[Amortization period (yrs)]*12,0,IF(Table1[[#This Row],[Month]]&lt;Table7[mortgage term (yrs)]*12,0,IF(Table1[[#This Row],[Month]]=Table7[mortgage term (yrs)]*12,-H$5,Table1[[#This Row],[Payment amount]]+B65)))</f>
        <v>0</v>
      </c>
      <c r="K65">
        <v>54</v>
      </c>
      <c r="L65">
        <f>Table7[Initial Monthly Deposit]*Table9[[#This Row],[Inflation Modifier]]</f>
        <v>432.97286400000002</v>
      </c>
      <c r="M65">
        <f xml:space="preserve"> (1+Table7[Inflation])^(QUOTIENT(Table9[[#This Row],[Month]]-1,12))</f>
        <v>1.08243216</v>
      </c>
      <c r="N65">
        <f>N64*(1+Table7[Monthly SF Inter])+Table9[[#This Row],[Monthly Payment]]-O64*(1+Table7[Monthly SF Inter])</f>
        <v>2624.7680612001395</v>
      </c>
      <c r="O65">
        <f>IF(MOD(Table9[[#This Row],[Month]],12)=0,(IF(Table9[[#This Row],[Current Balance]]&lt;Table9[[#This Row],[Max Lump Sum ]],Table9[[#This Row],[Current Balance]],Table9[[#This Row],[Max Lump Sum ]])),0)</f>
        <v>0</v>
      </c>
      <c r="P65" s="21">
        <f>Table7[Max annual lump sum repayment]*SUM(C66:C77)</f>
        <v>7880.3958913442566</v>
      </c>
      <c r="Q65" s="25">
        <f>Q64*(1+Table7[Monthly SF Inter])+Table9[[#This Row],[Inflation Modifier]]-R64*(1+Table7[Monthly SF Inter])</f>
        <v>6.5619201530003473</v>
      </c>
      <c r="R65" s="25">
        <f>IF(MOD(Table9[[#This Row],[Month]],12)=0,Table9[[#This Row],[Q2 ACC FACTOR]],0)</f>
        <v>0</v>
      </c>
      <c r="S65" s="25">
        <f>S64*(1+D64)+Table9[[#This Row],[ACC FACTOR PAYMENTS]]</f>
        <v>54.334423714576189</v>
      </c>
    </row>
    <row r="66" spans="1:19" x14ac:dyDescent="0.25">
      <c r="A66" s="1">
        <v>54</v>
      </c>
      <c r="B66" s="1">
        <f t="shared" si="0"/>
        <v>0</v>
      </c>
      <c r="C66" s="7">
        <f>G$12/-PV(Table7[Monthly mortgage rate], (12*Table7[Amortization period (yrs)]),1 )</f>
        <v>4377.9977174134756</v>
      </c>
      <c r="D66" s="11">
        <f>IF(Table1[[#This Row],[Month]]&lt;=(12*Table7[mortgage term (yrs)]),Table7[Monthly mortgage rate],Table7[Monthly Exp Renewal Rate])</f>
        <v>2.9777443873004739E-3</v>
      </c>
      <c r="E66" s="21">
        <f>Table1[[#This Row],[Current mortgage rate]]*G65</f>
        <v>1802.7242995360339</v>
      </c>
      <c r="F66" s="5">
        <f>Table1[[#This Row],[Payment amount]]-Table1[[#This Row],[Interest paid]]</f>
        <v>2575.2734178774417</v>
      </c>
      <c r="G66" s="20">
        <f>G65-Table1[[#This Row],[Principal repaid]]-Table1[[#This Row],[Annual paym]]</f>
        <v>602824.00370755943</v>
      </c>
      <c r="H66" s="20">
        <f>H65-(Table1[[#This Row],[Payment amount]]-Table1[[#This Row],[Interest Paid W/O LSP]])</f>
        <v>624557.77319339034</v>
      </c>
      <c r="I66">
        <f>H65*Table1[[#This Row],[Current mortgage rate]]</f>
        <v>1867.2497692819752</v>
      </c>
      <c r="J66" s="25">
        <f>IF(Table1[[#This Row],[Month]]&gt;Table7[Amortization period (yrs)]*12,0,IF(Table1[[#This Row],[Month]]&lt;Table7[mortgage term (yrs)]*12,0,IF(Table1[[#This Row],[Month]]=Table7[mortgage term (yrs)]*12,-H$5,Table1[[#This Row],[Payment amount]]+B66)))</f>
        <v>0</v>
      </c>
      <c r="K66">
        <v>55</v>
      </c>
      <c r="L66">
        <f>Table7[Initial Monthly Deposit]*Table9[[#This Row],[Inflation Modifier]]</f>
        <v>432.97286400000002</v>
      </c>
      <c r="M66">
        <f xml:space="preserve"> (1+Table7[Inflation])^(QUOTIENT(Table9[[#This Row],[Month]]-1,12))</f>
        <v>1.08243216</v>
      </c>
      <c r="N66">
        <f>N65*(1+Table7[Monthly SF Inter])+Table9[[#This Row],[Monthly Payment]]-O65*(1+Table7[Monthly SF Inter])</f>
        <v>3068.5652468001394</v>
      </c>
      <c r="O66">
        <f>IF(MOD(Table9[[#This Row],[Month]],12)=0,(IF(Table9[[#This Row],[Current Balance]]&lt;Table9[[#This Row],[Max Lump Sum ]],Table9[[#This Row],[Current Balance]],Table9[[#This Row],[Max Lump Sum ]])),0)</f>
        <v>0</v>
      </c>
      <c r="P66" s="21">
        <f>Table7[Max annual lump sum repayment]*SUM(C67:C78)</f>
        <v>7880.3958913442566</v>
      </c>
      <c r="Q66" s="25">
        <f>Q65*(1+Table7[Monthly SF Inter])+Table9[[#This Row],[Inflation Modifier]]-R65*(1+Table7[Monthly SF Inter])</f>
        <v>7.6714131170003466</v>
      </c>
      <c r="R66" s="25">
        <f>IF(MOD(Table9[[#This Row],[Month]],12)=0,Table9[[#This Row],[Q2 ACC FACTOR]],0)</f>
        <v>0</v>
      </c>
      <c r="S66" s="25">
        <f>S65*(1+D65)+Table9[[#This Row],[ACC FACTOR PAYMENTS]]</f>
        <v>54.496217739829476</v>
      </c>
    </row>
    <row r="67" spans="1:19" x14ac:dyDescent="0.25">
      <c r="A67" s="1">
        <v>55</v>
      </c>
      <c r="B67" s="1">
        <f t="shared" si="0"/>
        <v>0</v>
      </c>
      <c r="C67" s="7">
        <f>G$12/-PV(Table7[Monthly mortgage rate], (12*Table7[Amortization period (yrs)]),1 )</f>
        <v>4377.9977174134756</v>
      </c>
      <c r="D67" s="11">
        <f>IF(Table1[[#This Row],[Month]]&lt;=(12*Table7[mortgage term (yrs)]),Table7[Monthly mortgage rate],Table7[Monthly Exp Renewal Rate])</f>
        <v>2.9777443873004739E-3</v>
      </c>
      <c r="E67" s="21">
        <f>Table1[[#This Row],[Current mortgage rate]]*G66</f>
        <v>1795.0557935701852</v>
      </c>
      <c r="F67" s="5">
        <f>Table1[[#This Row],[Payment amount]]-Table1[[#This Row],[Interest paid]]</f>
        <v>2582.9419238432902</v>
      </c>
      <c r="G67" s="20">
        <f>G66-Table1[[#This Row],[Principal repaid]]-Table1[[#This Row],[Annual paym]]</f>
        <v>600241.06178371608</v>
      </c>
      <c r="H67" s="20">
        <f>H66-(Table1[[#This Row],[Payment amount]]-Table1[[#This Row],[Interest Paid W/O LSP]])</f>
        <v>622039.54887964833</v>
      </c>
      <c r="I67">
        <f>H66*Table1[[#This Row],[Current mortgage rate]]</f>
        <v>1859.7734036715005</v>
      </c>
      <c r="J67" s="25">
        <f>IF(Table1[[#This Row],[Month]]&gt;Table7[Amortization period (yrs)]*12,0,IF(Table1[[#This Row],[Month]]&lt;Table7[mortgage term (yrs)]*12,0,IF(Table1[[#This Row],[Month]]=Table7[mortgage term (yrs)]*12,-H$5,Table1[[#This Row],[Payment amount]]+B67)))</f>
        <v>0</v>
      </c>
      <c r="K67">
        <v>56</v>
      </c>
      <c r="L67">
        <f>Table7[Initial Monthly Deposit]*Table9[[#This Row],[Inflation Modifier]]</f>
        <v>432.97286400000002</v>
      </c>
      <c r="M67">
        <f xml:space="preserve"> (1+Table7[Inflation])^(QUOTIENT(Table9[[#This Row],[Month]]-1,12))</f>
        <v>1.08243216</v>
      </c>
      <c r="N67">
        <f>N66*(1+Table7[Monthly SF Inter])+Table9[[#This Row],[Monthly Payment]]-O66*(1+Table7[Monthly SF Inter])</f>
        <v>3514.1926144772224</v>
      </c>
      <c r="O67">
        <f>IF(MOD(Table9[[#This Row],[Month]],12)=0,(IF(Table9[[#This Row],[Current Balance]]&lt;Table9[[#This Row],[Max Lump Sum ]],Table9[[#This Row],[Current Balance]],Table9[[#This Row],[Max Lump Sum ]])),0)</f>
        <v>0</v>
      </c>
      <c r="P67" s="21">
        <f>Table7[Max annual lump sum repayment]*SUM(C68:C79)</f>
        <v>7880.3958913442566</v>
      </c>
      <c r="Q67" s="25">
        <f>Q66*(1+Table7[Monthly SF Inter])+Table9[[#This Row],[Inflation Modifier]]-R66*(1+Table7[Monthly SF Inter])</f>
        <v>8.7854815361930552</v>
      </c>
      <c r="R67" s="25">
        <f>IF(MOD(Table9[[#This Row],[Month]],12)=0,Table9[[#This Row],[Q2 ACC FACTOR]],0)</f>
        <v>0</v>
      </c>
      <c r="S67" s="25">
        <f>S66*(1+D66)+Table9[[#This Row],[ACC FACTOR PAYMENTS]]</f>
        <v>54.658493546333361</v>
      </c>
    </row>
    <row r="68" spans="1:19" x14ac:dyDescent="0.25">
      <c r="A68" s="1">
        <v>56</v>
      </c>
      <c r="B68" s="1">
        <f t="shared" si="0"/>
        <v>0</v>
      </c>
      <c r="C68" s="7">
        <f>G$12/-PV(Table7[Monthly mortgage rate], (12*Table7[Amortization period (yrs)]),1 )</f>
        <v>4377.9977174134756</v>
      </c>
      <c r="D68" s="11">
        <f>IF(Table1[[#This Row],[Month]]&lt;=(12*Table7[mortgage term (yrs)]),Table7[Monthly mortgage rate],Table7[Monthly Exp Renewal Rate])</f>
        <v>2.9777443873004739E-3</v>
      </c>
      <c r="E68" s="21">
        <f>Table1[[#This Row],[Current mortgage rate]]*G67</f>
        <v>1787.3644527537376</v>
      </c>
      <c r="F68" s="5">
        <f>Table1[[#This Row],[Payment amount]]-Table1[[#This Row],[Interest paid]]</f>
        <v>2590.633264659738</v>
      </c>
      <c r="G68" s="20">
        <f>G67-Table1[[#This Row],[Principal repaid]]-Table1[[#This Row],[Annual paym]]</f>
        <v>597650.4285190563</v>
      </c>
      <c r="H68" s="20">
        <f>H67-(Table1[[#This Row],[Payment amount]]-Table1[[#This Row],[Interest Paid W/O LSP]])</f>
        <v>619513.8259375901</v>
      </c>
      <c r="I68">
        <f>H67*Table1[[#This Row],[Current mortgage rate]]</f>
        <v>1852.2747753552915</v>
      </c>
      <c r="J68" s="25">
        <f>IF(Table1[[#This Row],[Month]]&gt;Table7[Amortization period (yrs)]*12,0,IF(Table1[[#This Row],[Month]]&lt;Table7[mortgage term (yrs)]*12,0,IF(Table1[[#This Row],[Month]]=Table7[mortgage term (yrs)]*12,-H$5,Table1[[#This Row],[Payment amount]]+B68)))</f>
        <v>0</v>
      </c>
      <c r="K68">
        <v>57</v>
      </c>
      <c r="L68">
        <f>Table7[Initial Monthly Deposit]*Table9[[#This Row],[Inflation Modifier]]</f>
        <v>432.97286400000002</v>
      </c>
      <c r="M68">
        <f xml:space="preserve"> (1+Table7[Inflation])^(QUOTIENT(Table9[[#This Row],[Month]]-1,12))</f>
        <v>1.08243216</v>
      </c>
      <c r="N68">
        <f>N67*(1+Table7[Monthly SF Inter])+Table9[[#This Row],[Monthly Payment]]-O67*(1+Table7[Monthly SF Inter])</f>
        <v>3961.6577117475604</v>
      </c>
      <c r="O68">
        <f>IF(MOD(Table9[[#This Row],[Month]],12)=0,(IF(Table9[[#This Row],[Current Balance]]&lt;Table9[[#This Row],[Max Lump Sum ]],Table9[[#This Row],[Current Balance]],Table9[[#This Row],[Max Lump Sum ]])),0)</f>
        <v>0</v>
      </c>
      <c r="P68" s="21">
        <f>Table7[Max annual lump sum repayment]*SUM(C69:C80)</f>
        <v>7880.3958913442566</v>
      </c>
      <c r="Q68" s="25">
        <f>Q67*(1+Table7[Monthly SF Inter])+Table9[[#This Row],[Inflation Modifier]]-R67*(1+Table7[Monthly SF Inter])</f>
        <v>9.9041442793689001</v>
      </c>
      <c r="R68" s="25">
        <f>IF(MOD(Table9[[#This Row],[Month]],12)=0,Table9[[#This Row],[Q2 ACC FACTOR]],0)</f>
        <v>0</v>
      </c>
      <c r="S68" s="25">
        <f>S67*(1+D67)+Table9[[#This Row],[ACC FACTOR PAYMENTS]]</f>
        <v>54.821252568709255</v>
      </c>
    </row>
    <row r="69" spans="1:19" x14ac:dyDescent="0.25">
      <c r="A69" s="1">
        <v>57</v>
      </c>
      <c r="B69" s="1">
        <f t="shared" si="0"/>
        <v>0</v>
      </c>
      <c r="C69" s="7">
        <f>G$12/-PV(Table7[Monthly mortgage rate], (12*Table7[Amortization period (yrs)]),1 )</f>
        <v>4377.9977174134756</v>
      </c>
      <c r="D69" s="11">
        <f>IF(Table1[[#This Row],[Month]]&lt;=(12*Table7[mortgage term (yrs)]),Table7[Monthly mortgage rate],Table7[Monthly Exp Renewal Rate])</f>
        <v>2.9777443873004739E-3</v>
      </c>
      <c r="E69" s="21">
        <f>Table1[[#This Row],[Current mortgage rate]]*G68</f>
        <v>1779.650209090343</v>
      </c>
      <c r="F69" s="5">
        <f>Table1[[#This Row],[Payment amount]]-Table1[[#This Row],[Interest paid]]</f>
        <v>2598.3475083231324</v>
      </c>
      <c r="G69" s="20">
        <f>G68-Table1[[#This Row],[Principal repaid]]-Table1[[#This Row],[Annual paym]]</f>
        <v>595052.08101073315</v>
      </c>
      <c r="H69" s="20">
        <f>H68-(Table1[[#This Row],[Payment amount]]-Table1[[#This Row],[Interest Paid W/O LSP]])</f>
        <v>616980.58203821734</v>
      </c>
      <c r="I69">
        <f>H68*Table1[[#This Row],[Current mortgage rate]]</f>
        <v>1844.7538180407016</v>
      </c>
      <c r="J69" s="25">
        <f>IF(Table1[[#This Row],[Month]]&gt;Table7[Amortization period (yrs)]*12,0,IF(Table1[[#This Row],[Month]]&lt;Table7[mortgage term (yrs)]*12,0,IF(Table1[[#This Row],[Month]]=Table7[mortgage term (yrs)]*12,-H$5,Table1[[#This Row],[Payment amount]]+B69)))</f>
        <v>0</v>
      </c>
      <c r="K69">
        <v>58</v>
      </c>
      <c r="L69">
        <f>Table7[Initial Monthly Deposit]*Table9[[#This Row],[Inflation Modifier]]</f>
        <v>432.97286400000002</v>
      </c>
      <c r="M69">
        <f xml:space="preserve"> (1+Table7[Inflation])^(QUOTIENT(Table9[[#This Row],[Month]]-1,12))</f>
        <v>1.08243216</v>
      </c>
      <c r="N69">
        <f>N68*(1+Table7[Monthly SF Inter])+Table9[[#This Row],[Monthly Payment]]-O68*(1+Table7[Monthly SF Inter])</f>
        <v>4410.9681172526443</v>
      </c>
      <c r="O69">
        <f>IF(MOD(Table9[[#This Row],[Month]],12)=0,(IF(Table9[[#This Row],[Current Balance]]&lt;Table9[[#This Row],[Max Lump Sum ]],Table9[[#This Row],[Current Balance]],Table9[[#This Row],[Max Lump Sum ]])),0)</f>
        <v>0</v>
      </c>
      <c r="P69" s="21">
        <f>Table7[Max annual lump sum repayment]*SUM(C70:C81)</f>
        <v>7880.3958913442566</v>
      </c>
      <c r="Q69" s="25">
        <f>Q68*(1+Table7[Monthly SF Inter])+Table9[[#This Row],[Inflation Modifier]]-R68*(1+Table7[Monthly SF Inter])</f>
        <v>11.027420293131609</v>
      </c>
      <c r="R69" s="25">
        <f>IF(MOD(Table9[[#This Row],[Month]],12)=0,Table9[[#This Row],[Q2 ACC FACTOR]],0)</f>
        <v>0</v>
      </c>
      <c r="S69" s="25">
        <f>S68*(1+D68)+Table9[[#This Row],[ACC FACTOR PAYMENTS]]</f>
        <v>54.984496245850508</v>
      </c>
    </row>
    <row r="70" spans="1:19" x14ac:dyDescent="0.25">
      <c r="A70" s="1">
        <v>58</v>
      </c>
      <c r="B70" s="1">
        <f t="shared" si="0"/>
        <v>0</v>
      </c>
      <c r="C70" s="7">
        <f>G$12/-PV(Table7[Monthly mortgage rate], (12*Table7[Amortization period (yrs)]),1 )</f>
        <v>4377.9977174134756</v>
      </c>
      <c r="D70" s="11">
        <f>IF(Table1[[#This Row],[Month]]&lt;=(12*Table7[mortgage term (yrs)]),Table7[Monthly mortgage rate],Table7[Monthly Exp Renewal Rate])</f>
        <v>2.9777443873004739E-3</v>
      </c>
      <c r="E70" s="21">
        <f>Table1[[#This Row],[Current mortgage rate]]*G69</f>
        <v>1771.9129943811774</v>
      </c>
      <c r="F70" s="5">
        <f>Table1[[#This Row],[Payment amount]]-Table1[[#This Row],[Interest paid]]</f>
        <v>2606.0847230322979</v>
      </c>
      <c r="G70" s="20">
        <f>G69-Table1[[#This Row],[Principal repaid]]-Table1[[#This Row],[Annual paym]]</f>
        <v>592445.99628770084</v>
      </c>
      <c r="H70" s="20">
        <f>H69-(Table1[[#This Row],[Payment amount]]-Table1[[#This Row],[Interest Paid W/O LSP]])</f>
        <v>614439.7947860416</v>
      </c>
      <c r="I70">
        <f>H69*Table1[[#This Row],[Current mortgage rate]]</f>
        <v>1837.2104652376813</v>
      </c>
      <c r="J70" s="25">
        <f>IF(Table1[[#This Row],[Month]]&gt;Table7[Amortization period (yrs)]*12,0,IF(Table1[[#This Row],[Month]]&lt;Table7[mortgage term (yrs)]*12,0,IF(Table1[[#This Row],[Month]]=Table7[mortgage term (yrs)]*12,-H$5,Table1[[#This Row],[Payment amount]]+B70)))</f>
        <v>0</v>
      </c>
      <c r="K70">
        <v>59</v>
      </c>
      <c r="L70">
        <f>Table7[Initial Monthly Deposit]*Table9[[#This Row],[Inflation Modifier]]</f>
        <v>432.97286400000002</v>
      </c>
      <c r="M70">
        <f xml:space="preserve"> (1+Table7[Inflation])^(QUOTIENT(Table9[[#This Row],[Month]]-1,12))</f>
        <v>1.08243216</v>
      </c>
      <c r="N70">
        <f>N69*(1+Table7[Monthly SF Inter])+Table9[[#This Row],[Monthly Payment]]-O69*(1+Table7[Monthly SF Inter])</f>
        <v>4862.1314408876406</v>
      </c>
      <c r="O70">
        <f>IF(MOD(Table9[[#This Row],[Month]],12)=0,(IF(Table9[[#This Row],[Current Balance]]&lt;Table9[[#This Row],[Max Lump Sum ]],Table9[[#This Row],[Current Balance]],Table9[[#This Row],[Max Lump Sum ]])),0)</f>
        <v>0</v>
      </c>
      <c r="P70" s="21">
        <f>Table7[Max annual lump sum repayment]*SUM(C71:C82)</f>
        <v>7880.3958913442566</v>
      </c>
      <c r="Q70" s="25">
        <f>Q69*(1+Table7[Monthly SF Inter])+Table9[[#This Row],[Inflation Modifier]]-R69*(1+Table7[Monthly SF Inter])</f>
        <v>12.1553286022191</v>
      </c>
      <c r="R70" s="25">
        <f>IF(MOD(Table9[[#This Row],[Month]],12)=0,Table9[[#This Row],[Q2 ACC FACTOR]],0)</f>
        <v>0</v>
      </c>
      <c r="S70" s="25">
        <f>S69*(1+D69)+Table9[[#This Row],[ACC FACTOR PAYMENTS]]</f>
        <v>55.148226020935134</v>
      </c>
    </row>
    <row r="71" spans="1:19" x14ac:dyDescent="0.25">
      <c r="A71" s="1">
        <v>59</v>
      </c>
      <c r="B71" s="1">
        <f t="shared" si="0"/>
        <v>0</v>
      </c>
      <c r="C71" s="7">
        <f>G$12/-PV(Table7[Monthly mortgage rate], (12*Table7[Amortization period (yrs)]),1 )</f>
        <v>4377.9977174134756</v>
      </c>
      <c r="D71" s="11">
        <f>IF(Table1[[#This Row],[Month]]&lt;=(12*Table7[mortgage term (yrs)]),Table7[Monthly mortgage rate],Table7[Monthly Exp Renewal Rate])</f>
        <v>2.9777443873004739E-3</v>
      </c>
      <c r="E71" s="21">
        <f>Table1[[#This Row],[Current mortgage rate]]*G70</f>
        <v>1764.1527402243385</v>
      </c>
      <c r="F71" s="5">
        <f>Table1[[#This Row],[Payment amount]]-Table1[[#This Row],[Interest paid]]</f>
        <v>2613.8449771891374</v>
      </c>
      <c r="G71" s="20">
        <f>G70-Table1[[#This Row],[Principal repaid]]-Table1[[#This Row],[Annual paym]]</f>
        <v>589832.15131051175</v>
      </c>
      <c r="H71" s="20">
        <f>H70-(Table1[[#This Row],[Payment amount]]-Table1[[#This Row],[Interest Paid W/O LSP]])</f>
        <v>611891.44171888637</v>
      </c>
      <c r="I71">
        <f>H70*Table1[[#This Row],[Current mortgage rate]]</f>
        <v>1829.6446502581903</v>
      </c>
      <c r="J71" s="25">
        <f>IF(Table1[[#This Row],[Month]]&gt;Table7[Amortization period (yrs)]*12,0,IF(Table1[[#This Row],[Month]]&lt;Table7[mortgage term (yrs)]*12,0,IF(Table1[[#This Row],[Month]]=Table7[mortgage term (yrs)]*12,-H$5,Table1[[#This Row],[Payment amount]]+B71)))</f>
        <v>0</v>
      </c>
      <c r="K71">
        <v>60</v>
      </c>
      <c r="L71">
        <f>Table7[Initial Monthly Deposit]*Table9[[#This Row],[Inflation Modifier]]</f>
        <v>432.97286400000002</v>
      </c>
      <c r="M71">
        <f xml:space="preserve"> (1+Table7[Inflation])^(QUOTIENT(Table9[[#This Row],[Month]]-1,12))</f>
        <v>1.08243216</v>
      </c>
      <c r="N71">
        <f>N70*(1+Table7[Monthly SF Inter])+Table9[[#This Row],[Monthly Payment]]-O70*(1+Table7[Monthly SF Inter])</f>
        <v>5315.1553239302812</v>
      </c>
      <c r="O71">
        <f>IF(MOD(Table9[[#This Row],[Month]],12)=0,(IF(Table9[[#This Row],[Current Balance]]&lt;Table9[[#This Row],[Max Lump Sum ]],Table9[[#This Row],[Current Balance]],Table9[[#This Row],[Max Lump Sum ]])),0)</f>
        <v>5315.1553239302812</v>
      </c>
      <c r="P71" s="21">
        <f>Table7[Max annual lump sum repayment]*SUM(C72:C83)</f>
        <v>7880.3958913442566</v>
      </c>
      <c r="Q71" s="25">
        <f>Q70*(1+Table7[Monthly SF Inter])+Table9[[#This Row],[Inflation Modifier]]-R70*(1+Table7[Monthly SF Inter])</f>
        <v>13.287888309825702</v>
      </c>
      <c r="R71" s="25">
        <f>IF(MOD(Table9[[#This Row],[Month]],12)=0,Table9[[#This Row],[Q2 ACC FACTOR]],0)</f>
        <v>13.287888309825702</v>
      </c>
      <c r="S71" s="25">
        <f>S70*(1+D70)+Table9[[#This Row],[ACC FACTOR PAYMENTS]]</f>
        <v>68.600331651264256</v>
      </c>
    </row>
    <row r="72" spans="1:19" x14ac:dyDescent="0.25">
      <c r="A72" s="1">
        <v>60</v>
      </c>
      <c r="B72" s="1">
        <f t="shared" si="0"/>
        <v>5315.1553239302812</v>
      </c>
      <c r="C72" s="7">
        <f>G$12/-PV(Table7[Monthly mortgage rate], (12*Table7[Amortization period (yrs)]),1 )</f>
        <v>4377.9977174134756</v>
      </c>
      <c r="D72" s="11">
        <f>IF(Table1[[#This Row],[Month]]&lt;=(12*Table7[mortgage term (yrs)]),Table7[Monthly mortgage rate],Table7[Monthly Exp Renewal Rate])</f>
        <v>2.9777443873004739E-3</v>
      </c>
      <c r="E72" s="21">
        <f>Table1[[#This Row],[Current mortgage rate]]*G71</f>
        <v>1756.3693780142403</v>
      </c>
      <c r="F72" s="5">
        <f>Table1[[#This Row],[Payment amount]]-Table1[[#This Row],[Interest paid]]</f>
        <v>2621.6283393992353</v>
      </c>
      <c r="G72" s="20">
        <f>G71-Table1[[#This Row],[Principal repaid]]-Table1[[#This Row],[Annual paym]]</f>
        <v>581895.3676471822</v>
      </c>
      <c r="H72" s="20">
        <f>H71-(Table1[[#This Row],[Payment amount]]-Table1[[#This Row],[Interest Paid W/O LSP]])</f>
        <v>609335.50030768849</v>
      </c>
      <c r="I72">
        <f>H71*Table1[[#This Row],[Current mortgage rate]]</f>
        <v>1822.0563062156089</v>
      </c>
      <c r="J72" s="25">
        <f ca="1">IF(Table1[[#This Row],[Month]]&gt;Table7[Amortization period (yrs)]*12,0,IF(Table1[[#This Row],[Month]]&lt;Table7[mortgage term (yrs)]*12,0,IF(Table1[[#This Row],[Month]]=Table7[mortgage term (yrs)]*12,-H$5,Table1[[#This Row],[Payment amount]]+B72)))</f>
        <v>-581895.3676471822</v>
      </c>
      <c r="K72">
        <v>61</v>
      </c>
      <c r="L72">
        <f>Table7[Initial Monthly Deposit]*Table9[[#This Row],[Inflation Modifier]]</f>
        <v>441.63232127999999</v>
      </c>
      <c r="M72">
        <f xml:space="preserve"> (1+Table7[Inflation])^(QUOTIENT(Table9[[#This Row],[Month]]-1,12))</f>
        <v>1.1040808032</v>
      </c>
      <c r="N72">
        <f>N71*(1+Table7[Monthly SF Inter])+Table9[[#This Row],[Monthly Payment]]-O71*(1+Table7[Monthly SF Inter])</f>
        <v>441.63232127999981</v>
      </c>
      <c r="O72">
        <f>IF(MOD(Table9[[#This Row],[Month]],12)=0,(IF(Table9[[#This Row],[Current Balance]]&lt;Table9[[#This Row],[Max Lump Sum ]],Table9[[#This Row],[Current Balance]],Table9[[#This Row],[Max Lump Sum ]])),0)</f>
        <v>0</v>
      </c>
      <c r="P72" s="21">
        <f>Table7[Max annual lump sum repayment]*SUM(C73:C84)</f>
        <v>7880.3958913442566</v>
      </c>
      <c r="Q72" s="25">
        <f>Q71*(1+Table7[Monthly SF Inter])+Table9[[#This Row],[Inflation Modifier]]-R71*(1+Table7[Monthly SF Inter])</f>
        <v>1.1040808032000005</v>
      </c>
      <c r="R72" s="25">
        <f>IF(MOD(Table9[[#This Row],[Month]],12)=0,Table9[[#This Row],[Q2 ACC FACTOR]],0)</f>
        <v>0</v>
      </c>
      <c r="S72" s="25">
        <f>S71*(1+D71)+Table9[[#This Row],[ACC FACTOR PAYMENTS]]</f>
        <v>68.804605903805765</v>
      </c>
    </row>
    <row r="73" spans="1:19" x14ac:dyDescent="0.25">
      <c r="A73" s="1">
        <v>61</v>
      </c>
      <c r="B73" s="1">
        <f t="shared" si="0"/>
        <v>0</v>
      </c>
      <c r="C73" s="7">
        <f>G$12/-PV(Table7[Monthly mortgage rate], (12*Table7[Amortization period (yrs)]),1 )</f>
        <v>4377.9977174134756</v>
      </c>
      <c r="D73" s="11">
        <f>IF(Table1[[#This Row],[Month]]&lt;=(12*Table7[mortgage term (yrs)]),Table7[Monthly mortgage rate],Table7[Monthly Exp Renewal Rate])</f>
        <v>4.9038466830562122E-3</v>
      </c>
      <c r="E73" s="21">
        <f>Table1[[#This Row],[Current mortgage rate]]*G72</f>
        <v>2853.5256685224094</v>
      </c>
      <c r="F73" s="5">
        <f>Table1[[#This Row],[Payment amount]]-Table1[[#This Row],[Interest paid]]</f>
        <v>1524.4720488910662</v>
      </c>
      <c r="G73" s="20">
        <f>G72-Table1[[#This Row],[Principal repaid]]-Table1[[#This Row],[Annual paym]]</f>
        <v>580370.89559829119</v>
      </c>
      <c r="H73" s="20">
        <f>H72-(Table1[[#This Row],[Payment amount]]-Table1[[#This Row],[Interest Paid W/O LSP]])</f>
        <v>607945.59046232724</v>
      </c>
      <c r="I73">
        <f>H72*Table1[[#This Row],[Current mortgage rate]]</f>
        <v>2988.0878720522555</v>
      </c>
      <c r="J73" s="25">
        <f>IF(Table1[[#This Row],[Month]]&gt;Table7[Amortization period (yrs)]*12,0,IF(Table1[[#This Row],[Month]]&lt;Table7[mortgage term (yrs)]*12,0,IF(Table1[[#This Row],[Month]]=Table7[mortgage term (yrs)]*12,-H$5,Table1[[#This Row],[Payment amount]]+B73)))</f>
        <v>4377.9977174134756</v>
      </c>
      <c r="K73">
        <v>62</v>
      </c>
      <c r="L73">
        <f>Table7[Initial Monthly Deposit]*Table9[[#This Row],[Inflation Modifier]]</f>
        <v>441.63232127999999</v>
      </c>
      <c r="M73">
        <f xml:space="preserve"> (1+Table7[Inflation])^(QUOTIENT(Table9[[#This Row],[Month]]-1,12))</f>
        <v>1.1040808032</v>
      </c>
      <c r="N73">
        <f>N72*(1+Table7[Monthly SF Inter])+Table9[[#This Row],[Monthly Payment]]-O72*(1+Table7[Monthly SF Inter])</f>
        <v>885.08589691963391</v>
      </c>
      <c r="O73">
        <f>IF(MOD(Table9[[#This Row],[Month]],12)=0,(IF(Table9[[#This Row],[Current Balance]]&lt;Table9[[#This Row],[Max Lump Sum ]],Table9[[#This Row],[Current Balance]],Table9[[#This Row],[Max Lump Sum ]])),0)</f>
        <v>0</v>
      </c>
      <c r="P73" s="21">
        <f>Table7[Max annual lump sum repayment]*SUM(C74:C85)</f>
        <v>7880.3958913442566</v>
      </c>
      <c r="Q73" s="25">
        <f>Q72*(1+Table7[Monthly SF Inter])+Table9[[#This Row],[Inflation Modifier]]-R72*(1+Table7[Monthly SF Inter])</f>
        <v>2.2127147422990858</v>
      </c>
      <c r="R73" s="25">
        <f>IF(MOD(Table9[[#This Row],[Month]],12)=0,Table9[[#This Row],[Q2 ACC FACTOR]],0)</f>
        <v>0</v>
      </c>
      <c r="S73" s="25">
        <f>S72*(1+D72)+Table9[[#This Row],[ACC FACTOR PAYMENTS]]</f>
        <v>69.009488432856244</v>
      </c>
    </row>
    <row r="74" spans="1:19" x14ac:dyDescent="0.25">
      <c r="A74" s="1">
        <v>62</v>
      </c>
      <c r="B74" s="1">
        <f t="shared" si="0"/>
        <v>0</v>
      </c>
      <c r="C74" s="7">
        <f>G$12/-PV(Table7[Monthly mortgage rate], (12*Table7[Amortization period (yrs)]),1 )</f>
        <v>4377.9977174134756</v>
      </c>
      <c r="D74" s="11">
        <f>IF(Table1[[#This Row],[Month]]&lt;=(12*Table7[mortgage term (yrs)]),Table7[Monthly mortgage rate],Table7[Monthly Exp Renewal Rate])</f>
        <v>4.9038466830562122E-3</v>
      </c>
      <c r="E74" s="21">
        <f>Table1[[#This Row],[Current mortgage rate]]*G73</f>
        <v>2846.0498913220435</v>
      </c>
      <c r="F74" s="5">
        <f>Table1[[#This Row],[Payment amount]]-Table1[[#This Row],[Interest paid]]</f>
        <v>1531.947826091432</v>
      </c>
      <c r="G74" s="20">
        <f>G73-Table1[[#This Row],[Principal repaid]]-Table1[[#This Row],[Annual paym]]</f>
        <v>578838.94777219975</v>
      </c>
      <c r="H74" s="20">
        <f>H73-(Table1[[#This Row],[Payment amount]]-Table1[[#This Row],[Interest Paid W/O LSP]])</f>
        <v>606548.86471218115</v>
      </c>
      <c r="I74">
        <f>H73*Table1[[#This Row],[Current mortgage rate]]</f>
        <v>2981.2719672673338</v>
      </c>
      <c r="J74" s="25">
        <f>IF(Table1[[#This Row],[Month]]&gt;Table7[Amortization period (yrs)]*12,0,IF(Table1[[#This Row],[Month]]&lt;Table7[mortgage term (yrs)]*12,0,IF(Table1[[#This Row],[Month]]=Table7[mortgage term (yrs)]*12,-H$5,Table1[[#This Row],[Payment amount]]+B74)))</f>
        <v>4377.9977174134756</v>
      </c>
      <c r="K74">
        <v>63</v>
      </c>
      <c r="L74">
        <f>Table7[Initial Monthly Deposit]*Table9[[#This Row],[Inflation Modifier]]</f>
        <v>441.63232127999999</v>
      </c>
      <c r="M74">
        <f xml:space="preserve"> (1+Table7[Inflation])^(QUOTIENT(Table9[[#This Row],[Month]]-1,12))</f>
        <v>1.1040808032</v>
      </c>
      <c r="N74">
        <f>N73*(1+Table7[Monthly SF Inter])+Table9[[#This Row],[Monthly Payment]]-O73*(1+Table7[Monthly SF Inter])</f>
        <v>1330.3682376179217</v>
      </c>
      <c r="O74">
        <f>IF(MOD(Table9[[#This Row],[Month]],12)=0,(IF(Table9[[#This Row],[Current Balance]]&lt;Table9[[#This Row],[Max Lump Sum ]],Table9[[#This Row],[Current Balance]],Table9[[#This Row],[Max Lump Sum ]])),0)</f>
        <v>0</v>
      </c>
      <c r="P74" s="21">
        <f>Table7[Max annual lump sum repayment]*SUM(C75:C86)</f>
        <v>7880.3958913442566</v>
      </c>
      <c r="Q74" s="25">
        <f>Q73*(1+Table7[Monthly SF Inter])+Table9[[#This Row],[Inflation Modifier]]-R73*(1+Table7[Monthly SF Inter])</f>
        <v>3.3259205940448058</v>
      </c>
      <c r="R74" s="25">
        <f>IF(MOD(Table9[[#This Row],[Month]],12)=0,Table9[[#This Row],[Q2 ACC FACTOR]],0)</f>
        <v>0</v>
      </c>
      <c r="S74" s="25">
        <f>S73*(1+D73)+Table9[[#This Row],[ACC FACTOR PAYMENTS]]</f>
        <v>69.347900383807115</v>
      </c>
    </row>
    <row r="75" spans="1:19" x14ac:dyDescent="0.25">
      <c r="A75" s="1">
        <v>63</v>
      </c>
      <c r="B75" s="1">
        <f t="shared" si="0"/>
        <v>0</v>
      </c>
      <c r="C75" s="7">
        <f>G$12/-PV(Table7[Monthly mortgage rate], (12*Table7[Amortization period (yrs)]),1 )</f>
        <v>4377.9977174134756</v>
      </c>
      <c r="D75" s="11">
        <f>IF(Table1[[#This Row],[Month]]&lt;=(12*Table7[mortgage term (yrs)]),Table7[Monthly mortgage rate],Table7[Monthly Exp Renewal Rate])</f>
        <v>4.9038466830562122E-3</v>
      </c>
      <c r="E75" s="21">
        <f>Table1[[#This Row],[Current mortgage rate]]*G74</f>
        <v>2838.5374540564499</v>
      </c>
      <c r="F75" s="5">
        <f>Table1[[#This Row],[Payment amount]]-Table1[[#This Row],[Interest paid]]</f>
        <v>1539.4602633570257</v>
      </c>
      <c r="G75" s="20">
        <f>G74-Table1[[#This Row],[Principal repaid]]-Table1[[#This Row],[Annual paym]]</f>
        <v>577299.48750884272</v>
      </c>
      <c r="H75" s="20">
        <f>H74-(Table1[[#This Row],[Payment amount]]-Table1[[#This Row],[Interest Paid W/O LSP]])</f>
        <v>605145.28963309806</v>
      </c>
      <c r="I75">
        <f>H74*Table1[[#This Row],[Current mortgage rate]]</f>
        <v>2974.4226383303408</v>
      </c>
      <c r="J75" s="25">
        <f>IF(Table1[[#This Row],[Month]]&gt;Table7[Amortization period (yrs)]*12,0,IF(Table1[[#This Row],[Month]]&lt;Table7[mortgage term (yrs)]*12,0,IF(Table1[[#This Row],[Month]]=Table7[mortgage term (yrs)]*12,-H$5,Table1[[#This Row],[Payment amount]]+B75)))</f>
        <v>4377.9977174134756</v>
      </c>
      <c r="K75">
        <v>64</v>
      </c>
      <c r="L75">
        <f>Table7[Initial Monthly Deposit]*Table9[[#This Row],[Inflation Modifier]]</f>
        <v>441.63232127999999</v>
      </c>
      <c r="M75">
        <f xml:space="preserve"> (1+Table7[Inflation])^(QUOTIENT(Table9[[#This Row],[Month]]-1,12))</f>
        <v>1.1040808032</v>
      </c>
      <c r="N75">
        <f>N74*(1+Table7[Monthly SF Inter])+Table9[[#This Row],[Monthly Payment]]-O74*(1+Table7[Monthly SF Inter])</f>
        <v>1777.4868850473711</v>
      </c>
      <c r="O75">
        <f>IF(MOD(Table9[[#This Row],[Month]],12)=0,(IF(Table9[[#This Row],[Current Balance]]&lt;Table9[[#This Row],[Max Lump Sum ]],Table9[[#This Row],[Current Balance]],Table9[[#This Row],[Max Lump Sum ]])),0)</f>
        <v>0</v>
      </c>
      <c r="P75" s="21">
        <f>Table7[Max annual lump sum repayment]*SUM(C76:C87)</f>
        <v>7880.3958913442566</v>
      </c>
      <c r="Q75" s="25">
        <f>Q74*(1+Table7[Monthly SF Inter])+Table9[[#This Row],[Inflation Modifier]]-R74*(1+Table7[Monthly SF Inter])</f>
        <v>4.443717212618429</v>
      </c>
      <c r="R75" s="25">
        <f>IF(MOD(Table9[[#This Row],[Month]],12)=0,Table9[[#This Row],[Q2 ACC FACTOR]],0)</f>
        <v>0</v>
      </c>
      <c r="S75" s="25">
        <f>S74*(1+D74)+Table9[[#This Row],[ACC FACTOR PAYMENTS]]</f>
        <v>69.687971855081159</v>
      </c>
    </row>
    <row r="76" spans="1:19" x14ac:dyDescent="0.25">
      <c r="A76" s="1">
        <v>64</v>
      </c>
      <c r="B76" s="1">
        <f t="shared" si="0"/>
        <v>0</v>
      </c>
      <c r="C76" s="7">
        <f>G$12/-PV(Table7[Monthly mortgage rate], (12*Table7[Amortization period (yrs)]),1 )</f>
        <v>4377.9977174134756</v>
      </c>
      <c r="D76" s="11">
        <f>IF(Table1[[#This Row],[Month]]&lt;=(12*Table7[mortgage term (yrs)]),Table7[Monthly mortgage rate],Table7[Monthly Exp Renewal Rate])</f>
        <v>4.9038466830562122E-3</v>
      </c>
      <c r="E76" s="21">
        <f>Table1[[#This Row],[Current mortgage rate]]*G75</f>
        <v>2830.9881769502895</v>
      </c>
      <c r="F76" s="5">
        <f>Table1[[#This Row],[Payment amount]]-Table1[[#This Row],[Interest paid]]</f>
        <v>1547.0095404631861</v>
      </c>
      <c r="G76" s="20">
        <f>G75-Table1[[#This Row],[Principal repaid]]-Table1[[#This Row],[Annual paym]]</f>
        <v>575752.47796837951</v>
      </c>
      <c r="H76" s="20">
        <f>H75-(Table1[[#This Row],[Payment amount]]-Table1[[#This Row],[Interest Paid W/O LSP]])</f>
        <v>603734.83163701894</v>
      </c>
      <c r="I76">
        <f>H75*Table1[[#This Row],[Current mortgage rate]]</f>
        <v>2967.5397213343585</v>
      </c>
      <c r="J76" s="25">
        <f>IF(Table1[[#This Row],[Month]]&gt;Table7[Amortization period (yrs)]*12,0,IF(Table1[[#This Row],[Month]]&lt;Table7[mortgage term (yrs)]*12,0,IF(Table1[[#This Row],[Month]]=Table7[mortgage term (yrs)]*12,-H$5,Table1[[#This Row],[Payment amount]]+B76)))</f>
        <v>4377.9977174134756</v>
      </c>
      <c r="K76">
        <v>65</v>
      </c>
      <c r="L76">
        <f>Table7[Initial Monthly Deposit]*Table9[[#This Row],[Inflation Modifier]]</f>
        <v>441.63232127999999</v>
      </c>
      <c r="M76">
        <f xml:space="preserve"> (1+Table7[Inflation])^(QUOTIENT(Table9[[#This Row],[Month]]-1,12))</f>
        <v>1.1040808032</v>
      </c>
      <c r="N76">
        <f>N75*(1+Table7[Monthly SF Inter])+Table9[[#This Row],[Monthly Payment]]-O75*(1+Table7[Monthly SF Inter])</f>
        <v>2226.4494119817091</v>
      </c>
      <c r="O76">
        <f>IF(MOD(Table9[[#This Row],[Month]],12)=0,(IF(Table9[[#This Row],[Current Balance]]&lt;Table9[[#This Row],[Max Lump Sum ]],Table9[[#This Row],[Current Balance]],Table9[[#This Row],[Max Lump Sum ]])),0)</f>
        <v>0</v>
      </c>
      <c r="P76" s="21">
        <f>Table7[Max annual lump sum repayment]*SUM(C77:C88)</f>
        <v>7880.3958913442566</v>
      </c>
      <c r="Q76" s="25">
        <f>Q75*(1+Table7[Monthly SF Inter])+Table9[[#This Row],[Inflation Modifier]]-R75*(1+Table7[Monthly SF Inter])</f>
        <v>5.5661235299542735</v>
      </c>
      <c r="R76" s="25">
        <f>IF(MOD(Table9[[#This Row],[Month]],12)=0,Table9[[#This Row],[Q2 ACC FACTOR]],0)</f>
        <v>0</v>
      </c>
      <c r="S76" s="25">
        <f>S75*(1+D75)+Table9[[#This Row],[ACC FACTOR PAYMENTS]]</f>
        <v>70.029710984711613</v>
      </c>
    </row>
    <row r="77" spans="1:19" x14ac:dyDescent="0.25">
      <c r="A77" s="1">
        <v>65</v>
      </c>
      <c r="B77" s="1">
        <f t="shared" ref="B77:B140" si="1">O76</f>
        <v>0</v>
      </c>
      <c r="C77" s="7">
        <f>G$12/-PV(Table7[Monthly mortgage rate], (12*Table7[Amortization period (yrs)]),1 )</f>
        <v>4377.9977174134756</v>
      </c>
      <c r="D77" s="11">
        <f>IF(Table1[[#This Row],[Month]]&lt;=(12*Table7[mortgage term (yrs)]),Table7[Monthly mortgage rate],Table7[Monthly Exp Renewal Rate])</f>
        <v>4.9038466830562122E-3</v>
      </c>
      <c r="E77" s="21">
        <f>Table1[[#This Row],[Current mortgage rate]]*G76</f>
        <v>2823.4018793466325</v>
      </c>
      <c r="F77" s="5">
        <f>Table1[[#This Row],[Payment amount]]-Table1[[#This Row],[Interest paid]]</f>
        <v>1554.595838066843</v>
      </c>
      <c r="G77" s="20">
        <f>G76-Table1[[#This Row],[Principal repaid]]-Table1[[#This Row],[Annual paym]]</f>
        <v>574197.88213031262</v>
      </c>
      <c r="H77" s="20">
        <f>H76-(Table1[[#This Row],[Payment amount]]-Table1[[#This Row],[Interest Paid W/O LSP]])</f>
        <v>602317.45697117411</v>
      </c>
      <c r="I77">
        <f>H76*Table1[[#This Row],[Current mortgage rate]]</f>
        <v>2960.6230515686962</v>
      </c>
      <c r="J77" s="25">
        <f>IF(Table1[[#This Row],[Month]]&gt;Table7[Amortization period (yrs)]*12,0,IF(Table1[[#This Row],[Month]]&lt;Table7[mortgage term (yrs)]*12,0,IF(Table1[[#This Row],[Month]]=Table7[mortgage term (yrs)]*12,-H$5,Table1[[#This Row],[Payment amount]]+B77)))</f>
        <v>4377.9977174134756</v>
      </c>
      <c r="K77">
        <v>66</v>
      </c>
      <c r="L77">
        <f>Table7[Initial Monthly Deposit]*Table9[[#This Row],[Inflation Modifier]]</f>
        <v>441.63232127999999</v>
      </c>
      <c r="M77">
        <f xml:space="preserve"> (1+Table7[Inflation])^(QUOTIENT(Table9[[#This Row],[Month]]-1,12))</f>
        <v>1.1040808032</v>
      </c>
      <c r="N77">
        <f>N76*(1+Table7[Monthly SF Inter])+Table9[[#This Row],[Monthly Payment]]-O76*(1+Table7[Monthly SF Inter])</f>
        <v>2677.2634224241415</v>
      </c>
      <c r="O77">
        <f>IF(MOD(Table9[[#This Row],[Month]],12)=0,(IF(Table9[[#This Row],[Current Balance]]&lt;Table9[[#This Row],[Max Lump Sum ]],Table9[[#This Row],[Current Balance]],Table9[[#This Row],[Max Lump Sum ]])),0)</f>
        <v>0</v>
      </c>
      <c r="P77" s="21">
        <f>Table7[Max annual lump sum repayment]*SUM(C78:C89)</f>
        <v>7880.3958913442566</v>
      </c>
      <c r="Q77" s="25">
        <f>Q76*(1+Table7[Monthly SF Inter])+Table9[[#This Row],[Inflation Modifier]]-R76*(1+Table7[Monthly SF Inter])</f>
        <v>6.6931585560603555</v>
      </c>
      <c r="R77" s="25">
        <f>IF(MOD(Table9[[#This Row],[Month]],12)=0,Table9[[#This Row],[Q2 ACC FACTOR]],0)</f>
        <v>0</v>
      </c>
      <c r="S77" s="25">
        <f>S76*(1+D76)+Table9[[#This Row],[ACC FACTOR PAYMENTS]]</f>
        <v>70.373125950639377</v>
      </c>
    </row>
    <row r="78" spans="1:19" x14ac:dyDescent="0.25">
      <c r="A78" s="1">
        <v>66</v>
      </c>
      <c r="B78" s="1">
        <f t="shared" si="1"/>
        <v>0</v>
      </c>
      <c r="C78" s="7">
        <f>G$12/-PV(Table7[Monthly mortgage rate], (12*Table7[Amortization period (yrs)]),1 )</f>
        <v>4377.9977174134756</v>
      </c>
      <c r="D78" s="11">
        <f>IF(Table1[[#This Row],[Month]]&lt;=(12*Table7[mortgage term (yrs)]),Table7[Monthly mortgage rate],Table7[Monthly Exp Renewal Rate])</f>
        <v>4.9038466830562122E-3</v>
      </c>
      <c r="E78" s="21">
        <f>Table1[[#This Row],[Current mortgage rate]]*G77</f>
        <v>2815.7783797026354</v>
      </c>
      <c r="F78" s="5">
        <f>Table1[[#This Row],[Payment amount]]-Table1[[#This Row],[Interest paid]]</f>
        <v>1562.2193377108401</v>
      </c>
      <c r="G78" s="20">
        <f>G77-Table1[[#This Row],[Principal repaid]]-Table1[[#This Row],[Annual paym]]</f>
        <v>572635.66279260174</v>
      </c>
      <c r="H78" s="20">
        <f>H77-(Table1[[#This Row],[Payment amount]]-Table1[[#This Row],[Interest Paid W/O LSP]])</f>
        <v>600893.1317172756</v>
      </c>
      <c r="I78">
        <f>H77*Table1[[#This Row],[Current mortgage rate]]</f>
        <v>2953.6724635149449</v>
      </c>
      <c r="J78" s="25">
        <f>IF(Table1[[#This Row],[Month]]&gt;Table7[Amortization period (yrs)]*12,0,IF(Table1[[#This Row],[Month]]&lt;Table7[mortgage term (yrs)]*12,0,IF(Table1[[#This Row],[Month]]=Table7[mortgage term (yrs)]*12,-H$5,Table1[[#This Row],[Payment amount]]+B78)))</f>
        <v>4377.9977174134756</v>
      </c>
      <c r="K78">
        <v>67</v>
      </c>
      <c r="L78">
        <f>Table7[Initial Monthly Deposit]*Table9[[#This Row],[Inflation Modifier]]</f>
        <v>441.63232127999999</v>
      </c>
      <c r="M78">
        <f xml:space="preserve"> (1+Table7[Inflation])^(QUOTIENT(Table9[[#This Row],[Month]]-1,12))</f>
        <v>1.1040808032</v>
      </c>
      <c r="N78">
        <f>N77*(1+Table7[Monthly SF Inter])+Table9[[#This Row],[Monthly Payment]]-O77*(1+Table7[Monthly SF Inter])</f>
        <v>3129.9365517361412</v>
      </c>
      <c r="O78">
        <f>IF(MOD(Table9[[#This Row],[Month]],12)=0,(IF(Table9[[#This Row],[Current Balance]]&lt;Table9[[#This Row],[Max Lump Sum ]],Table9[[#This Row],[Current Balance]],Table9[[#This Row],[Max Lump Sum ]])),0)</f>
        <v>0</v>
      </c>
      <c r="P78" s="21">
        <f>Table7[Max annual lump sum repayment]*SUM(C79:C90)</f>
        <v>7880.3958913442566</v>
      </c>
      <c r="Q78" s="25">
        <f>Q77*(1+Table7[Monthly SF Inter])+Table9[[#This Row],[Inflation Modifier]]-R77*(1+Table7[Monthly SF Inter])</f>
        <v>7.8248413793403557</v>
      </c>
      <c r="R78" s="25">
        <f>IF(MOD(Table9[[#This Row],[Month]],12)=0,Table9[[#This Row],[Q2 ACC FACTOR]],0)</f>
        <v>0</v>
      </c>
      <c r="S78" s="25">
        <f>S77*(1+D77)+Table9[[#This Row],[ACC FACTOR PAYMENTS]]</f>
        <v>70.718224970908722</v>
      </c>
    </row>
    <row r="79" spans="1:19" x14ac:dyDescent="0.25">
      <c r="A79" s="1">
        <v>67</v>
      </c>
      <c r="B79" s="1">
        <f t="shared" si="1"/>
        <v>0</v>
      </c>
      <c r="C79" s="7">
        <f>G$12/-PV(Table7[Monthly mortgage rate], (12*Table7[Amortization period (yrs)]),1 )</f>
        <v>4377.9977174134756</v>
      </c>
      <c r="D79" s="11">
        <f>IF(Table1[[#This Row],[Month]]&lt;=(12*Table7[mortgage term (yrs)]),Table7[Monthly mortgage rate],Table7[Monthly Exp Renewal Rate])</f>
        <v>4.9038466830562122E-3</v>
      </c>
      <c r="E79" s="21">
        <f>Table1[[#This Row],[Current mortgage rate]]*G78</f>
        <v>2808.1174955851957</v>
      </c>
      <c r="F79" s="5">
        <f>Table1[[#This Row],[Payment amount]]-Table1[[#This Row],[Interest paid]]</f>
        <v>1569.8802218282799</v>
      </c>
      <c r="G79" s="20">
        <f>G78-Table1[[#This Row],[Principal repaid]]-Table1[[#This Row],[Annual paym]]</f>
        <v>571065.7825707735</v>
      </c>
      <c r="H79" s="20">
        <f>H78-(Table1[[#This Row],[Payment amount]]-Table1[[#This Row],[Interest Paid W/O LSP]])</f>
        <v>599461.82179070509</v>
      </c>
      <c r="I79">
        <f>H78*Table1[[#This Row],[Current mortgage rate]]</f>
        <v>2946.6877908430215</v>
      </c>
      <c r="J79" s="25">
        <f>IF(Table1[[#This Row],[Month]]&gt;Table7[Amortization period (yrs)]*12,0,IF(Table1[[#This Row],[Month]]&lt;Table7[mortgage term (yrs)]*12,0,IF(Table1[[#This Row],[Month]]=Table7[mortgage term (yrs)]*12,-H$5,Table1[[#This Row],[Payment amount]]+B79)))</f>
        <v>4377.9977174134756</v>
      </c>
      <c r="K79">
        <v>68</v>
      </c>
      <c r="L79">
        <f>Table7[Initial Monthly Deposit]*Table9[[#This Row],[Inflation Modifier]]</f>
        <v>441.63232127999999</v>
      </c>
      <c r="M79">
        <f xml:space="preserve"> (1+Table7[Inflation])^(QUOTIENT(Table9[[#This Row],[Month]]-1,12))</f>
        <v>1.1040808032</v>
      </c>
      <c r="N79">
        <f>N78*(1+Table7[Monthly SF Inter])+Table9[[#This Row],[Monthly Payment]]-O78*(1+Table7[Monthly SF Inter])</f>
        <v>3584.476466766766</v>
      </c>
      <c r="O79">
        <f>IF(MOD(Table9[[#This Row],[Month]],12)=0,(IF(Table9[[#This Row],[Current Balance]]&lt;Table9[[#This Row],[Max Lump Sum ]],Table9[[#This Row],[Current Balance]],Table9[[#This Row],[Max Lump Sum ]])),0)</f>
        <v>0</v>
      </c>
      <c r="P79" s="21">
        <f>Table7[Max annual lump sum repayment]*SUM(C80:C91)</f>
        <v>7880.3958913442566</v>
      </c>
      <c r="Q79" s="25">
        <f>Q78*(1+Table7[Monthly SF Inter])+Table9[[#This Row],[Inflation Modifier]]-R78*(1+Table7[Monthly SF Inter])</f>
        <v>8.9611911669169189</v>
      </c>
      <c r="R79" s="25">
        <f>IF(MOD(Table9[[#This Row],[Month]],12)=0,Table9[[#This Row],[Q2 ACC FACTOR]],0)</f>
        <v>0</v>
      </c>
      <c r="S79" s="25">
        <f>S78*(1+D78)+Table9[[#This Row],[ACC FACTOR PAYMENTS]]</f>
        <v>71.065016303863942</v>
      </c>
    </row>
    <row r="80" spans="1:19" x14ac:dyDescent="0.25">
      <c r="A80" s="1">
        <v>68</v>
      </c>
      <c r="B80" s="1">
        <f t="shared" si="1"/>
        <v>0</v>
      </c>
      <c r="C80" s="7">
        <f>G$12/-PV(Table7[Monthly mortgage rate], (12*Table7[Amortization period (yrs)]),1 )</f>
        <v>4377.9977174134756</v>
      </c>
      <c r="D80" s="11">
        <f>IF(Table1[[#This Row],[Month]]&lt;=(12*Table7[mortgage term (yrs)]),Table7[Monthly mortgage rate],Table7[Monthly Exp Renewal Rate])</f>
        <v>4.9038466830562122E-3</v>
      </c>
      <c r="E80" s="21">
        <f>Table1[[#This Row],[Current mortgage rate]]*G79</f>
        <v>2800.4190436665876</v>
      </c>
      <c r="F80" s="5">
        <f>Table1[[#This Row],[Payment amount]]-Table1[[#This Row],[Interest paid]]</f>
        <v>1577.5786737468879</v>
      </c>
      <c r="G80" s="20">
        <f>G79-Table1[[#This Row],[Principal repaid]]-Table1[[#This Row],[Annual paym]]</f>
        <v>569488.2038970266</v>
      </c>
      <c r="H80" s="20">
        <f>H79-(Table1[[#This Row],[Payment amount]]-Table1[[#This Row],[Interest Paid W/O LSP]])</f>
        <v>598023.49293969874</v>
      </c>
      <c r="I80">
        <f>H79*Table1[[#This Row],[Current mortgage rate]]</f>
        <v>2939.6688664071835</v>
      </c>
      <c r="J80" s="25">
        <f>IF(Table1[[#This Row],[Month]]&gt;Table7[Amortization period (yrs)]*12,0,IF(Table1[[#This Row],[Month]]&lt;Table7[mortgage term (yrs)]*12,0,IF(Table1[[#This Row],[Month]]=Table7[mortgage term (yrs)]*12,-H$5,Table1[[#This Row],[Payment amount]]+B80)))</f>
        <v>4377.9977174134756</v>
      </c>
      <c r="K80">
        <v>69</v>
      </c>
      <c r="L80">
        <f>Table7[Initial Monthly Deposit]*Table9[[#This Row],[Inflation Modifier]]</f>
        <v>441.63232127999999</v>
      </c>
      <c r="M80">
        <f xml:space="preserve"> (1+Table7[Inflation])^(QUOTIENT(Table9[[#This Row],[Month]]-1,12))</f>
        <v>1.1040808032</v>
      </c>
      <c r="N80">
        <f>N79*(1+Table7[Monthly SF Inter])+Table9[[#This Row],[Monthly Payment]]-O79*(1+Table7[Monthly SF Inter])</f>
        <v>4040.8908659825106</v>
      </c>
      <c r="O80">
        <f>IF(MOD(Table9[[#This Row],[Month]],12)=0,(IF(Table9[[#This Row],[Current Balance]]&lt;Table9[[#This Row],[Max Lump Sum ]],Table9[[#This Row],[Current Balance]],Table9[[#This Row],[Max Lump Sum ]])),0)</f>
        <v>0</v>
      </c>
      <c r="P80" s="21">
        <f>Table7[Max annual lump sum repayment]*SUM(C81:C92)</f>
        <v>7880.3958913442566</v>
      </c>
      <c r="Q80" s="25">
        <f>Q79*(1+Table7[Monthly SF Inter])+Table9[[#This Row],[Inflation Modifier]]-R79*(1+Table7[Monthly SF Inter])</f>
        <v>10.102227164956282</v>
      </c>
      <c r="R80" s="25">
        <f>IF(MOD(Table9[[#This Row],[Month]],12)=0,Table9[[#This Row],[Q2 ACC FACTOR]],0)</f>
        <v>0</v>
      </c>
      <c r="S80" s="25">
        <f>S79*(1+D79)+Table9[[#This Row],[ACC FACTOR PAYMENTS]]</f>
        <v>71.413508248346986</v>
      </c>
    </row>
    <row r="81" spans="1:19" x14ac:dyDescent="0.25">
      <c r="A81" s="1">
        <v>69</v>
      </c>
      <c r="B81" s="1">
        <f t="shared" si="1"/>
        <v>0</v>
      </c>
      <c r="C81" s="7">
        <f>G$12/-PV(Table7[Monthly mortgage rate], (12*Table7[Amortization period (yrs)]),1 )</f>
        <v>4377.9977174134756</v>
      </c>
      <c r="D81" s="11">
        <f>IF(Table1[[#This Row],[Month]]&lt;=(12*Table7[mortgage term (yrs)]),Table7[Monthly mortgage rate],Table7[Monthly Exp Renewal Rate])</f>
        <v>4.9038466830562122E-3</v>
      </c>
      <c r="E81" s="21">
        <f>Table1[[#This Row],[Current mortgage rate]]*G80</f>
        <v>2792.6828397200738</v>
      </c>
      <c r="F81" s="5">
        <f>Table1[[#This Row],[Payment amount]]-Table1[[#This Row],[Interest paid]]</f>
        <v>1585.3148776934017</v>
      </c>
      <c r="G81" s="20">
        <f>G80-Table1[[#This Row],[Principal repaid]]-Table1[[#This Row],[Annual paym]]</f>
        <v>567902.88901933318</v>
      </c>
      <c r="H81" s="20">
        <f>H80-(Table1[[#This Row],[Payment amount]]-Table1[[#This Row],[Interest Paid W/O LSP]])</f>
        <v>596578.11074452731</v>
      </c>
      <c r="I81">
        <f>H80*Table1[[#This Row],[Current mortgage rate]]</f>
        <v>2932.6155222420316</v>
      </c>
      <c r="J81" s="25">
        <f>IF(Table1[[#This Row],[Month]]&gt;Table7[Amortization period (yrs)]*12,0,IF(Table1[[#This Row],[Month]]&lt;Table7[mortgage term (yrs)]*12,0,IF(Table1[[#This Row],[Month]]=Table7[mortgage term (yrs)]*12,-H$5,Table1[[#This Row],[Payment amount]]+B81)))</f>
        <v>4377.9977174134756</v>
      </c>
      <c r="K81">
        <v>70</v>
      </c>
      <c r="L81">
        <f>Table7[Initial Monthly Deposit]*Table9[[#This Row],[Inflation Modifier]]</f>
        <v>441.63232127999999</v>
      </c>
      <c r="M81">
        <f xml:space="preserve"> (1+Table7[Inflation])^(QUOTIENT(Table9[[#This Row],[Month]]-1,12))</f>
        <v>1.1040808032</v>
      </c>
      <c r="N81">
        <f>N80*(1+Table7[Monthly SF Inter])+Table9[[#This Row],[Monthly Payment]]-O80*(1+Table7[Monthly SF Inter])</f>
        <v>4499.1874795976964</v>
      </c>
      <c r="O81">
        <f>IF(MOD(Table9[[#This Row],[Month]],12)=0,(IF(Table9[[#This Row],[Current Balance]]&lt;Table9[[#This Row],[Max Lump Sum ]],Table9[[#This Row],[Current Balance]],Table9[[#This Row],[Max Lump Sum ]])),0)</f>
        <v>0</v>
      </c>
      <c r="P81" s="21">
        <f>Table7[Max annual lump sum repayment]*SUM(C82:C93)</f>
        <v>7880.3958913442566</v>
      </c>
      <c r="Q81" s="25">
        <f>Q80*(1+Table7[Monthly SF Inter])+Table9[[#This Row],[Inflation Modifier]]-R80*(1+Table7[Monthly SF Inter])</f>
        <v>11.247968698994246</v>
      </c>
      <c r="R81" s="25">
        <f>IF(MOD(Table9[[#This Row],[Month]],12)=0,Table9[[#This Row],[Q2 ACC FACTOR]],0)</f>
        <v>0</v>
      </c>
      <c r="S81" s="25">
        <f>S80*(1+D80)+Table9[[#This Row],[ACC FACTOR PAYMENTS]]</f>
        <v>71.763709143896051</v>
      </c>
    </row>
    <row r="82" spans="1:19" x14ac:dyDescent="0.25">
      <c r="A82" s="1">
        <v>70</v>
      </c>
      <c r="B82" s="1">
        <f t="shared" si="1"/>
        <v>0</v>
      </c>
      <c r="C82" s="7">
        <f>G$12/-PV(Table7[Monthly mortgage rate], (12*Table7[Amortization period (yrs)]),1 )</f>
        <v>4377.9977174134756</v>
      </c>
      <c r="D82" s="11">
        <f>IF(Table1[[#This Row],[Month]]&lt;=(12*Table7[mortgage term (yrs)]),Table7[Monthly mortgage rate],Table7[Monthly Exp Renewal Rate])</f>
        <v>4.9038466830562122E-3</v>
      </c>
      <c r="E82" s="21">
        <f>Table1[[#This Row],[Current mortgage rate]]*G81</f>
        <v>2784.9086986154971</v>
      </c>
      <c r="F82" s="5">
        <f>Table1[[#This Row],[Payment amount]]-Table1[[#This Row],[Interest paid]]</f>
        <v>1593.0890187979785</v>
      </c>
      <c r="G82" s="20">
        <f>G81-Table1[[#This Row],[Principal repaid]]-Table1[[#This Row],[Annual paym]]</f>
        <v>566309.80000053521</v>
      </c>
      <c r="H82" s="20">
        <f>H81-(Table1[[#This Row],[Payment amount]]-Table1[[#This Row],[Interest Paid W/O LSP]])</f>
        <v>595125.64061667235</v>
      </c>
      <c r="I82">
        <f>H81*Table1[[#This Row],[Current mortgage rate]]</f>
        <v>2925.5275895584919</v>
      </c>
      <c r="J82" s="25">
        <f>IF(Table1[[#This Row],[Month]]&gt;Table7[Amortization period (yrs)]*12,0,IF(Table1[[#This Row],[Month]]&lt;Table7[mortgage term (yrs)]*12,0,IF(Table1[[#This Row],[Month]]=Table7[mortgage term (yrs)]*12,-H$5,Table1[[#This Row],[Payment amount]]+B82)))</f>
        <v>4377.9977174134756</v>
      </c>
      <c r="K82">
        <v>71</v>
      </c>
      <c r="L82">
        <f>Table7[Initial Monthly Deposit]*Table9[[#This Row],[Inflation Modifier]]</f>
        <v>441.63232127999999</v>
      </c>
      <c r="M82">
        <f xml:space="preserve"> (1+Table7[Inflation])^(QUOTIENT(Table9[[#This Row],[Month]]-1,12))</f>
        <v>1.1040808032</v>
      </c>
      <c r="N82">
        <f>N81*(1+Table7[Monthly SF Inter])+Table9[[#This Row],[Monthly Payment]]-O81*(1+Table7[Monthly SF Inter])</f>
        <v>4959.3740697053927</v>
      </c>
      <c r="O82">
        <f>IF(MOD(Table9[[#This Row],[Month]],12)=0,(IF(Table9[[#This Row],[Current Balance]]&lt;Table9[[#This Row],[Max Lump Sum ]],Table9[[#This Row],[Current Balance]],Table9[[#This Row],[Max Lump Sum ]])),0)</f>
        <v>0</v>
      </c>
      <c r="P82" s="21">
        <f>Table7[Max annual lump sum repayment]*SUM(C83:C94)</f>
        <v>7880.3958913442566</v>
      </c>
      <c r="Q82" s="25">
        <f>Q81*(1+Table7[Monthly SF Inter])+Table9[[#This Row],[Inflation Modifier]]-R81*(1+Table7[Monthly SF Inter])</f>
        <v>12.398435174263486</v>
      </c>
      <c r="R82" s="25">
        <f>IF(MOD(Table9[[#This Row],[Month]],12)=0,Table9[[#This Row],[Q2 ACC FACTOR]],0)</f>
        <v>0</v>
      </c>
      <c r="S82" s="25">
        <f>S81*(1+D81)+Table9[[#This Row],[ACC FACTOR PAYMENTS]]</f>
        <v>72.115627370945163</v>
      </c>
    </row>
    <row r="83" spans="1:19" x14ac:dyDescent="0.25">
      <c r="A83" s="1">
        <v>71</v>
      </c>
      <c r="B83" s="1">
        <f t="shared" si="1"/>
        <v>0</v>
      </c>
      <c r="C83" s="7">
        <f>G$12/-PV(Table7[Monthly mortgage rate], (12*Table7[Amortization period (yrs)]),1 )</f>
        <v>4377.9977174134756</v>
      </c>
      <c r="D83" s="11">
        <f>IF(Table1[[#This Row],[Month]]&lt;=(12*Table7[mortgage term (yrs)]),Table7[Monthly mortgage rate],Table7[Monthly Exp Renewal Rate])</f>
        <v>4.9038466830562122E-3</v>
      </c>
      <c r="E83" s="21">
        <f>Table1[[#This Row],[Current mortgage rate]]*G82</f>
        <v>2777.0964343148516</v>
      </c>
      <c r="F83" s="5">
        <f>Table1[[#This Row],[Payment amount]]-Table1[[#This Row],[Interest paid]]</f>
        <v>1600.9012830986239</v>
      </c>
      <c r="G83" s="20">
        <f>G82-Table1[[#This Row],[Principal repaid]]-Table1[[#This Row],[Annual paym]]</f>
        <v>564708.89871743659</v>
      </c>
      <c r="H83" s="20">
        <f>H82-(Table1[[#This Row],[Payment amount]]-Table1[[#This Row],[Interest Paid W/O LSP]])</f>
        <v>593666.04779799865</v>
      </c>
      <c r="I83">
        <f>H82*Table1[[#This Row],[Current mortgage rate]]</f>
        <v>2918.4048987397719</v>
      </c>
      <c r="J83" s="25">
        <f>IF(Table1[[#This Row],[Month]]&gt;Table7[Amortization period (yrs)]*12,0,IF(Table1[[#This Row],[Month]]&lt;Table7[mortgage term (yrs)]*12,0,IF(Table1[[#This Row],[Month]]=Table7[mortgage term (yrs)]*12,-H$5,Table1[[#This Row],[Payment amount]]+B83)))</f>
        <v>4377.9977174134756</v>
      </c>
      <c r="K83">
        <v>72</v>
      </c>
      <c r="L83">
        <f>Table7[Initial Monthly Deposit]*Table9[[#This Row],[Inflation Modifier]]</f>
        <v>441.63232127999999</v>
      </c>
      <c r="M83">
        <f xml:space="preserve"> (1+Table7[Inflation])^(QUOTIENT(Table9[[#This Row],[Month]]-1,12))</f>
        <v>1.1040808032</v>
      </c>
      <c r="N83">
        <f>N82*(1+Table7[Monthly SF Inter])+Table9[[#This Row],[Monthly Payment]]-O82*(1+Table7[Monthly SF Inter])</f>
        <v>5421.4584304088858</v>
      </c>
      <c r="O83">
        <f>IF(MOD(Table9[[#This Row],[Month]],12)=0,(IF(Table9[[#This Row],[Current Balance]]&lt;Table9[[#This Row],[Max Lump Sum ]],Table9[[#This Row],[Current Balance]],Table9[[#This Row],[Max Lump Sum ]])),0)</f>
        <v>5421.4584304088858</v>
      </c>
      <c r="P83" s="21">
        <f>Table7[Max annual lump sum repayment]*SUM(C84:C95)</f>
        <v>7880.3958913442566</v>
      </c>
      <c r="Q83" s="25">
        <f>Q82*(1+Table7[Monthly SF Inter])+Table9[[#This Row],[Inflation Modifier]]-R82*(1+Table7[Monthly SF Inter])</f>
        <v>13.55364607602222</v>
      </c>
      <c r="R83" s="25">
        <f>IF(MOD(Table9[[#This Row],[Month]],12)=0,Table9[[#This Row],[Q2 ACC FACTOR]],0)</f>
        <v>13.55364607602222</v>
      </c>
      <c r="S83" s="25">
        <f>S82*(1+D82)+Table9[[#This Row],[ACC FACTOR PAYMENTS]]</f>
        <v>86.022917427046906</v>
      </c>
    </row>
    <row r="84" spans="1:19" x14ac:dyDescent="0.25">
      <c r="A84" s="1">
        <v>72</v>
      </c>
      <c r="B84" s="1">
        <f t="shared" si="1"/>
        <v>5421.4584304088858</v>
      </c>
      <c r="C84" s="7">
        <f>G$12/-PV(Table7[Monthly mortgage rate], (12*Table7[Amortization period (yrs)]),1 )</f>
        <v>4377.9977174134756</v>
      </c>
      <c r="D84" s="11">
        <f>IF(Table1[[#This Row],[Month]]&lt;=(12*Table7[mortgage term (yrs)]),Table7[Monthly mortgage rate],Table7[Monthly Exp Renewal Rate])</f>
        <v>4.9038466830562122E-3</v>
      </c>
      <c r="E84" s="21">
        <f>Table1[[#This Row],[Current mortgage rate]]*G83</f>
        <v>2769.2458598678277</v>
      </c>
      <c r="F84" s="5">
        <f>Table1[[#This Row],[Payment amount]]-Table1[[#This Row],[Interest paid]]</f>
        <v>1608.7518575456479</v>
      </c>
      <c r="G84" s="20">
        <f>G83-Table1[[#This Row],[Principal repaid]]-Table1[[#This Row],[Annual paym]]</f>
        <v>557678.68842948205</v>
      </c>
      <c r="H84" s="20">
        <f>H83-(Table1[[#This Row],[Payment amount]]-Table1[[#This Row],[Interest Paid W/O LSP]])</f>
        <v>592199.29735992244</v>
      </c>
      <c r="I84">
        <f>H83*Table1[[#This Row],[Current mortgage rate]]</f>
        <v>2911.2472793373063</v>
      </c>
      <c r="J84" s="25">
        <f>IF(Table1[[#This Row],[Month]]&gt;Table7[Amortization period (yrs)]*12,0,IF(Table1[[#This Row],[Month]]&lt;Table7[mortgage term (yrs)]*12,0,IF(Table1[[#This Row],[Month]]=Table7[mortgage term (yrs)]*12,-H$5,Table1[[#This Row],[Payment amount]]+B84)))</f>
        <v>9799.4561478223623</v>
      </c>
      <c r="K84">
        <v>73</v>
      </c>
      <c r="L84">
        <f>Table7[Initial Monthly Deposit]*Table9[[#This Row],[Inflation Modifier]]</f>
        <v>450.46496770560003</v>
      </c>
      <c r="M84">
        <f xml:space="preserve"> (1+Table7[Inflation])^(QUOTIENT(Table9[[#This Row],[Month]]-1,12))</f>
        <v>1.1261624192640001</v>
      </c>
      <c r="N84">
        <f>N83*(1+Table7[Monthly SF Inter])+Table9[[#This Row],[Monthly Payment]]-O83*(1+Table7[Monthly SF Inter])</f>
        <v>450.46496770560043</v>
      </c>
      <c r="O84">
        <f>IF(MOD(Table9[[#This Row],[Month]],12)=0,(IF(Table9[[#This Row],[Current Balance]]&lt;Table9[[#This Row],[Max Lump Sum ]],Table9[[#This Row],[Current Balance]],Table9[[#This Row],[Max Lump Sum ]])),0)</f>
        <v>0</v>
      </c>
      <c r="P84" s="21">
        <f>Table7[Max annual lump sum repayment]*SUM(C85:C96)</f>
        <v>7880.3958913442566</v>
      </c>
      <c r="Q84" s="25">
        <f>Q83*(1+Table7[Monthly SF Inter])+Table9[[#This Row],[Inflation Modifier]]-R83*(1+Table7[Monthly SF Inter])</f>
        <v>1.1261624192640003</v>
      </c>
      <c r="R84" s="25">
        <f>IF(MOD(Table9[[#This Row],[Month]],12)=0,Table9[[#This Row],[Q2 ACC FACTOR]],0)</f>
        <v>0</v>
      </c>
      <c r="S84" s="25">
        <f>S83*(1+D83)+Table9[[#This Row],[ACC FACTOR PAYMENTS]]</f>
        <v>86.444760625338347</v>
      </c>
    </row>
    <row r="85" spans="1:19" x14ac:dyDescent="0.25">
      <c r="A85" s="1">
        <v>73</v>
      </c>
      <c r="B85" s="1">
        <f t="shared" si="1"/>
        <v>0</v>
      </c>
      <c r="C85" s="7">
        <f>G$12/-PV(Table7[Monthly mortgage rate], (12*Table7[Amortization period (yrs)]),1 )</f>
        <v>4377.9977174134756</v>
      </c>
      <c r="D85" s="11">
        <f>IF(Table1[[#This Row],[Month]]&lt;=(12*Table7[mortgage term (yrs)]),Table7[Monthly mortgage rate],Table7[Monthly Exp Renewal Rate])</f>
        <v>4.9038466830562122E-3</v>
      </c>
      <c r="E85" s="21">
        <f>Table1[[#This Row],[Current mortgage rate]]*G84</f>
        <v>2734.7707864660542</v>
      </c>
      <c r="F85" s="5">
        <f>Table1[[#This Row],[Payment amount]]-Table1[[#This Row],[Interest paid]]</f>
        <v>1643.2269309474214</v>
      </c>
      <c r="G85" s="20">
        <f>G84-Table1[[#This Row],[Principal repaid]]-Table1[[#This Row],[Annual paym]]</f>
        <v>556035.46149853466</v>
      </c>
      <c r="H85" s="20">
        <f>H84-(Table1[[#This Row],[Payment amount]]-Table1[[#This Row],[Interest Paid W/O LSP]])</f>
        <v>590725.35420257563</v>
      </c>
      <c r="I85">
        <f>H84*Table1[[#This Row],[Current mortgage rate]]</f>
        <v>2904.0545600666751</v>
      </c>
      <c r="J85" s="25">
        <f>IF(Table1[[#This Row],[Month]]&gt;Table7[Amortization period (yrs)]*12,0,IF(Table1[[#This Row],[Month]]&lt;Table7[mortgage term (yrs)]*12,0,IF(Table1[[#This Row],[Month]]=Table7[mortgage term (yrs)]*12,-H$5,Table1[[#This Row],[Payment amount]]+B85)))</f>
        <v>4377.9977174134756</v>
      </c>
      <c r="K85">
        <v>74</v>
      </c>
      <c r="L85">
        <f>Table7[Initial Monthly Deposit]*Table9[[#This Row],[Inflation Modifier]]</f>
        <v>450.46496770560003</v>
      </c>
      <c r="M85">
        <f xml:space="preserve"> (1+Table7[Inflation])^(QUOTIENT(Table9[[#This Row],[Month]]-1,12))</f>
        <v>1.1261624192640001</v>
      </c>
      <c r="N85">
        <f>N84*(1+Table7[Monthly SF Inter])+Table9[[#This Row],[Monthly Payment]]-O84*(1+Table7[Monthly SF Inter])</f>
        <v>902.78761485802727</v>
      </c>
      <c r="O85">
        <f>IF(MOD(Table9[[#This Row],[Month]],12)=0,(IF(Table9[[#This Row],[Current Balance]]&lt;Table9[[#This Row],[Max Lump Sum ]],Table9[[#This Row],[Current Balance]],Table9[[#This Row],[Max Lump Sum ]])),0)</f>
        <v>0</v>
      </c>
      <c r="P85" s="21">
        <f>Table7[Max annual lump sum repayment]*SUM(C86:C97)</f>
        <v>7880.3958913442566</v>
      </c>
      <c r="Q85" s="25">
        <f>Q84*(1+Table7[Monthly SF Inter])+Table9[[#This Row],[Inflation Modifier]]-R84*(1+Table7[Monthly SF Inter])</f>
        <v>2.2569690371450672</v>
      </c>
      <c r="R85" s="25">
        <f>IF(MOD(Table9[[#This Row],[Month]],12)=0,Table9[[#This Row],[Q2 ACC FACTOR]],0)</f>
        <v>0</v>
      </c>
      <c r="S85" s="25">
        <f>S84*(1+D84)+Table9[[#This Row],[ACC FACTOR PAYMENTS]]</f>
        <v>86.868672477998501</v>
      </c>
    </row>
    <row r="86" spans="1:19" x14ac:dyDescent="0.25">
      <c r="A86" s="1">
        <v>74</v>
      </c>
      <c r="B86" s="1">
        <f t="shared" si="1"/>
        <v>0</v>
      </c>
      <c r="C86" s="7">
        <f>G$12/-PV(Table7[Monthly mortgage rate], (12*Table7[Amortization period (yrs)]),1 )</f>
        <v>4377.9977174134756</v>
      </c>
      <c r="D86" s="11">
        <f>IF(Table1[[#This Row],[Month]]&lt;=(12*Table7[mortgage term (yrs)]),Table7[Monthly mortgage rate],Table7[Monthly Exp Renewal Rate])</f>
        <v>4.9038466830562122E-3</v>
      </c>
      <c r="E86" s="21">
        <f>Table1[[#This Row],[Current mortgage rate]]*G85</f>
        <v>2726.7126535312195</v>
      </c>
      <c r="F86" s="5">
        <f>Table1[[#This Row],[Payment amount]]-Table1[[#This Row],[Interest paid]]</f>
        <v>1651.2850638822561</v>
      </c>
      <c r="G86" s="20">
        <f>G85-Table1[[#This Row],[Principal repaid]]-Table1[[#This Row],[Annual paym]]</f>
        <v>554384.17643465241</v>
      </c>
      <c r="H86" s="20">
        <f>H85-(Table1[[#This Row],[Payment amount]]-Table1[[#This Row],[Interest Paid W/O LSP]])</f>
        <v>589244.18305396568</v>
      </c>
      <c r="I86">
        <f>H85*Table1[[#This Row],[Current mortgage rate]]</f>
        <v>2896.8265688035067</v>
      </c>
      <c r="J86" s="25">
        <f>IF(Table1[[#This Row],[Month]]&gt;Table7[Amortization period (yrs)]*12,0,IF(Table1[[#This Row],[Month]]&lt;Table7[mortgage term (yrs)]*12,0,IF(Table1[[#This Row],[Month]]=Table7[mortgage term (yrs)]*12,-H$5,Table1[[#This Row],[Payment amount]]+B86)))</f>
        <v>4377.9977174134756</v>
      </c>
      <c r="K86">
        <v>75</v>
      </c>
      <c r="L86">
        <f>Table7[Initial Monthly Deposit]*Table9[[#This Row],[Inflation Modifier]]</f>
        <v>450.46496770560003</v>
      </c>
      <c r="M86">
        <f xml:space="preserve"> (1+Table7[Inflation])^(QUOTIENT(Table9[[#This Row],[Month]]-1,12))</f>
        <v>1.1261624192640001</v>
      </c>
      <c r="N86">
        <f>N85*(1+Table7[Monthly SF Inter])+Table9[[#This Row],[Monthly Payment]]-O85*(1+Table7[Monthly SF Inter])</f>
        <v>1356.975602370281</v>
      </c>
      <c r="O86">
        <f>IF(MOD(Table9[[#This Row],[Month]],12)=0,(IF(Table9[[#This Row],[Current Balance]]&lt;Table9[[#This Row],[Max Lump Sum ]],Table9[[#This Row],[Current Balance]],Table9[[#This Row],[Max Lump Sum ]])),0)</f>
        <v>0</v>
      </c>
      <c r="P86" s="21">
        <f>Table7[Max annual lump sum repayment]*SUM(C87:C98)</f>
        <v>7880.3958913442566</v>
      </c>
      <c r="Q86" s="25">
        <f>Q85*(1+Table7[Monthly SF Inter])+Table9[[#This Row],[Inflation Modifier]]-R85*(1+Table7[Monthly SF Inter])</f>
        <v>3.3924390059257012</v>
      </c>
      <c r="R86" s="25">
        <f>IF(MOD(Table9[[#This Row],[Month]],12)=0,Table9[[#This Row],[Q2 ACC FACTOR]],0)</f>
        <v>0</v>
      </c>
      <c r="S86" s="25">
        <f>S85*(1+D85)+Table9[[#This Row],[ACC FACTOR PAYMENTS]]</f>
        <v>87.294663129391225</v>
      </c>
    </row>
    <row r="87" spans="1:19" x14ac:dyDescent="0.25">
      <c r="A87" s="1">
        <v>75</v>
      </c>
      <c r="B87" s="1">
        <f t="shared" si="1"/>
        <v>0</v>
      </c>
      <c r="C87" s="7">
        <f>G$12/-PV(Table7[Monthly mortgage rate], (12*Table7[Amortization period (yrs)]),1 )</f>
        <v>4377.9977174134756</v>
      </c>
      <c r="D87" s="11">
        <f>IF(Table1[[#This Row],[Month]]&lt;=(12*Table7[mortgage term (yrs)]),Table7[Monthly mortgage rate],Table7[Monthly Exp Renewal Rate])</f>
        <v>4.9038466830562122E-3</v>
      </c>
      <c r="E87" s="21">
        <f>Table1[[#This Row],[Current mortgage rate]]*G86</f>
        <v>2718.61500474792</v>
      </c>
      <c r="F87" s="5">
        <f>Table1[[#This Row],[Payment amount]]-Table1[[#This Row],[Interest paid]]</f>
        <v>1659.3827126655556</v>
      </c>
      <c r="G87" s="20">
        <f>G86-Table1[[#This Row],[Principal repaid]]-Table1[[#This Row],[Annual paym]]</f>
        <v>552724.79372198682</v>
      </c>
      <c r="H87" s="20">
        <f>H86-(Table1[[#This Row],[Payment amount]]-Table1[[#This Row],[Interest Paid W/O LSP]])</f>
        <v>587755.74846913153</v>
      </c>
      <c r="I87">
        <f>H86*Table1[[#This Row],[Current mortgage rate]]</f>
        <v>2889.563132579357</v>
      </c>
      <c r="J87" s="25">
        <f>IF(Table1[[#This Row],[Month]]&gt;Table7[Amortization period (yrs)]*12,0,IF(Table1[[#This Row],[Month]]&lt;Table7[mortgage term (yrs)]*12,0,IF(Table1[[#This Row],[Month]]=Table7[mortgage term (yrs)]*12,-H$5,Table1[[#This Row],[Payment amount]]+B87)))</f>
        <v>4377.9977174134756</v>
      </c>
      <c r="K87">
        <v>76</v>
      </c>
      <c r="L87">
        <f>Table7[Initial Monthly Deposit]*Table9[[#This Row],[Inflation Modifier]]</f>
        <v>450.46496770560003</v>
      </c>
      <c r="M87">
        <f xml:space="preserve"> (1+Table7[Inflation])^(QUOTIENT(Table9[[#This Row],[Month]]-1,12))</f>
        <v>1.1261624192640001</v>
      </c>
      <c r="N87">
        <f>N86*(1+Table7[Monthly SF Inter])+Table9[[#This Row],[Monthly Payment]]-O86*(1+Table7[Monthly SF Inter])</f>
        <v>1813.0366227483191</v>
      </c>
      <c r="O87">
        <f>IF(MOD(Table9[[#This Row],[Month]],12)=0,(IF(Table9[[#This Row],[Current Balance]]&lt;Table9[[#This Row],[Max Lump Sum ]],Table9[[#This Row],[Current Balance]],Table9[[#This Row],[Max Lump Sum ]])),0)</f>
        <v>0</v>
      </c>
      <c r="P87" s="21">
        <f>Table7[Max annual lump sum repayment]*SUM(C88:C99)</f>
        <v>7880.3958913442566</v>
      </c>
      <c r="Q87" s="25">
        <f>Q86*(1+Table7[Monthly SF Inter])+Table9[[#This Row],[Inflation Modifier]]-R86*(1+Table7[Monthly SF Inter])</f>
        <v>4.5325915568707966</v>
      </c>
      <c r="R87" s="25">
        <f>IF(MOD(Table9[[#This Row],[Month]],12)=0,Table9[[#This Row],[Q2 ACC FACTOR]],0)</f>
        <v>0</v>
      </c>
      <c r="S87" s="25">
        <f>S86*(1+D86)+Table9[[#This Row],[ACC FACTOR PAYMENTS]]</f>
        <v>87.722742773626806</v>
      </c>
    </row>
    <row r="88" spans="1:19" x14ac:dyDescent="0.25">
      <c r="A88" s="1">
        <v>76</v>
      </c>
      <c r="B88" s="1">
        <f t="shared" si="1"/>
        <v>0</v>
      </c>
      <c r="C88" s="7">
        <f>G$12/-PV(Table7[Monthly mortgage rate], (12*Table7[Amortization period (yrs)]),1 )</f>
        <v>4377.9977174134756</v>
      </c>
      <c r="D88" s="11">
        <f>IF(Table1[[#This Row],[Month]]&lt;=(12*Table7[mortgage term (yrs)]),Table7[Monthly mortgage rate],Table7[Monthly Exp Renewal Rate])</f>
        <v>4.9038466830562122E-3</v>
      </c>
      <c r="E88" s="21">
        <f>Table1[[#This Row],[Current mortgage rate]]*G87</f>
        <v>2710.4776463364942</v>
      </c>
      <c r="F88" s="5">
        <f>Table1[[#This Row],[Payment amount]]-Table1[[#This Row],[Interest paid]]</f>
        <v>1667.5200710769814</v>
      </c>
      <c r="G88" s="20">
        <f>G87-Table1[[#This Row],[Principal repaid]]-Table1[[#This Row],[Annual paym]]</f>
        <v>551057.27365090989</v>
      </c>
      <c r="H88" s="20">
        <f>H87-(Table1[[#This Row],[Payment amount]]-Table1[[#This Row],[Interest Paid W/O LSP]])</f>
        <v>586260.01482929569</v>
      </c>
      <c r="I88">
        <f>H87*Table1[[#This Row],[Current mortgage rate]]</f>
        <v>2882.2640775775722</v>
      </c>
      <c r="J88" s="25">
        <f>IF(Table1[[#This Row],[Month]]&gt;Table7[Amortization period (yrs)]*12,0,IF(Table1[[#This Row],[Month]]&lt;Table7[mortgage term (yrs)]*12,0,IF(Table1[[#This Row],[Month]]=Table7[mortgage term (yrs)]*12,-H$5,Table1[[#This Row],[Payment amount]]+B88)))</f>
        <v>4377.9977174134756</v>
      </c>
      <c r="K88">
        <v>77</v>
      </c>
      <c r="L88">
        <f>Table7[Initial Monthly Deposit]*Table9[[#This Row],[Inflation Modifier]]</f>
        <v>450.46496770560003</v>
      </c>
      <c r="M88">
        <f xml:space="preserve"> (1+Table7[Inflation])^(QUOTIENT(Table9[[#This Row],[Month]]-1,12))</f>
        <v>1.1261624192640001</v>
      </c>
      <c r="N88">
        <f>N87*(1+Table7[Monthly SF Inter])+Table9[[#This Row],[Monthly Payment]]-O87*(1+Table7[Monthly SF Inter])</f>
        <v>2270.9784002213437</v>
      </c>
      <c r="O88">
        <f>IF(MOD(Table9[[#This Row],[Month]],12)=0,(IF(Table9[[#This Row],[Current Balance]]&lt;Table9[[#This Row],[Max Lump Sum ]],Table9[[#This Row],[Current Balance]],Table9[[#This Row],[Max Lump Sum ]])),0)</f>
        <v>0</v>
      </c>
      <c r="P88" s="21">
        <f>Table7[Max annual lump sum repayment]*SUM(C89:C100)</f>
        <v>7880.3958913442566</v>
      </c>
      <c r="Q88" s="25">
        <f>Q87*(1+Table7[Monthly SF Inter])+Table9[[#This Row],[Inflation Modifier]]-R87*(1+Table7[Monthly SF Inter])</f>
        <v>5.6774460005533589</v>
      </c>
      <c r="R88" s="25">
        <f>IF(MOD(Table9[[#This Row],[Month]],12)=0,Table9[[#This Row],[Q2 ACC FACTOR]],0)</f>
        <v>0</v>
      </c>
      <c r="S88" s="25">
        <f>S87*(1+D87)+Table9[[#This Row],[ACC FACTOR PAYMENTS]]</f>
        <v>88.152921654805851</v>
      </c>
    </row>
    <row r="89" spans="1:19" x14ac:dyDescent="0.25">
      <c r="A89" s="1">
        <v>77</v>
      </c>
      <c r="B89" s="1">
        <f t="shared" si="1"/>
        <v>0</v>
      </c>
      <c r="C89" s="7">
        <f>G$12/-PV(Table7[Monthly mortgage rate], (12*Table7[Amortization period (yrs)]),1 )</f>
        <v>4377.9977174134756</v>
      </c>
      <c r="D89" s="11">
        <f>IF(Table1[[#This Row],[Month]]&lt;=(12*Table7[mortgage term (yrs)]),Table7[Monthly mortgage rate],Table7[Monthly Exp Renewal Rate])</f>
        <v>4.9038466830562122E-3</v>
      </c>
      <c r="E89" s="21">
        <f>Table1[[#This Row],[Current mortgage rate]]*G88</f>
        <v>2702.3003835670138</v>
      </c>
      <c r="F89" s="5">
        <f>Table1[[#This Row],[Payment amount]]-Table1[[#This Row],[Interest paid]]</f>
        <v>1675.6973338464618</v>
      </c>
      <c r="G89" s="20">
        <f>G88-Table1[[#This Row],[Principal repaid]]-Table1[[#This Row],[Annual paym]]</f>
        <v>549381.57631706342</v>
      </c>
      <c r="H89" s="20">
        <f>H88-(Table1[[#This Row],[Payment amount]]-Table1[[#This Row],[Interest Paid W/O LSP]])</f>
        <v>584756.94634101132</v>
      </c>
      <c r="I89">
        <f>H88*Table1[[#This Row],[Current mortgage rate]]</f>
        <v>2874.9292291291276</v>
      </c>
      <c r="J89" s="25">
        <f>IF(Table1[[#This Row],[Month]]&gt;Table7[Amortization period (yrs)]*12,0,IF(Table1[[#This Row],[Month]]&lt;Table7[mortgage term (yrs)]*12,0,IF(Table1[[#This Row],[Month]]=Table7[mortgage term (yrs)]*12,-H$5,Table1[[#This Row],[Payment amount]]+B89)))</f>
        <v>4377.9977174134756</v>
      </c>
      <c r="K89">
        <v>78</v>
      </c>
      <c r="L89">
        <f>Table7[Initial Monthly Deposit]*Table9[[#This Row],[Inflation Modifier]]</f>
        <v>450.46496770560003</v>
      </c>
      <c r="M89">
        <f xml:space="preserve"> (1+Table7[Inflation])^(QUOTIENT(Table9[[#This Row],[Month]]-1,12))</f>
        <v>1.1261624192640001</v>
      </c>
      <c r="N89">
        <f>N88*(1+Table7[Monthly SF Inter])+Table9[[#This Row],[Monthly Payment]]-O88*(1+Table7[Monthly SF Inter])</f>
        <v>2730.808690872625</v>
      </c>
      <c r="O89">
        <f>IF(MOD(Table9[[#This Row],[Month]],12)=0,(IF(Table9[[#This Row],[Current Balance]]&lt;Table9[[#This Row],[Max Lump Sum ]],Table9[[#This Row],[Current Balance]],Table9[[#This Row],[Max Lump Sum ]])),0)</f>
        <v>0</v>
      </c>
      <c r="P89" s="21">
        <f>Table7[Max annual lump sum repayment]*SUM(C90:C101)</f>
        <v>7880.3958913442566</v>
      </c>
      <c r="Q89" s="25">
        <f>Q88*(1+Table7[Monthly SF Inter])+Table9[[#This Row],[Inflation Modifier]]-R88*(1+Table7[Monthly SF Inter])</f>
        <v>6.8270217271815623</v>
      </c>
      <c r="R89" s="25">
        <f>IF(MOD(Table9[[#This Row],[Month]],12)=0,Table9[[#This Row],[Q2 ACC FACTOR]],0)</f>
        <v>0</v>
      </c>
      <c r="S89" s="25">
        <f>S88*(1+D88)+Table9[[#This Row],[ACC FACTOR PAYMENTS]]</f>
        <v>88.585210067264484</v>
      </c>
    </row>
    <row r="90" spans="1:19" x14ac:dyDescent="0.25">
      <c r="A90" s="1">
        <v>78</v>
      </c>
      <c r="B90" s="1">
        <f t="shared" si="1"/>
        <v>0</v>
      </c>
      <c r="C90" s="7">
        <f>G$12/-PV(Table7[Monthly mortgage rate], (12*Table7[Amortization period (yrs)]),1 )</f>
        <v>4377.9977174134756</v>
      </c>
      <c r="D90" s="11">
        <f>IF(Table1[[#This Row],[Month]]&lt;=(12*Table7[mortgage term (yrs)]),Table7[Monthly mortgage rate],Table7[Monthly Exp Renewal Rate])</f>
        <v>4.9038466830562122E-3</v>
      </c>
      <c r="E90" s="21">
        <f>Table1[[#This Row],[Current mortgage rate]]*G89</f>
        <v>2694.0830207546246</v>
      </c>
      <c r="F90" s="5">
        <f>Table1[[#This Row],[Payment amount]]-Table1[[#This Row],[Interest paid]]</f>
        <v>1683.914696658851</v>
      </c>
      <c r="G90" s="20">
        <f>G89-Table1[[#This Row],[Principal repaid]]-Table1[[#This Row],[Annual paym]]</f>
        <v>547697.66162040457</v>
      </c>
      <c r="H90" s="20">
        <f>H89-(Table1[[#This Row],[Payment amount]]-Table1[[#This Row],[Interest Paid W/O LSP]])</f>
        <v>583246.50703530631</v>
      </c>
      <c r="I90">
        <f>H89*Table1[[#This Row],[Current mortgage rate]]</f>
        <v>2867.5584117084477</v>
      </c>
      <c r="J90" s="25">
        <f>IF(Table1[[#This Row],[Month]]&gt;Table7[Amortization period (yrs)]*12,0,IF(Table1[[#This Row],[Month]]&lt;Table7[mortgage term (yrs)]*12,0,IF(Table1[[#This Row],[Month]]=Table7[mortgage term (yrs)]*12,-H$5,Table1[[#This Row],[Payment amount]]+B90)))</f>
        <v>4377.9977174134756</v>
      </c>
      <c r="K90">
        <v>79</v>
      </c>
      <c r="L90">
        <f>Table7[Initial Monthly Deposit]*Table9[[#This Row],[Inflation Modifier]]</f>
        <v>450.46496770560003</v>
      </c>
      <c r="M90">
        <f xml:space="preserve"> (1+Table7[Inflation])^(QUOTIENT(Table9[[#This Row],[Month]]-1,12))</f>
        <v>1.1261624192640001</v>
      </c>
      <c r="N90">
        <f>N89*(1+Table7[Monthly SF Inter])+Table9[[#This Row],[Monthly Payment]]-O89*(1+Table7[Monthly SF Inter])</f>
        <v>3192.5352827708648</v>
      </c>
      <c r="O90">
        <f>IF(MOD(Table9[[#This Row],[Month]],12)=0,(IF(Table9[[#This Row],[Current Balance]]&lt;Table9[[#This Row],[Max Lump Sum ]],Table9[[#This Row],[Current Balance]],Table9[[#This Row],[Max Lump Sum ]])),0)</f>
        <v>0</v>
      </c>
      <c r="P90" s="21">
        <f>Table7[Max annual lump sum repayment]*SUM(C91:C102)</f>
        <v>7880.3958913442566</v>
      </c>
      <c r="Q90" s="25">
        <f>Q89*(1+Table7[Monthly SF Inter])+Table9[[#This Row],[Inflation Modifier]]-R89*(1+Table7[Monthly SF Inter])</f>
        <v>7.9813382069271626</v>
      </c>
      <c r="R90" s="25">
        <f>IF(MOD(Table9[[#This Row],[Month]],12)=0,Table9[[#This Row],[Q2 ACC FACTOR]],0)</f>
        <v>0</v>
      </c>
      <c r="S90" s="25">
        <f>S89*(1+D89)+Table9[[#This Row],[ACC FACTOR PAYMENTS]]</f>
        <v>89.019618355820683</v>
      </c>
    </row>
    <row r="91" spans="1:19" x14ac:dyDescent="0.25">
      <c r="A91" s="1">
        <v>79</v>
      </c>
      <c r="B91" s="1">
        <f t="shared" si="1"/>
        <v>0</v>
      </c>
      <c r="C91" s="7">
        <f>G$12/-PV(Table7[Monthly mortgage rate], (12*Table7[Amortization period (yrs)]),1 )</f>
        <v>4377.9977174134756</v>
      </c>
      <c r="D91" s="11">
        <f>IF(Table1[[#This Row],[Month]]&lt;=(12*Table7[mortgage term (yrs)]),Table7[Monthly mortgage rate],Table7[Monthly Exp Renewal Rate])</f>
        <v>4.9038466830562122E-3</v>
      </c>
      <c r="E91" s="21">
        <f>Table1[[#This Row],[Current mortgage rate]]*G90</f>
        <v>2685.8253612548647</v>
      </c>
      <c r="F91" s="5">
        <f>Table1[[#This Row],[Payment amount]]-Table1[[#This Row],[Interest paid]]</f>
        <v>1692.1723561586109</v>
      </c>
      <c r="G91" s="20">
        <f>G90-Table1[[#This Row],[Principal repaid]]-Table1[[#This Row],[Annual paym]]</f>
        <v>546005.48926424596</v>
      </c>
      <c r="H91" s="20">
        <f>H90-(Table1[[#This Row],[Payment amount]]-Table1[[#This Row],[Interest Paid W/O LSP]])</f>
        <v>581728.66076682205</v>
      </c>
      <c r="I91">
        <f>H90*Table1[[#This Row],[Current mortgage rate]]</f>
        <v>2860.1514489292085</v>
      </c>
      <c r="J91" s="25">
        <f>IF(Table1[[#This Row],[Month]]&gt;Table7[Amortization period (yrs)]*12,0,IF(Table1[[#This Row],[Month]]&lt;Table7[mortgage term (yrs)]*12,0,IF(Table1[[#This Row],[Month]]=Table7[mortgage term (yrs)]*12,-H$5,Table1[[#This Row],[Payment amount]]+B91)))</f>
        <v>4377.9977174134756</v>
      </c>
      <c r="K91">
        <v>80</v>
      </c>
      <c r="L91">
        <f>Table7[Initial Monthly Deposit]*Table9[[#This Row],[Inflation Modifier]]</f>
        <v>450.46496770560003</v>
      </c>
      <c r="M91">
        <f xml:space="preserve"> (1+Table7[Inflation])^(QUOTIENT(Table9[[#This Row],[Month]]-1,12))</f>
        <v>1.1261624192640001</v>
      </c>
      <c r="N91">
        <f>N90*(1+Table7[Monthly SF Inter])+Table9[[#This Row],[Monthly Payment]]-O90*(1+Table7[Monthly SF Inter])</f>
        <v>3656.1659961021023</v>
      </c>
      <c r="O91">
        <f>IF(MOD(Table9[[#This Row],[Month]],12)=0,(IF(Table9[[#This Row],[Current Balance]]&lt;Table9[[#This Row],[Max Lump Sum ]],Table9[[#This Row],[Current Balance]],Table9[[#This Row],[Max Lump Sum ]])),0)</f>
        <v>0</v>
      </c>
      <c r="P91" s="21">
        <f>Table7[Max annual lump sum repayment]*SUM(C92:C103)</f>
        <v>7880.3958913442566</v>
      </c>
      <c r="Q91" s="25">
        <f>Q90*(1+Table7[Monthly SF Inter])+Table9[[#This Row],[Inflation Modifier]]-R90*(1+Table7[Monthly SF Inter])</f>
        <v>9.1404149902552572</v>
      </c>
      <c r="R91" s="25">
        <f>IF(MOD(Table9[[#This Row],[Month]],12)=0,Table9[[#This Row],[Q2 ACC FACTOR]],0)</f>
        <v>0</v>
      </c>
      <c r="S91" s="25">
        <f>S90*(1+D90)+Table9[[#This Row],[ACC FACTOR PAYMENTS]]</f>
        <v>89.456156916021797</v>
      </c>
    </row>
    <row r="92" spans="1:19" x14ac:dyDescent="0.25">
      <c r="A92" s="1">
        <v>80</v>
      </c>
      <c r="B92" s="1">
        <f t="shared" si="1"/>
        <v>0</v>
      </c>
      <c r="C92" s="7">
        <f>G$12/-PV(Table7[Monthly mortgage rate], (12*Table7[Amortization period (yrs)]),1 )</f>
        <v>4377.9977174134756</v>
      </c>
      <c r="D92" s="11">
        <f>IF(Table1[[#This Row],[Month]]&lt;=(12*Table7[mortgage term (yrs)]),Table7[Monthly mortgage rate],Table7[Monthly Exp Renewal Rate])</f>
        <v>4.9038466830562122E-3</v>
      </c>
      <c r="E92" s="21">
        <f>Table1[[#This Row],[Current mortgage rate]]*G91</f>
        <v>2677.527207458957</v>
      </c>
      <c r="F92" s="5">
        <f>Table1[[#This Row],[Payment amount]]-Table1[[#This Row],[Interest paid]]</f>
        <v>1700.4705099545185</v>
      </c>
      <c r="G92" s="20">
        <f>G91-Table1[[#This Row],[Principal repaid]]-Table1[[#This Row],[Annual paym]]</f>
        <v>544305.01875429146</v>
      </c>
      <c r="H92" s="20">
        <f>H91-(Table1[[#This Row],[Payment amount]]-Table1[[#This Row],[Interest Paid W/O LSP]])</f>
        <v>580203.3712129487</v>
      </c>
      <c r="I92">
        <f>H91*Table1[[#This Row],[Current mortgage rate]]</f>
        <v>2852.7081635401128</v>
      </c>
      <c r="J92" s="25">
        <f>IF(Table1[[#This Row],[Month]]&gt;Table7[Amortization period (yrs)]*12,0,IF(Table1[[#This Row],[Month]]&lt;Table7[mortgage term (yrs)]*12,0,IF(Table1[[#This Row],[Month]]=Table7[mortgage term (yrs)]*12,-H$5,Table1[[#This Row],[Payment amount]]+B92)))</f>
        <v>4377.9977174134756</v>
      </c>
      <c r="K92">
        <v>81</v>
      </c>
      <c r="L92">
        <f>Table7[Initial Monthly Deposit]*Table9[[#This Row],[Inflation Modifier]]</f>
        <v>450.46496770560003</v>
      </c>
      <c r="M92">
        <f xml:space="preserve"> (1+Table7[Inflation])^(QUOTIENT(Table9[[#This Row],[Month]]-1,12))</f>
        <v>1.1261624192640001</v>
      </c>
      <c r="N92">
        <f>N91*(1+Table7[Monthly SF Inter])+Table9[[#This Row],[Monthly Payment]]-O91*(1+Table7[Monthly SF Inter])</f>
        <v>4121.7086833021622</v>
      </c>
      <c r="O92">
        <f>IF(MOD(Table9[[#This Row],[Month]],12)=0,(IF(Table9[[#This Row],[Current Balance]]&lt;Table9[[#This Row],[Max Lump Sum ]],Table9[[#This Row],[Current Balance]],Table9[[#This Row],[Max Lump Sum ]])),0)</f>
        <v>0</v>
      </c>
      <c r="P92" s="21">
        <f>Table7[Max annual lump sum repayment]*SUM(C93:C104)</f>
        <v>7880.3958913442566</v>
      </c>
      <c r="Q92" s="25">
        <f>Q91*(1+Table7[Monthly SF Inter])+Table9[[#This Row],[Inflation Modifier]]-R91*(1+Table7[Monthly SF Inter])</f>
        <v>10.304271708255408</v>
      </c>
      <c r="R92" s="25">
        <f>IF(MOD(Table9[[#This Row],[Month]],12)=0,Table9[[#This Row],[Q2 ACC FACTOR]],0)</f>
        <v>0</v>
      </c>
      <c r="S92" s="25">
        <f>S91*(1+D91)+Table9[[#This Row],[ACC FACTOR PAYMENTS]]</f>
        <v>89.894836194393392</v>
      </c>
    </row>
    <row r="93" spans="1:19" x14ac:dyDescent="0.25">
      <c r="A93" s="1">
        <v>81</v>
      </c>
      <c r="B93" s="1">
        <f t="shared" si="1"/>
        <v>0</v>
      </c>
      <c r="C93" s="7">
        <f>G$12/-PV(Table7[Monthly mortgage rate], (12*Table7[Amortization period (yrs)]),1 )</f>
        <v>4377.9977174134756</v>
      </c>
      <c r="D93" s="11">
        <f>IF(Table1[[#This Row],[Month]]&lt;=(12*Table7[mortgage term (yrs)]),Table7[Monthly mortgage rate],Table7[Monthly Exp Renewal Rate])</f>
        <v>4.9038466830562122E-3</v>
      </c>
      <c r="E93" s="21">
        <f>Table1[[#This Row],[Current mortgage rate]]*G92</f>
        <v>2669.1883607890813</v>
      </c>
      <c r="F93" s="5">
        <f>Table1[[#This Row],[Payment amount]]-Table1[[#This Row],[Interest paid]]</f>
        <v>1708.8093566243942</v>
      </c>
      <c r="G93" s="20">
        <f>G92-Table1[[#This Row],[Principal repaid]]-Table1[[#This Row],[Annual paym]]</f>
        <v>542596.20939766709</v>
      </c>
      <c r="H93" s="20">
        <f>H92-(Table1[[#This Row],[Payment amount]]-Table1[[#This Row],[Interest Paid W/O LSP]])</f>
        <v>578670.60187295591</v>
      </c>
      <c r="I93">
        <f>H92*Table1[[#This Row],[Current mortgage rate]]</f>
        <v>2845.2283774206508</v>
      </c>
      <c r="J93" s="25">
        <f>IF(Table1[[#This Row],[Month]]&gt;Table7[Amortization period (yrs)]*12,0,IF(Table1[[#This Row],[Month]]&lt;Table7[mortgage term (yrs)]*12,0,IF(Table1[[#This Row],[Month]]=Table7[mortgage term (yrs)]*12,-H$5,Table1[[#This Row],[Payment amount]]+B93)))</f>
        <v>4377.9977174134756</v>
      </c>
      <c r="K93">
        <v>82</v>
      </c>
      <c r="L93">
        <f>Table7[Initial Monthly Deposit]*Table9[[#This Row],[Inflation Modifier]]</f>
        <v>450.46496770560003</v>
      </c>
      <c r="M93">
        <f xml:space="preserve"> (1+Table7[Inflation])^(QUOTIENT(Table9[[#This Row],[Month]]-1,12))</f>
        <v>1.1261624192640001</v>
      </c>
      <c r="N93">
        <f>N92*(1+Table7[Monthly SF Inter])+Table9[[#This Row],[Monthly Payment]]-O92*(1+Table7[Monthly SF Inter])</f>
        <v>4589.171229189652</v>
      </c>
      <c r="O93">
        <f>IF(MOD(Table9[[#This Row],[Month]],12)=0,(IF(Table9[[#This Row],[Current Balance]]&lt;Table9[[#This Row],[Max Lump Sum ]],Table9[[#This Row],[Current Balance]],Table9[[#This Row],[Max Lump Sum ]])),0)</f>
        <v>0</v>
      </c>
      <c r="P93" s="21">
        <f>Table7[Max annual lump sum repayment]*SUM(C94:C105)</f>
        <v>7880.3958913442566</v>
      </c>
      <c r="Q93" s="25">
        <f>Q92*(1+Table7[Monthly SF Inter])+Table9[[#This Row],[Inflation Modifier]]-R92*(1+Table7[Monthly SF Inter])</f>
        <v>11.472928072974131</v>
      </c>
      <c r="R93" s="25">
        <f>IF(MOD(Table9[[#This Row],[Month]],12)=0,Table9[[#This Row],[Q2 ACC FACTOR]],0)</f>
        <v>0</v>
      </c>
      <c r="S93" s="25">
        <f>S92*(1+D92)+Table9[[#This Row],[ACC FACTOR PAYMENTS]]</f>
        <v>90.335666688689145</v>
      </c>
    </row>
    <row r="94" spans="1:19" x14ac:dyDescent="0.25">
      <c r="A94" s="1">
        <v>82</v>
      </c>
      <c r="B94" s="1">
        <f t="shared" si="1"/>
        <v>0</v>
      </c>
      <c r="C94" s="7">
        <f>G$12/-PV(Table7[Monthly mortgage rate], (12*Table7[Amortization period (yrs)]),1 )</f>
        <v>4377.9977174134756</v>
      </c>
      <c r="D94" s="11">
        <f>IF(Table1[[#This Row],[Month]]&lt;=(12*Table7[mortgage term (yrs)]),Table7[Monthly mortgage rate],Table7[Monthly Exp Renewal Rate])</f>
        <v>4.9038466830562122E-3</v>
      </c>
      <c r="E94" s="21">
        <f>Table1[[#This Row],[Current mortgage rate]]*G93</f>
        <v>2660.8086216936235</v>
      </c>
      <c r="F94" s="5">
        <f>Table1[[#This Row],[Payment amount]]-Table1[[#This Row],[Interest paid]]</f>
        <v>1717.189095719852</v>
      </c>
      <c r="G94" s="20">
        <f>G93-Table1[[#This Row],[Principal repaid]]-Table1[[#This Row],[Annual paym]]</f>
        <v>540879.02030194725</v>
      </c>
      <c r="H94" s="20">
        <f>H93-(Table1[[#This Row],[Payment amount]]-Table1[[#This Row],[Interest Paid W/O LSP]])</f>
        <v>577130.31606711925</v>
      </c>
      <c r="I94">
        <f>H93*Table1[[#This Row],[Current mortgage rate]]</f>
        <v>2837.7119115768369</v>
      </c>
      <c r="J94" s="25">
        <f>IF(Table1[[#This Row],[Month]]&gt;Table7[Amortization period (yrs)]*12,0,IF(Table1[[#This Row],[Month]]&lt;Table7[mortgage term (yrs)]*12,0,IF(Table1[[#This Row],[Month]]=Table7[mortgage term (yrs)]*12,-H$5,Table1[[#This Row],[Payment amount]]+B94)))</f>
        <v>4377.9977174134756</v>
      </c>
      <c r="K94">
        <v>83</v>
      </c>
      <c r="L94">
        <f>Table7[Initial Monthly Deposit]*Table9[[#This Row],[Inflation Modifier]]</f>
        <v>450.46496770560003</v>
      </c>
      <c r="M94">
        <f xml:space="preserve"> (1+Table7[Inflation])^(QUOTIENT(Table9[[#This Row],[Month]]-1,12))</f>
        <v>1.1261624192640001</v>
      </c>
      <c r="N94">
        <f>N93*(1+Table7[Monthly SF Inter])+Table9[[#This Row],[Monthly Payment]]-O93*(1+Table7[Monthly SF Inter])</f>
        <v>5058.5615510995021</v>
      </c>
      <c r="O94">
        <f>IF(MOD(Table9[[#This Row],[Month]],12)=0,(IF(Table9[[#This Row],[Current Balance]]&lt;Table9[[#This Row],[Max Lump Sum ]],Table9[[#This Row],[Current Balance]],Table9[[#This Row],[Max Lump Sum ]])),0)</f>
        <v>0</v>
      </c>
      <c r="P94" s="21">
        <f>Table7[Max annual lump sum repayment]*SUM(C95:C106)</f>
        <v>7880.3958913442566</v>
      </c>
      <c r="Q94" s="25">
        <f>Q93*(1+Table7[Monthly SF Inter])+Table9[[#This Row],[Inflation Modifier]]-R93*(1+Table7[Monthly SF Inter])</f>
        <v>12.646403877748757</v>
      </c>
      <c r="R94" s="25">
        <f>IF(MOD(Table9[[#This Row],[Month]],12)=0,Table9[[#This Row],[Q2 ACC FACTOR]],0)</f>
        <v>0</v>
      </c>
      <c r="S94" s="25">
        <f>S93*(1+D93)+Table9[[#This Row],[ACC FACTOR PAYMENTS]]</f>
        <v>90.778658948142152</v>
      </c>
    </row>
    <row r="95" spans="1:19" x14ac:dyDescent="0.25">
      <c r="A95" s="1">
        <v>83</v>
      </c>
      <c r="B95" s="1">
        <f t="shared" si="1"/>
        <v>0</v>
      </c>
      <c r="C95" s="7">
        <f>G$12/-PV(Table7[Monthly mortgage rate], (12*Table7[Amortization period (yrs)]),1 )</f>
        <v>4377.9977174134756</v>
      </c>
      <c r="D95" s="11">
        <f>IF(Table1[[#This Row],[Month]]&lt;=(12*Table7[mortgage term (yrs)]),Table7[Monthly mortgage rate],Table7[Monthly Exp Renewal Rate])</f>
        <v>4.9038466830562122E-3</v>
      </c>
      <c r="E95" s="21">
        <f>Table1[[#This Row],[Current mortgage rate]]*G94</f>
        <v>2652.3877896423978</v>
      </c>
      <c r="F95" s="5">
        <f>Table1[[#This Row],[Payment amount]]-Table1[[#This Row],[Interest paid]]</f>
        <v>1725.6099277710778</v>
      </c>
      <c r="G95" s="20">
        <f>G94-Table1[[#This Row],[Principal repaid]]-Table1[[#This Row],[Annual paym]]</f>
        <v>539153.41037417622</v>
      </c>
      <c r="H95" s="20">
        <f>H94-(Table1[[#This Row],[Payment amount]]-Table1[[#This Row],[Interest Paid W/O LSP]])</f>
        <v>575582.47693584266</v>
      </c>
      <c r="I95">
        <f>H94*Table1[[#This Row],[Current mortgage rate]]</f>
        <v>2830.1585861369263</v>
      </c>
      <c r="J95" s="25">
        <f>IF(Table1[[#This Row],[Month]]&gt;Table7[Amortization period (yrs)]*12,0,IF(Table1[[#This Row],[Month]]&lt;Table7[mortgage term (yrs)]*12,0,IF(Table1[[#This Row],[Month]]=Table7[mortgage term (yrs)]*12,-H$5,Table1[[#This Row],[Payment amount]]+B95)))</f>
        <v>4377.9977174134756</v>
      </c>
      <c r="K95">
        <v>84</v>
      </c>
      <c r="L95">
        <f>Table7[Initial Monthly Deposit]*Table9[[#This Row],[Inflation Modifier]]</f>
        <v>450.46496770560003</v>
      </c>
      <c r="M95">
        <f xml:space="preserve"> (1+Table7[Inflation])^(QUOTIENT(Table9[[#This Row],[Month]]-1,12))</f>
        <v>1.1261624192640001</v>
      </c>
      <c r="N95">
        <f>N94*(1+Table7[Monthly SF Inter])+Table9[[#This Row],[Monthly Payment]]-O94*(1+Table7[Monthly SF Inter])</f>
        <v>5529.8875990170654</v>
      </c>
      <c r="O95">
        <f>IF(MOD(Table9[[#This Row],[Month]],12)=0,(IF(Table9[[#This Row],[Current Balance]]&lt;Table9[[#This Row],[Max Lump Sum ]],Table9[[#This Row],[Current Balance]],Table9[[#This Row],[Max Lump Sum ]])),0)</f>
        <v>5529.8875990170654</v>
      </c>
      <c r="P95" s="21">
        <f>Table7[Max annual lump sum repayment]*SUM(C96:C107)</f>
        <v>7880.3958913442566</v>
      </c>
      <c r="Q95" s="25">
        <f>Q94*(1+Table7[Monthly SF Inter])+Table9[[#This Row],[Inflation Modifier]]-R94*(1+Table7[Monthly SF Inter])</f>
        <v>13.824718997542664</v>
      </c>
      <c r="R95" s="25">
        <f>IF(MOD(Table9[[#This Row],[Month]],12)=0,Table9[[#This Row],[Q2 ACC FACTOR]],0)</f>
        <v>13.824718997542664</v>
      </c>
      <c r="S95" s="25">
        <f>S94*(1+D94)+Table9[[#This Row],[ACC FACTOR PAYMENTS]]</f>
        <v>105.04854257125994</v>
      </c>
    </row>
    <row r="96" spans="1:19" x14ac:dyDescent="0.25">
      <c r="A96" s="1">
        <v>84</v>
      </c>
      <c r="B96" s="1">
        <f t="shared" si="1"/>
        <v>5529.8875990170654</v>
      </c>
      <c r="C96" s="7">
        <f>G$12/-PV(Table7[Monthly mortgage rate], (12*Table7[Amortization period (yrs)]),1 )</f>
        <v>4377.9977174134756</v>
      </c>
      <c r="D96" s="11">
        <f>IF(Table1[[#This Row],[Month]]&lt;=(12*Table7[mortgage term (yrs)]),Table7[Monthly mortgage rate],Table7[Monthly Exp Renewal Rate])</f>
        <v>4.9038466830562122E-3</v>
      </c>
      <c r="E96" s="21">
        <f>Table1[[#This Row],[Current mortgage rate]]*G95</f>
        <v>2643.9256631218486</v>
      </c>
      <c r="F96" s="5">
        <f>Table1[[#This Row],[Payment amount]]-Table1[[#This Row],[Interest paid]]</f>
        <v>1734.072054291627</v>
      </c>
      <c r="G96" s="20">
        <f>G95-Table1[[#This Row],[Principal repaid]]-Table1[[#This Row],[Annual paym]]</f>
        <v>531889.45072086749</v>
      </c>
      <c r="H96" s="20">
        <f>H95-(Table1[[#This Row],[Payment amount]]-Table1[[#This Row],[Interest Paid W/O LSP]])</f>
        <v>574027.04743877624</v>
      </c>
      <c r="I96">
        <f>H95*Table1[[#This Row],[Current mortgage rate]]</f>
        <v>2822.5682203471106</v>
      </c>
      <c r="J96" s="25">
        <f>IF(Table1[[#This Row],[Month]]&gt;Table7[Amortization period (yrs)]*12,0,IF(Table1[[#This Row],[Month]]&lt;Table7[mortgage term (yrs)]*12,0,IF(Table1[[#This Row],[Month]]=Table7[mortgage term (yrs)]*12,-H$5,Table1[[#This Row],[Payment amount]]+B96)))</f>
        <v>9907.8853164305401</v>
      </c>
      <c r="K96">
        <v>85</v>
      </c>
      <c r="L96">
        <f>Table7[Initial Monthly Deposit]*Table9[[#This Row],[Inflation Modifier]]</f>
        <v>459.47426705971191</v>
      </c>
      <c r="M96">
        <f xml:space="preserve"> (1+Table7[Inflation])^(QUOTIENT(Table9[[#This Row],[Month]]-1,12))</f>
        <v>1.1486856676492798</v>
      </c>
      <c r="N96">
        <f>N95*(1+Table7[Monthly SF Inter])+Table9[[#This Row],[Monthly Payment]]-O95*(1+Table7[Monthly SF Inter])</f>
        <v>459.47426705971156</v>
      </c>
      <c r="O96">
        <f>IF(MOD(Table9[[#This Row],[Month]],12)=0,(IF(Table9[[#This Row],[Current Balance]]&lt;Table9[[#This Row],[Max Lump Sum ]],Table9[[#This Row],[Current Balance]],Table9[[#This Row],[Max Lump Sum ]])),0)</f>
        <v>0</v>
      </c>
      <c r="P96" s="21">
        <f>Table7[Max annual lump sum repayment]*SUM(C97:C108)</f>
        <v>7880.3958913442566</v>
      </c>
      <c r="Q96" s="25">
        <f>Q95*(1+Table7[Monthly SF Inter])+Table9[[#This Row],[Inflation Modifier]]-R95*(1+Table7[Monthly SF Inter])</f>
        <v>1.1486856676492803</v>
      </c>
      <c r="R96" s="25">
        <f>IF(MOD(Table9[[#This Row],[Month]],12)=0,Table9[[#This Row],[Q2 ACC FACTOR]],0)</f>
        <v>0</v>
      </c>
      <c r="S96" s="25">
        <f>S95*(1+D95)+Table9[[#This Row],[ACC FACTOR PAYMENTS]]</f>
        <v>105.56368451830791</v>
      </c>
    </row>
    <row r="97" spans="1:19" x14ac:dyDescent="0.25">
      <c r="A97" s="1">
        <v>85</v>
      </c>
      <c r="B97" s="1">
        <f t="shared" si="1"/>
        <v>0</v>
      </c>
      <c r="C97" s="7">
        <f>G$12/-PV(Table7[Monthly mortgage rate], (12*Table7[Amortization period (yrs)]),1 )</f>
        <v>4377.9977174134756</v>
      </c>
      <c r="D97" s="11">
        <f>IF(Table1[[#This Row],[Month]]&lt;=(12*Table7[mortgage term (yrs)]),Table7[Monthly mortgage rate],Table7[Monthly Exp Renewal Rate])</f>
        <v>4.9038466830562122E-3</v>
      </c>
      <c r="E97" s="21">
        <f>Table1[[#This Row],[Current mortgage rate]]*G96</f>
        <v>2608.3043186701166</v>
      </c>
      <c r="F97" s="5">
        <f>Table1[[#This Row],[Payment amount]]-Table1[[#This Row],[Interest paid]]</f>
        <v>1769.693398743359</v>
      </c>
      <c r="G97" s="20">
        <f>G96-Table1[[#This Row],[Principal repaid]]-Table1[[#This Row],[Annual paym]]</f>
        <v>530119.75732212409</v>
      </c>
      <c r="H97" s="20">
        <f>H96-(Table1[[#This Row],[Payment amount]]-Table1[[#This Row],[Interest Paid W/O LSP]])</f>
        <v>572463.99035392993</v>
      </c>
      <c r="I97">
        <f>H96*Table1[[#This Row],[Current mortgage rate]]</f>
        <v>2814.9406325671939</v>
      </c>
      <c r="J97" s="25">
        <f>IF(Table1[[#This Row],[Month]]&gt;Table7[Amortization period (yrs)]*12,0,IF(Table1[[#This Row],[Month]]&lt;Table7[mortgage term (yrs)]*12,0,IF(Table1[[#This Row],[Month]]=Table7[mortgage term (yrs)]*12,-H$5,Table1[[#This Row],[Payment amount]]+B97)))</f>
        <v>4377.9977174134756</v>
      </c>
      <c r="K97">
        <v>86</v>
      </c>
      <c r="L97">
        <f>Table7[Initial Monthly Deposit]*Table9[[#This Row],[Inflation Modifier]]</f>
        <v>459.47426705971191</v>
      </c>
      <c r="M97">
        <f xml:space="preserve"> (1+Table7[Inflation])^(QUOTIENT(Table9[[#This Row],[Month]]-1,12))</f>
        <v>1.1486856676492798</v>
      </c>
      <c r="N97">
        <f>N96*(1+Table7[Monthly SF Inter])+Table9[[#This Row],[Monthly Payment]]-O96*(1+Table7[Monthly SF Inter])</f>
        <v>920.8433671551868</v>
      </c>
      <c r="O97">
        <f>IF(MOD(Table9[[#This Row],[Month]],12)=0,(IF(Table9[[#This Row],[Current Balance]]&lt;Table9[[#This Row],[Max Lump Sum ]],Table9[[#This Row],[Current Balance]],Table9[[#This Row],[Max Lump Sum ]])),0)</f>
        <v>0</v>
      </c>
      <c r="P97" s="21">
        <f>Table7[Max annual lump sum repayment]*SUM(C98:C109)</f>
        <v>7880.3958913442566</v>
      </c>
      <c r="Q97" s="25">
        <f>Q96*(1+Table7[Monthly SF Inter])+Table9[[#This Row],[Inflation Modifier]]-R96*(1+Table7[Monthly SF Inter])</f>
        <v>2.3021084178879683</v>
      </c>
      <c r="R97" s="25">
        <f>IF(MOD(Table9[[#This Row],[Month]],12)=0,Table9[[#This Row],[Q2 ACC FACTOR]],0)</f>
        <v>0</v>
      </c>
      <c r="S97" s="25">
        <f>S96*(1+D96)+Table9[[#This Row],[ACC FACTOR PAYMENTS]]</f>
        <v>106.08135264248421</v>
      </c>
    </row>
    <row r="98" spans="1:19" x14ac:dyDescent="0.25">
      <c r="A98" s="1">
        <v>86</v>
      </c>
      <c r="B98" s="1">
        <f t="shared" si="1"/>
        <v>0</v>
      </c>
      <c r="C98" s="7">
        <f>G$12/-PV(Table7[Monthly mortgage rate], (12*Table7[Amortization period (yrs)]),1 )</f>
        <v>4377.9977174134756</v>
      </c>
      <c r="D98" s="11">
        <f>IF(Table1[[#This Row],[Month]]&lt;=(12*Table7[mortgage term (yrs)]),Table7[Monthly mortgage rate],Table7[Monthly Exp Renewal Rate])</f>
        <v>4.9038466830562122E-3</v>
      </c>
      <c r="E98" s="21">
        <f>Table1[[#This Row],[Current mortgage rate]]*G97</f>
        <v>2599.6260135666626</v>
      </c>
      <c r="F98" s="5">
        <f>Table1[[#This Row],[Payment amount]]-Table1[[#This Row],[Interest paid]]</f>
        <v>1778.371703846813</v>
      </c>
      <c r="G98" s="20">
        <f>G97-Table1[[#This Row],[Principal repaid]]-Table1[[#This Row],[Annual paym]]</f>
        <v>528341.38561827724</v>
      </c>
      <c r="H98" s="20">
        <f>H97-(Table1[[#This Row],[Payment amount]]-Table1[[#This Row],[Interest Paid W/O LSP]])</f>
        <v>570893.26827678271</v>
      </c>
      <c r="I98">
        <f>H97*Table1[[#This Row],[Current mortgage rate]]</f>
        <v>2807.2756402662426</v>
      </c>
      <c r="J98" s="25">
        <f>IF(Table1[[#This Row],[Month]]&gt;Table7[Amortization period (yrs)]*12,0,IF(Table1[[#This Row],[Month]]&lt;Table7[mortgage term (yrs)]*12,0,IF(Table1[[#This Row],[Month]]=Table7[mortgage term (yrs)]*12,-H$5,Table1[[#This Row],[Payment amount]]+B98)))</f>
        <v>4377.9977174134756</v>
      </c>
      <c r="K98">
        <v>87</v>
      </c>
      <c r="L98">
        <f>Table7[Initial Monthly Deposit]*Table9[[#This Row],[Inflation Modifier]]</f>
        <v>459.47426705971191</v>
      </c>
      <c r="M98">
        <f xml:space="preserve"> (1+Table7[Inflation])^(QUOTIENT(Table9[[#This Row],[Month]]-1,12))</f>
        <v>1.1486856676492798</v>
      </c>
      <c r="N98">
        <f>N97*(1+Table7[Monthly SF Inter])+Table9[[#This Row],[Monthly Payment]]-O97*(1+Table7[Monthly SF Inter])</f>
        <v>1384.1151144176856</v>
      </c>
      <c r="O98">
        <f>IF(MOD(Table9[[#This Row],[Month]],12)=0,(IF(Table9[[#This Row],[Current Balance]]&lt;Table9[[#This Row],[Max Lump Sum ]],Table9[[#This Row],[Current Balance]],Table9[[#This Row],[Max Lump Sum ]])),0)</f>
        <v>0</v>
      </c>
      <c r="P98" s="21">
        <f>Table7[Max annual lump sum repayment]*SUM(C99:C110)</f>
        <v>7880.3958913442566</v>
      </c>
      <c r="Q98" s="25">
        <f>Q97*(1+Table7[Monthly SF Inter])+Table9[[#This Row],[Inflation Modifier]]-R97*(1+Table7[Monthly SF Inter])</f>
        <v>3.4602877860442152</v>
      </c>
      <c r="R98" s="25">
        <f>IF(MOD(Table9[[#This Row],[Month]],12)=0,Table9[[#This Row],[Q2 ACC FACTOR]],0)</f>
        <v>0</v>
      </c>
      <c r="S98" s="25">
        <f>S97*(1+D97)+Table9[[#This Row],[ACC FACTOR PAYMENTS]]</f>
        <v>106.60155933177417</v>
      </c>
    </row>
    <row r="99" spans="1:19" x14ac:dyDescent="0.25">
      <c r="A99" s="1">
        <v>87</v>
      </c>
      <c r="B99" s="1">
        <f t="shared" si="1"/>
        <v>0</v>
      </c>
      <c r="C99" s="7">
        <f>G$12/-PV(Table7[Monthly mortgage rate], (12*Table7[Amortization period (yrs)]),1 )</f>
        <v>4377.9977174134756</v>
      </c>
      <c r="D99" s="11">
        <f>IF(Table1[[#This Row],[Month]]&lt;=(12*Table7[mortgage term (yrs)]),Table7[Monthly mortgage rate],Table7[Monthly Exp Renewal Rate])</f>
        <v>4.9038466830562122E-3</v>
      </c>
      <c r="E99" s="21">
        <f>Table1[[#This Row],[Current mortgage rate]]*G98</f>
        <v>2590.905151385512</v>
      </c>
      <c r="F99" s="5">
        <f>Table1[[#This Row],[Payment amount]]-Table1[[#This Row],[Interest paid]]</f>
        <v>1787.0925660279636</v>
      </c>
      <c r="G99" s="20">
        <f>G98-Table1[[#This Row],[Principal repaid]]-Table1[[#This Row],[Annual paym]]</f>
        <v>526554.29305224924</v>
      </c>
      <c r="H99" s="20">
        <f>H98-(Table1[[#This Row],[Payment amount]]-Table1[[#This Row],[Interest Paid W/O LSP]])</f>
        <v>569314.84361938748</v>
      </c>
      <c r="I99">
        <f>H98*Table1[[#This Row],[Current mortgage rate]]</f>
        <v>2799.573060018221</v>
      </c>
      <c r="J99" s="25">
        <f>IF(Table1[[#This Row],[Month]]&gt;Table7[Amortization period (yrs)]*12,0,IF(Table1[[#This Row],[Month]]&lt;Table7[mortgage term (yrs)]*12,0,IF(Table1[[#This Row],[Month]]=Table7[mortgage term (yrs)]*12,-H$5,Table1[[#This Row],[Payment amount]]+B99)))</f>
        <v>4377.9977174134756</v>
      </c>
      <c r="K99">
        <v>88</v>
      </c>
      <c r="L99">
        <f>Table7[Initial Monthly Deposit]*Table9[[#This Row],[Inflation Modifier]]</f>
        <v>459.47426705971191</v>
      </c>
      <c r="M99">
        <f xml:space="preserve"> (1+Table7[Inflation])^(QUOTIENT(Table9[[#This Row],[Month]]-1,12))</f>
        <v>1.1486856676492798</v>
      </c>
      <c r="N99">
        <f>N98*(1+Table7[Monthly SF Inter])+Table9[[#This Row],[Monthly Payment]]-O98*(1+Table7[Monthly SF Inter])</f>
        <v>1849.2973552032845</v>
      </c>
      <c r="O99">
        <f>IF(MOD(Table9[[#This Row],[Month]],12)=0,(IF(Table9[[#This Row],[Current Balance]]&lt;Table9[[#This Row],[Max Lump Sum ]],Table9[[#This Row],[Current Balance]],Table9[[#This Row],[Max Lump Sum ]])),0)</f>
        <v>0</v>
      </c>
      <c r="P99" s="21">
        <f>Table7[Max annual lump sum repayment]*SUM(C100:C111)</f>
        <v>7880.3958913442566</v>
      </c>
      <c r="Q99" s="25">
        <f>Q98*(1+Table7[Monthly SF Inter])+Table9[[#This Row],[Inflation Modifier]]-R98*(1+Table7[Monthly SF Inter])</f>
        <v>4.6232433880082127</v>
      </c>
      <c r="R99" s="25">
        <f>IF(MOD(Table9[[#This Row],[Month]],12)=0,Table9[[#This Row],[Q2 ACC FACTOR]],0)</f>
        <v>0</v>
      </c>
      <c r="S99" s="25">
        <f>S98*(1+D98)+Table9[[#This Row],[ACC FACTOR PAYMENTS]]</f>
        <v>107.12431703491191</v>
      </c>
    </row>
    <row r="100" spans="1:19" x14ac:dyDescent="0.25">
      <c r="A100" s="1">
        <v>88</v>
      </c>
      <c r="B100" s="1">
        <f t="shared" si="1"/>
        <v>0</v>
      </c>
      <c r="C100" s="7">
        <f>G$12/-PV(Table7[Monthly mortgage rate], (12*Table7[Amortization period (yrs)]),1 )</f>
        <v>4377.9977174134756</v>
      </c>
      <c r="D100" s="11">
        <f>IF(Table1[[#This Row],[Month]]&lt;=(12*Table7[mortgage term (yrs)]),Table7[Monthly mortgage rate],Table7[Monthly Exp Renewal Rate])</f>
        <v>4.9038466830562122E-3</v>
      </c>
      <c r="E100" s="21">
        <f>Table1[[#This Row],[Current mortgage rate]]*G99</f>
        <v>2582.1415234332812</v>
      </c>
      <c r="F100" s="5">
        <f>Table1[[#This Row],[Payment amount]]-Table1[[#This Row],[Interest paid]]</f>
        <v>1795.8561939801943</v>
      </c>
      <c r="G100" s="20">
        <f>G99-Table1[[#This Row],[Principal repaid]]-Table1[[#This Row],[Annual paym]]</f>
        <v>524758.43685826904</v>
      </c>
      <c r="H100" s="20">
        <f>H99-(Table1[[#This Row],[Payment amount]]-Table1[[#This Row],[Interest Paid W/O LSP]])</f>
        <v>567728.67860947165</v>
      </c>
      <c r="I100">
        <f>H99*Table1[[#This Row],[Current mortgage rate]]</f>
        <v>2791.8327074975996</v>
      </c>
      <c r="J100" s="25">
        <f>IF(Table1[[#This Row],[Month]]&gt;Table7[Amortization period (yrs)]*12,0,IF(Table1[[#This Row],[Month]]&lt;Table7[mortgage term (yrs)]*12,0,IF(Table1[[#This Row],[Month]]=Table7[mortgage term (yrs)]*12,-H$5,Table1[[#This Row],[Payment amount]]+B100)))</f>
        <v>4377.9977174134756</v>
      </c>
      <c r="K100">
        <v>89</v>
      </c>
      <c r="L100">
        <f>Table7[Initial Monthly Deposit]*Table9[[#This Row],[Inflation Modifier]]</f>
        <v>459.47426705971191</v>
      </c>
      <c r="M100">
        <f xml:space="preserve"> (1+Table7[Inflation])^(QUOTIENT(Table9[[#This Row],[Month]]-1,12))</f>
        <v>1.1486856676492798</v>
      </c>
      <c r="N100">
        <f>N99*(1+Table7[Monthly SF Inter])+Table9[[#This Row],[Monthly Payment]]-O99*(1+Table7[Monthly SF Inter])</f>
        <v>2316.3979682257695</v>
      </c>
      <c r="O100">
        <f>IF(MOD(Table9[[#This Row],[Month]],12)=0,(IF(Table9[[#This Row],[Current Balance]]&lt;Table9[[#This Row],[Max Lump Sum ]],Table9[[#This Row],[Current Balance]],Table9[[#This Row],[Max Lump Sum ]])),0)</f>
        <v>0</v>
      </c>
      <c r="P100" s="21">
        <f>Table7[Max annual lump sum repayment]*SUM(C101:C112)</f>
        <v>7880.3958913442566</v>
      </c>
      <c r="Q100" s="25">
        <f>Q99*(1+Table7[Monthly SF Inter])+Table9[[#This Row],[Inflation Modifier]]-R99*(1+Table7[Monthly SF Inter])</f>
        <v>5.790994920564426</v>
      </c>
      <c r="R100" s="25">
        <f>IF(MOD(Table9[[#This Row],[Month]],12)=0,Table9[[#This Row],[Q2 ACC FACTOR]],0)</f>
        <v>0</v>
      </c>
      <c r="S100" s="25">
        <f>S99*(1+D99)+Table9[[#This Row],[ACC FACTOR PAYMENTS]]</f>
        <v>107.64963826167822</v>
      </c>
    </row>
    <row r="101" spans="1:19" x14ac:dyDescent="0.25">
      <c r="A101" s="1">
        <v>89</v>
      </c>
      <c r="B101" s="1">
        <f t="shared" si="1"/>
        <v>0</v>
      </c>
      <c r="C101" s="7">
        <f>G$12/-PV(Table7[Monthly mortgage rate], (12*Table7[Amortization period (yrs)]),1 )</f>
        <v>4377.9977174134756</v>
      </c>
      <c r="D101" s="11">
        <f>IF(Table1[[#This Row],[Month]]&lt;=(12*Table7[mortgage term (yrs)]),Table7[Monthly mortgage rate],Table7[Monthly Exp Renewal Rate])</f>
        <v>4.9038466830562122E-3</v>
      </c>
      <c r="E101" s="21">
        <f>Table1[[#This Row],[Current mortgage rate]]*G100</f>
        <v>2573.3349199931854</v>
      </c>
      <c r="F101" s="5">
        <f>Table1[[#This Row],[Payment amount]]-Table1[[#This Row],[Interest paid]]</f>
        <v>1804.6627974202902</v>
      </c>
      <c r="G101" s="20">
        <f>G100-Table1[[#This Row],[Principal repaid]]-Table1[[#This Row],[Annual paym]]</f>
        <v>522953.77406084875</v>
      </c>
      <c r="H101" s="20">
        <f>H100-(Table1[[#This Row],[Payment amount]]-Table1[[#This Row],[Interest Paid W/O LSP]])</f>
        <v>566134.73528953316</v>
      </c>
      <c r="I101">
        <f>H100*Table1[[#This Row],[Current mortgage rate]]</f>
        <v>2784.0543974749439</v>
      </c>
      <c r="J101" s="25">
        <f>IF(Table1[[#This Row],[Month]]&gt;Table7[Amortization period (yrs)]*12,0,IF(Table1[[#This Row],[Month]]&lt;Table7[mortgage term (yrs)]*12,0,IF(Table1[[#This Row],[Month]]=Table7[mortgage term (yrs)]*12,-H$5,Table1[[#This Row],[Payment amount]]+B101)))</f>
        <v>4377.9977174134756</v>
      </c>
      <c r="K101">
        <v>90</v>
      </c>
      <c r="L101">
        <f>Table7[Initial Monthly Deposit]*Table9[[#This Row],[Inflation Modifier]]</f>
        <v>459.47426705971191</v>
      </c>
      <c r="M101">
        <f xml:space="preserve"> (1+Table7[Inflation])^(QUOTIENT(Table9[[#This Row],[Month]]-1,12))</f>
        <v>1.1486856676492798</v>
      </c>
      <c r="N101">
        <f>N100*(1+Table7[Monthly SF Inter])+Table9[[#This Row],[Monthly Payment]]-O100*(1+Table7[Monthly SF Inter])</f>
        <v>2785.4248646900764</v>
      </c>
      <c r="O101">
        <f>IF(MOD(Table9[[#This Row],[Month]],12)=0,(IF(Table9[[#This Row],[Current Balance]]&lt;Table9[[#This Row],[Max Lump Sum ]],Table9[[#This Row],[Current Balance]],Table9[[#This Row],[Max Lump Sum ]])),0)</f>
        <v>0</v>
      </c>
      <c r="P101" s="21">
        <f>Table7[Max annual lump sum repayment]*SUM(C102:C113)</f>
        <v>7880.3958913442566</v>
      </c>
      <c r="Q101" s="25">
        <f>Q100*(1+Table7[Monthly SF Inter])+Table9[[#This Row],[Inflation Modifier]]-R100*(1+Table7[Monthly SF Inter])</f>
        <v>6.9635621617251928</v>
      </c>
      <c r="R101" s="25">
        <f>IF(MOD(Table9[[#This Row],[Month]],12)=0,Table9[[#This Row],[Q2 ACC FACTOR]],0)</f>
        <v>0</v>
      </c>
      <c r="S101" s="25">
        <f>S100*(1+D100)+Table9[[#This Row],[ACC FACTOR PAYMENTS]]</f>
        <v>108.17753558319995</v>
      </c>
    </row>
    <row r="102" spans="1:19" x14ac:dyDescent="0.25">
      <c r="A102" s="1">
        <v>90</v>
      </c>
      <c r="B102" s="1">
        <f t="shared" si="1"/>
        <v>0</v>
      </c>
      <c r="C102" s="7">
        <f>G$12/-PV(Table7[Monthly mortgage rate], (12*Table7[Amortization period (yrs)]),1 )</f>
        <v>4377.9977174134756</v>
      </c>
      <c r="D102" s="11">
        <f>IF(Table1[[#This Row],[Month]]&lt;=(12*Table7[mortgage term (yrs)]),Table7[Monthly mortgage rate],Table7[Monthly Exp Renewal Rate])</f>
        <v>4.9038466830562122E-3</v>
      </c>
      <c r="E102" s="21">
        <f>Table1[[#This Row],[Current mortgage rate]]*G101</f>
        <v>2564.4851303200207</v>
      </c>
      <c r="F102" s="5">
        <f>Table1[[#This Row],[Payment amount]]-Table1[[#This Row],[Interest paid]]</f>
        <v>1813.5125870934548</v>
      </c>
      <c r="G102" s="20">
        <f>G101-Table1[[#This Row],[Principal repaid]]-Table1[[#This Row],[Annual paym]]</f>
        <v>521140.26147375529</v>
      </c>
      <c r="H102" s="20">
        <f>H101-(Table1[[#This Row],[Payment amount]]-Table1[[#This Row],[Interest Paid W/O LSP]])</f>
        <v>564532.97551593219</v>
      </c>
      <c r="I102">
        <f>H101*Table1[[#This Row],[Current mortgage rate]]</f>
        <v>2776.237943812484</v>
      </c>
      <c r="J102" s="25">
        <f>IF(Table1[[#This Row],[Month]]&gt;Table7[Amortization period (yrs)]*12,0,IF(Table1[[#This Row],[Month]]&lt;Table7[mortgage term (yrs)]*12,0,IF(Table1[[#This Row],[Month]]=Table7[mortgage term (yrs)]*12,-H$5,Table1[[#This Row],[Payment amount]]+B102)))</f>
        <v>4377.9977174134756</v>
      </c>
      <c r="K102">
        <v>91</v>
      </c>
      <c r="L102">
        <f>Table7[Initial Monthly Deposit]*Table9[[#This Row],[Inflation Modifier]]</f>
        <v>459.47426705971191</v>
      </c>
      <c r="M102">
        <f xml:space="preserve"> (1+Table7[Inflation])^(QUOTIENT(Table9[[#This Row],[Month]]-1,12))</f>
        <v>1.1486856676492798</v>
      </c>
      <c r="N102">
        <f>N101*(1+Table7[Monthly SF Inter])+Table9[[#This Row],[Monthly Payment]]-O101*(1+Table7[Monthly SF Inter])</f>
        <v>3256.3859884262811</v>
      </c>
      <c r="O102">
        <f>IF(MOD(Table9[[#This Row],[Month]],12)=0,(IF(Table9[[#This Row],[Current Balance]]&lt;Table9[[#This Row],[Max Lump Sum ]],Table9[[#This Row],[Current Balance]],Table9[[#This Row],[Max Lump Sum ]])),0)</f>
        <v>0</v>
      </c>
      <c r="P102" s="21">
        <f>Table7[Max annual lump sum repayment]*SUM(C103:C114)</f>
        <v>7880.3958913442566</v>
      </c>
      <c r="Q102" s="25">
        <f>Q101*(1+Table7[Monthly SF Inter])+Table9[[#This Row],[Inflation Modifier]]-R101*(1+Table7[Monthly SF Inter])</f>
        <v>8.1409649710657046</v>
      </c>
      <c r="R102" s="25">
        <f>IF(MOD(Table9[[#This Row],[Month]],12)=0,Table9[[#This Row],[Q2 ACC FACTOR]],0)</f>
        <v>0</v>
      </c>
      <c r="S102" s="25">
        <f>S101*(1+D101)+Table9[[#This Row],[ACC FACTOR PAYMENTS]]</f>
        <v>108.70802163225082</v>
      </c>
    </row>
    <row r="103" spans="1:19" x14ac:dyDescent="0.25">
      <c r="A103" s="1">
        <v>91</v>
      </c>
      <c r="B103" s="1">
        <f t="shared" si="1"/>
        <v>0</v>
      </c>
      <c r="C103" s="7">
        <f>G$12/-PV(Table7[Monthly mortgage rate], (12*Table7[Amortization period (yrs)]),1 )</f>
        <v>4377.9977174134756</v>
      </c>
      <c r="D103" s="11">
        <f>IF(Table1[[#This Row],[Month]]&lt;=(12*Table7[mortgage term (yrs)]),Table7[Monthly mortgage rate],Table7[Monthly Exp Renewal Rate])</f>
        <v>4.9038466830562122E-3</v>
      </c>
      <c r="E103" s="21">
        <f>Table1[[#This Row],[Current mortgage rate]]*G102</f>
        <v>2555.591942635122</v>
      </c>
      <c r="F103" s="5">
        <f>Table1[[#This Row],[Payment amount]]-Table1[[#This Row],[Interest paid]]</f>
        <v>1822.4057747783536</v>
      </c>
      <c r="G103" s="20">
        <f>G102-Table1[[#This Row],[Principal repaid]]-Table1[[#This Row],[Annual paym]]</f>
        <v>519317.85569897696</v>
      </c>
      <c r="H103" s="20">
        <f>H102-(Table1[[#This Row],[Payment amount]]-Table1[[#This Row],[Interest Paid W/O LSP]])</f>
        <v>562923.36095797841</v>
      </c>
      <c r="I103">
        <f>H102*Table1[[#This Row],[Current mortgage rate]]</f>
        <v>2768.3831594596581</v>
      </c>
      <c r="J103" s="25">
        <f>IF(Table1[[#This Row],[Month]]&gt;Table7[Amortization period (yrs)]*12,0,IF(Table1[[#This Row],[Month]]&lt;Table7[mortgage term (yrs)]*12,0,IF(Table1[[#This Row],[Month]]=Table7[mortgage term (yrs)]*12,-H$5,Table1[[#This Row],[Payment amount]]+B103)))</f>
        <v>4377.9977174134756</v>
      </c>
      <c r="K103">
        <v>92</v>
      </c>
      <c r="L103">
        <f>Table7[Initial Monthly Deposit]*Table9[[#This Row],[Inflation Modifier]]</f>
        <v>459.47426705971191</v>
      </c>
      <c r="M103">
        <f xml:space="preserve"> (1+Table7[Inflation])^(QUOTIENT(Table9[[#This Row],[Month]]-1,12))</f>
        <v>1.1486856676492798</v>
      </c>
      <c r="N103">
        <f>N102*(1+Table7[Monthly SF Inter])+Table9[[#This Row],[Monthly Payment]]-O102*(1+Table7[Monthly SF Inter])</f>
        <v>3729.2893160241433</v>
      </c>
      <c r="O103">
        <f>IF(MOD(Table9[[#This Row],[Month]],12)=0,(IF(Table9[[#This Row],[Current Balance]]&lt;Table9[[#This Row],[Max Lump Sum ]],Table9[[#This Row],[Current Balance]],Table9[[#This Row],[Max Lump Sum ]])),0)</f>
        <v>0</v>
      </c>
      <c r="P103" s="21">
        <f>Table7[Max annual lump sum repayment]*SUM(C104:C115)</f>
        <v>7880.3958913442566</v>
      </c>
      <c r="Q103" s="25">
        <f>Q102*(1+Table7[Monthly SF Inter])+Table9[[#This Row],[Inflation Modifier]]-R102*(1+Table7[Monthly SF Inter])</f>
        <v>9.3232232900603602</v>
      </c>
      <c r="R103" s="25">
        <f>IF(MOD(Table9[[#This Row],[Month]],12)=0,Table9[[#This Row],[Q2 ACC FACTOR]],0)</f>
        <v>0</v>
      </c>
      <c r="S103" s="25">
        <f>S102*(1+D102)+Table9[[#This Row],[ACC FACTOR PAYMENTS]]</f>
        <v>109.24110910355374</v>
      </c>
    </row>
    <row r="104" spans="1:19" x14ac:dyDescent="0.25">
      <c r="A104" s="1">
        <v>92</v>
      </c>
      <c r="B104" s="1">
        <f t="shared" si="1"/>
        <v>0</v>
      </c>
      <c r="C104" s="7">
        <f>G$12/-PV(Table7[Monthly mortgage rate], (12*Table7[Amortization period (yrs)]),1 )</f>
        <v>4377.9977174134756</v>
      </c>
      <c r="D104" s="11">
        <f>IF(Table1[[#This Row],[Month]]&lt;=(12*Table7[mortgage term (yrs)]),Table7[Monthly mortgage rate],Table7[Monthly Exp Renewal Rate])</f>
        <v>4.9038466830562122E-3</v>
      </c>
      <c r="E104" s="21">
        <f>Table1[[#This Row],[Current mortgage rate]]*G103</f>
        <v>2546.6551441212928</v>
      </c>
      <c r="F104" s="5">
        <f>Table1[[#This Row],[Payment amount]]-Table1[[#This Row],[Interest paid]]</f>
        <v>1831.3425732921828</v>
      </c>
      <c r="G104" s="20">
        <f>G103-Table1[[#This Row],[Principal repaid]]-Table1[[#This Row],[Annual paym]]</f>
        <v>517486.51312568475</v>
      </c>
      <c r="H104" s="20">
        <f>H103-(Table1[[#This Row],[Payment amount]]-Table1[[#This Row],[Interest Paid W/O LSP]])</f>
        <v>561305.85309701355</v>
      </c>
      <c r="I104">
        <f>H103*Table1[[#This Row],[Current mortgage rate]]</f>
        <v>2760.4898564486371</v>
      </c>
      <c r="J104" s="25">
        <f>IF(Table1[[#This Row],[Month]]&gt;Table7[Amortization period (yrs)]*12,0,IF(Table1[[#This Row],[Month]]&lt;Table7[mortgage term (yrs)]*12,0,IF(Table1[[#This Row],[Month]]=Table7[mortgage term (yrs)]*12,-H$5,Table1[[#This Row],[Payment amount]]+B104)))</f>
        <v>4377.9977174134756</v>
      </c>
      <c r="K104">
        <v>93</v>
      </c>
      <c r="L104">
        <f>Table7[Initial Monthly Deposit]*Table9[[#This Row],[Inflation Modifier]]</f>
        <v>459.47426705971191</v>
      </c>
      <c r="M104">
        <f xml:space="preserve"> (1+Table7[Inflation])^(QUOTIENT(Table9[[#This Row],[Month]]-1,12))</f>
        <v>1.1486856676492798</v>
      </c>
      <c r="N104">
        <f>N103*(1+Table7[Monthly SF Inter])+Table9[[#This Row],[Monthly Payment]]-O103*(1+Table7[Monthly SF Inter])</f>
        <v>4204.1428569682039</v>
      </c>
      <c r="O104">
        <f>IF(MOD(Table9[[#This Row],[Month]],12)=0,(IF(Table9[[#This Row],[Current Balance]]&lt;Table9[[#This Row],[Max Lump Sum ]],Table9[[#This Row],[Current Balance]],Table9[[#This Row],[Max Lump Sum ]])),0)</f>
        <v>0</v>
      </c>
      <c r="P104" s="21">
        <f>Table7[Max annual lump sum repayment]*SUM(C105:C116)</f>
        <v>7880.3958913442566</v>
      </c>
      <c r="Q104" s="25">
        <f>Q103*(1+Table7[Monthly SF Inter])+Table9[[#This Row],[Inflation Modifier]]-R103*(1+Table7[Monthly SF Inter])</f>
        <v>10.510357142420514</v>
      </c>
      <c r="R104" s="25">
        <f>IF(MOD(Table9[[#This Row],[Month]],12)=0,Table9[[#This Row],[Q2 ACC FACTOR]],0)</f>
        <v>0</v>
      </c>
      <c r="S104" s="25">
        <f>S103*(1+D103)+Table9[[#This Row],[ACC FACTOR PAYMENTS]]</f>
        <v>109.77681075408458</v>
      </c>
    </row>
    <row r="105" spans="1:19" x14ac:dyDescent="0.25">
      <c r="A105" s="1">
        <v>93</v>
      </c>
      <c r="B105" s="1">
        <f t="shared" si="1"/>
        <v>0</v>
      </c>
      <c r="C105" s="7">
        <f>G$12/-PV(Table7[Monthly mortgage rate], (12*Table7[Amortization period (yrs)]),1 )</f>
        <v>4377.9977174134756</v>
      </c>
      <c r="D105" s="11">
        <f>IF(Table1[[#This Row],[Month]]&lt;=(12*Table7[mortgage term (yrs)]),Table7[Monthly mortgage rate],Table7[Monthly Exp Renewal Rate])</f>
        <v>4.9038466830562122E-3</v>
      </c>
      <c r="E105" s="21">
        <f>Table1[[#This Row],[Current mortgage rate]]*G104</f>
        <v>2537.6745209177143</v>
      </c>
      <c r="F105" s="5">
        <f>Table1[[#This Row],[Payment amount]]-Table1[[#This Row],[Interest paid]]</f>
        <v>1840.3231964957613</v>
      </c>
      <c r="G105" s="20">
        <f>G104-Table1[[#This Row],[Principal repaid]]-Table1[[#This Row],[Annual paym]]</f>
        <v>515646.18992918899</v>
      </c>
      <c r="H105" s="20">
        <f>H104-(Table1[[#This Row],[Payment amount]]-Table1[[#This Row],[Interest Paid W/O LSP]])</f>
        <v>559680.4132254899</v>
      </c>
      <c r="I105">
        <f>H104*Table1[[#This Row],[Current mortgage rate]]</f>
        <v>2752.5578458898276</v>
      </c>
      <c r="J105" s="25">
        <f>IF(Table1[[#This Row],[Month]]&gt;Table7[Amortization period (yrs)]*12,0,IF(Table1[[#This Row],[Month]]&lt;Table7[mortgage term (yrs)]*12,0,IF(Table1[[#This Row],[Month]]=Table7[mortgage term (yrs)]*12,-H$5,Table1[[#This Row],[Payment amount]]+B105)))</f>
        <v>4377.9977174134756</v>
      </c>
      <c r="K105">
        <v>94</v>
      </c>
      <c r="L105">
        <f>Table7[Initial Monthly Deposit]*Table9[[#This Row],[Inflation Modifier]]</f>
        <v>459.47426705971191</v>
      </c>
      <c r="M105">
        <f xml:space="preserve"> (1+Table7[Inflation])^(QUOTIENT(Table9[[#This Row],[Month]]-1,12))</f>
        <v>1.1486856676492798</v>
      </c>
      <c r="N105">
        <f>N104*(1+Table7[Monthly SF Inter])+Table9[[#This Row],[Monthly Payment]]-O104*(1+Table7[Monthly SF Inter])</f>
        <v>4680.9546537734423</v>
      </c>
      <c r="O105">
        <f>IF(MOD(Table9[[#This Row],[Month]],12)=0,(IF(Table9[[#This Row],[Current Balance]]&lt;Table9[[#This Row],[Max Lump Sum ]],Table9[[#This Row],[Current Balance]],Table9[[#This Row],[Max Lump Sum ]])),0)</f>
        <v>0</v>
      </c>
      <c r="P105" s="21">
        <f>Table7[Max annual lump sum repayment]*SUM(C106:C117)</f>
        <v>7880.3958913442566</v>
      </c>
      <c r="Q105" s="25">
        <f>Q104*(1+Table7[Monthly SF Inter])+Table9[[#This Row],[Inflation Modifier]]-R104*(1+Table7[Monthly SF Inter])</f>
        <v>11.70238663443361</v>
      </c>
      <c r="R105" s="25">
        <f>IF(MOD(Table9[[#This Row],[Month]],12)=0,Table9[[#This Row],[Q2 ACC FACTOR]],0)</f>
        <v>0</v>
      </c>
      <c r="S105" s="25">
        <f>S104*(1+D104)+Table9[[#This Row],[ACC FACTOR PAYMENTS]]</f>
        <v>110.31513940337749</v>
      </c>
    </row>
    <row r="106" spans="1:19" x14ac:dyDescent="0.25">
      <c r="A106" s="1">
        <v>94</v>
      </c>
      <c r="B106" s="1">
        <f t="shared" si="1"/>
        <v>0</v>
      </c>
      <c r="C106" s="7">
        <f>G$12/-PV(Table7[Monthly mortgage rate], (12*Table7[Amortization period (yrs)]),1 )</f>
        <v>4377.9977174134756</v>
      </c>
      <c r="D106" s="11">
        <f>IF(Table1[[#This Row],[Month]]&lt;=(12*Table7[mortgage term (yrs)]),Table7[Monthly mortgage rate],Table7[Monthly Exp Renewal Rate])</f>
        <v>4.9038466830562122E-3</v>
      </c>
      <c r="E106" s="21">
        <f>Table1[[#This Row],[Current mortgage rate]]*G105</f>
        <v>2528.6498581148271</v>
      </c>
      <c r="F106" s="5">
        <f>Table1[[#This Row],[Payment amount]]-Table1[[#This Row],[Interest paid]]</f>
        <v>1849.3478592986485</v>
      </c>
      <c r="G106" s="20">
        <f>G105-Table1[[#This Row],[Principal repaid]]-Table1[[#This Row],[Annual paym]]</f>
        <v>513796.84206989035</v>
      </c>
      <c r="H106" s="20">
        <f>H105-(Table1[[#This Row],[Payment amount]]-Table1[[#This Row],[Interest Paid W/O LSP]])</f>
        <v>558047.00244604377</v>
      </c>
      <c r="I106">
        <f>H105*Table1[[#This Row],[Current mortgage rate]]</f>
        <v>2744.5869379673491</v>
      </c>
      <c r="J106" s="25">
        <f>IF(Table1[[#This Row],[Month]]&gt;Table7[Amortization period (yrs)]*12,0,IF(Table1[[#This Row],[Month]]&lt;Table7[mortgage term (yrs)]*12,0,IF(Table1[[#This Row],[Month]]=Table7[mortgage term (yrs)]*12,-H$5,Table1[[#This Row],[Payment amount]]+B106)))</f>
        <v>4377.9977174134756</v>
      </c>
      <c r="K106">
        <v>95</v>
      </c>
      <c r="L106">
        <f>Table7[Initial Monthly Deposit]*Table9[[#This Row],[Inflation Modifier]]</f>
        <v>459.47426705971191</v>
      </c>
      <c r="M106">
        <f xml:space="preserve"> (1+Table7[Inflation])^(QUOTIENT(Table9[[#This Row],[Month]]-1,12))</f>
        <v>1.1486856676492798</v>
      </c>
      <c r="N106">
        <f>N105*(1+Table7[Monthly SF Inter])+Table9[[#This Row],[Monthly Payment]]-O105*(1+Table7[Monthly SF Inter])</f>
        <v>5159.7327821214894</v>
      </c>
      <c r="O106">
        <f>IF(MOD(Table9[[#This Row],[Month]],12)=0,(IF(Table9[[#This Row],[Current Balance]]&lt;Table9[[#This Row],[Max Lump Sum ]],Table9[[#This Row],[Current Balance]],Table9[[#This Row],[Max Lump Sum ]])),0)</f>
        <v>0</v>
      </c>
      <c r="P106" s="21">
        <f>Table7[Max annual lump sum repayment]*SUM(C107:C118)</f>
        <v>7880.3958913442566</v>
      </c>
      <c r="Q106" s="25">
        <f>Q105*(1+Table7[Monthly SF Inter])+Table9[[#This Row],[Inflation Modifier]]-R105*(1+Table7[Monthly SF Inter])</f>
        <v>12.899331955303728</v>
      </c>
      <c r="R106" s="25">
        <f>IF(MOD(Table9[[#This Row],[Month]],12)=0,Table9[[#This Row],[Q2 ACC FACTOR]],0)</f>
        <v>0</v>
      </c>
      <c r="S106" s="25">
        <f>S105*(1+D105)+Table9[[#This Row],[ACC FACTOR PAYMENTS]]</f>
        <v>110.85610793383162</v>
      </c>
    </row>
    <row r="107" spans="1:19" x14ac:dyDescent="0.25">
      <c r="A107" s="1">
        <v>95</v>
      </c>
      <c r="B107" s="1">
        <f t="shared" si="1"/>
        <v>0</v>
      </c>
      <c r="C107" s="7">
        <f>G$12/-PV(Table7[Monthly mortgage rate], (12*Table7[Amortization period (yrs)]),1 )</f>
        <v>4377.9977174134756</v>
      </c>
      <c r="D107" s="11">
        <f>IF(Table1[[#This Row],[Month]]&lt;=(12*Table7[mortgage term (yrs)]),Table7[Monthly mortgage rate],Table7[Monthly Exp Renewal Rate])</f>
        <v>4.9038466830562122E-3</v>
      </c>
      <c r="E107" s="21">
        <f>Table1[[#This Row],[Current mortgage rate]]*G106</f>
        <v>2519.5809397491885</v>
      </c>
      <c r="F107" s="5">
        <f>Table1[[#This Row],[Payment amount]]-Table1[[#This Row],[Interest paid]]</f>
        <v>1858.4167776642871</v>
      </c>
      <c r="G107" s="20">
        <f>G106-Table1[[#This Row],[Principal repaid]]-Table1[[#This Row],[Annual paym]]</f>
        <v>511938.42529222608</v>
      </c>
      <c r="H107" s="20">
        <f>H106-(Table1[[#This Row],[Payment amount]]-Table1[[#This Row],[Interest Paid W/O LSP]])</f>
        <v>556405.58167056483</v>
      </c>
      <c r="I107">
        <f>H106*Table1[[#This Row],[Current mortgage rate]]</f>
        <v>2736.5769419344938</v>
      </c>
      <c r="J107" s="25">
        <f>IF(Table1[[#This Row],[Month]]&gt;Table7[Amortization period (yrs)]*12,0,IF(Table1[[#This Row],[Month]]&lt;Table7[mortgage term (yrs)]*12,0,IF(Table1[[#This Row],[Month]]=Table7[mortgage term (yrs)]*12,-H$5,Table1[[#This Row],[Payment amount]]+B107)))</f>
        <v>4377.9977174134756</v>
      </c>
      <c r="K107">
        <v>96</v>
      </c>
      <c r="L107">
        <f>Table7[Initial Monthly Deposit]*Table9[[#This Row],[Inflation Modifier]]</f>
        <v>459.47426705971191</v>
      </c>
      <c r="M107">
        <f xml:space="preserve"> (1+Table7[Inflation])^(QUOTIENT(Table9[[#This Row],[Month]]-1,12))</f>
        <v>1.1486856676492798</v>
      </c>
      <c r="N107">
        <f>N106*(1+Table7[Monthly SF Inter])+Table9[[#This Row],[Monthly Payment]]-O106*(1+Table7[Monthly SF Inter])</f>
        <v>5640.4853509974037</v>
      </c>
      <c r="O107">
        <f>IF(MOD(Table9[[#This Row],[Month]],12)=0,(IF(Table9[[#This Row],[Current Balance]]&lt;Table9[[#This Row],[Max Lump Sum ]],Table9[[#This Row],[Current Balance]],Table9[[#This Row],[Max Lump Sum ]])),0)</f>
        <v>5640.4853509974037</v>
      </c>
      <c r="P107" s="21">
        <f>Table7[Max annual lump sum repayment]*SUM(C108:C119)</f>
        <v>7880.3958913442566</v>
      </c>
      <c r="Q107" s="25">
        <f>Q106*(1+Table7[Monthly SF Inter])+Table9[[#This Row],[Inflation Modifier]]-R106*(1+Table7[Monthly SF Inter])</f>
        <v>14.101213377493515</v>
      </c>
      <c r="R107" s="25">
        <f>IF(MOD(Table9[[#This Row],[Month]],12)=0,Table9[[#This Row],[Q2 ACC FACTOR]],0)</f>
        <v>14.101213377493515</v>
      </c>
      <c r="S107" s="25">
        <f>S106*(1+D106)+Table9[[#This Row],[ACC FACTOR PAYMENTS]]</f>
        <v>125.50094266851298</v>
      </c>
    </row>
    <row r="108" spans="1:19" x14ac:dyDescent="0.25">
      <c r="A108" s="1">
        <v>96</v>
      </c>
      <c r="B108" s="1">
        <f t="shared" si="1"/>
        <v>5640.4853509974037</v>
      </c>
      <c r="C108" s="7">
        <f>G$12/-PV(Table7[Monthly mortgage rate], (12*Table7[Amortization period (yrs)]),1 )</f>
        <v>4377.9977174134756</v>
      </c>
      <c r="D108" s="11">
        <f>IF(Table1[[#This Row],[Month]]&lt;=(12*Table7[mortgage term (yrs)]),Table7[Monthly mortgage rate],Table7[Monthly Exp Renewal Rate])</f>
        <v>4.9038466830562122E-3</v>
      </c>
      <c r="E108" s="21">
        <f>Table1[[#This Row],[Current mortgage rate]]*G107</f>
        <v>2510.4675487983031</v>
      </c>
      <c r="F108" s="5">
        <f>Table1[[#This Row],[Payment amount]]-Table1[[#This Row],[Interest paid]]</f>
        <v>1867.5301686151724</v>
      </c>
      <c r="G108" s="20">
        <f>G107-Table1[[#This Row],[Principal repaid]]-Table1[[#This Row],[Annual paym]]</f>
        <v>504430.40977261349</v>
      </c>
      <c r="H108" s="20">
        <f>H107-(Table1[[#This Row],[Payment amount]]-Table1[[#This Row],[Interest Paid W/O LSP]])</f>
        <v>554756.11161926051</v>
      </c>
      <c r="I108">
        <f>H107*Table1[[#This Row],[Current mortgage rate]]</f>
        <v>2728.5276661091616</v>
      </c>
      <c r="J108" s="25">
        <f>IF(Table1[[#This Row],[Month]]&gt;Table7[Amortization period (yrs)]*12,0,IF(Table1[[#This Row],[Month]]&lt;Table7[mortgage term (yrs)]*12,0,IF(Table1[[#This Row],[Month]]=Table7[mortgage term (yrs)]*12,-H$5,Table1[[#This Row],[Payment amount]]+B108)))</f>
        <v>10018.483068410878</v>
      </c>
      <c r="K108">
        <v>97</v>
      </c>
      <c r="L108">
        <f>Table7[Initial Monthly Deposit]*Table9[[#This Row],[Inflation Modifier]]</f>
        <v>468.66375240090622</v>
      </c>
      <c r="M108">
        <f xml:space="preserve"> (1+Table7[Inflation])^(QUOTIENT(Table9[[#This Row],[Month]]-1,12))</f>
        <v>1.1716593810022655</v>
      </c>
      <c r="N108">
        <f>N107*(1+Table7[Monthly SF Inter])+Table9[[#This Row],[Monthly Payment]]-O107*(1+Table7[Monthly SF Inter])</f>
        <v>468.66375240090656</v>
      </c>
      <c r="O108">
        <f>IF(MOD(Table9[[#This Row],[Month]],12)=0,(IF(Table9[[#This Row],[Current Balance]]&lt;Table9[[#This Row],[Max Lump Sum ]],Table9[[#This Row],[Current Balance]],Table9[[#This Row],[Max Lump Sum ]])),0)</f>
        <v>0</v>
      </c>
      <c r="P108" s="21">
        <f>Table7[Max annual lump sum repayment]*SUM(C109:C120)</f>
        <v>7880.3958913442566</v>
      </c>
      <c r="Q108" s="25">
        <f>Q107*(1+Table7[Monthly SF Inter])+Table9[[#This Row],[Inflation Modifier]]-R107*(1+Table7[Monthly SF Inter])</f>
        <v>1.1716593810022662</v>
      </c>
      <c r="R108" s="25">
        <f>IF(MOD(Table9[[#This Row],[Month]],12)=0,Table9[[#This Row],[Q2 ACC FACTOR]],0)</f>
        <v>0</v>
      </c>
      <c r="S108" s="25">
        <f>S107*(1+D107)+Table9[[#This Row],[ACC FACTOR PAYMENTS]]</f>
        <v>126.11638004993839</v>
      </c>
    </row>
    <row r="109" spans="1:19" x14ac:dyDescent="0.25">
      <c r="A109" s="1">
        <v>97</v>
      </c>
      <c r="B109" s="1">
        <f t="shared" si="1"/>
        <v>0</v>
      </c>
      <c r="C109" s="7">
        <f>G$12/-PV(Table7[Monthly mortgage rate], (12*Table7[Amortization period (yrs)]),1 )</f>
        <v>4377.9977174134756</v>
      </c>
      <c r="D109" s="11">
        <f>IF(Table1[[#This Row],[Month]]&lt;=(12*Table7[mortgage term (yrs)]),Table7[Monthly mortgage rate],Table7[Monthly Exp Renewal Rate])</f>
        <v>4.9038466830562122E-3</v>
      </c>
      <c r="E109" s="21">
        <f>Table1[[#This Row],[Current mortgage rate]]*G108</f>
        <v>2473.6493917961166</v>
      </c>
      <c r="F109" s="5">
        <f>Table1[[#This Row],[Payment amount]]-Table1[[#This Row],[Interest paid]]</f>
        <v>1904.348325617359</v>
      </c>
      <c r="G109" s="20">
        <f>G108-Table1[[#This Row],[Principal repaid]]-Table1[[#This Row],[Annual paym]]</f>
        <v>502526.06144699611</v>
      </c>
      <c r="H109" s="20">
        <f>H108-(Table1[[#This Row],[Payment amount]]-Table1[[#This Row],[Interest Paid W/O LSP]])</f>
        <v>553098.55281971628</v>
      </c>
      <c r="I109">
        <f>H108*Table1[[#This Row],[Current mortgage rate]]</f>
        <v>2720.4389178692722</v>
      </c>
      <c r="J109" s="25">
        <f>IF(Table1[[#This Row],[Month]]&gt;Table7[Amortization period (yrs)]*12,0,IF(Table1[[#This Row],[Month]]&lt;Table7[mortgage term (yrs)]*12,0,IF(Table1[[#This Row],[Month]]=Table7[mortgage term (yrs)]*12,-H$5,Table1[[#This Row],[Payment amount]]+B109)))</f>
        <v>4377.9977174134756</v>
      </c>
      <c r="K109">
        <v>98</v>
      </c>
      <c r="L109">
        <f>Table7[Initial Monthly Deposit]*Table9[[#This Row],[Inflation Modifier]]</f>
        <v>468.66375240090622</v>
      </c>
      <c r="M109">
        <f xml:space="preserve"> (1+Table7[Inflation])^(QUOTIENT(Table9[[#This Row],[Month]]-1,12))</f>
        <v>1.1716593810022655</v>
      </c>
      <c r="N109">
        <f>N108*(1+Table7[Monthly SF Inter])+Table9[[#This Row],[Monthly Payment]]-O108*(1+Table7[Monthly SF Inter])</f>
        <v>939.26023449829142</v>
      </c>
      <c r="O109">
        <f>IF(MOD(Table9[[#This Row],[Month]],12)=0,(IF(Table9[[#This Row],[Current Balance]]&lt;Table9[[#This Row],[Max Lump Sum ]],Table9[[#This Row],[Current Balance]],Table9[[#This Row],[Max Lump Sum ]])),0)</f>
        <v>0</v>
      </c>
      <c r="P109" s="21">
        <f>Table7[Max annual lump sum repayment]*SUM(C110:C121)</f>
        <v>7880.3958913442566</v>
      </c>
      <c r="Q109" s="25">
        <f>Q108*(1+Table7[Monthly SF Inter])+Table9[[#This Row],[Inflation Modifier]]-R108*(1+Table7[Monthly SF Inter])</f>
        <v>2.3481505862457284</v>
      </c>
      <c r="R109" s="25">
        <f>IF(MOD(Table9[[#This Row],[Month]],12)=0,Table9[[#This Row],[Q2 ACC FACTOR]],0)</f>
        <v>0</v>
      </c>
      <c r="S109" s="25">
        <f>S108*(1+D108)+Table9[[#This Row],[ACC FACTOR PAYMENTS]]</f>
        <v>126.73483544192533</v>
      </c>
    </row>
    <row r="110" spans="1:19" x14ac:dyDescent="0.25">
      <c r="A110" s="1">
        <v>98</v>
      </c>
      <c r="B110" s="1">
        <f t="shared" si="1"/>
        <v>0</v>
      </c>
      <c r="C110" s="7">
        <f>G$12/-PV(Table7[Monthly mortgage rate], (12*Table7[Amortization period (yrs)]),1 )</f>
        <v>4377.9977174134756</v>
      </c>
      <c r="D110" s="11">
        <f>IF(Table1[[#This Row],[Month]]&lt;=(12*Table7[mortgage term (yrs)]),Table7[Monthly mortgage rate],Table7[Monthly Exp Renewal Rate])</f>
        <v>4.9038466830562122E-3</v>
      </c>
      <c r="E110" s="21">
        <f>Table1[[#This Row],[Current mortgage rate]]*G109</f>
        <v>2464.3107595761539</v>
      </c>
      <c r="F110" s="5">
        <f>Table1[[#This Row],[Payment amount]]-Table1[[#This Row],[Interest paid]]</f>
        <v>1913.6869578373216</v>
      </c>
      <c r="G110" s="20">
        <f>G109-Table1[[#This Row],[Principal repaid]]-Table1[[#This Row],[Annual paym]]</f>
        <v>500612.3744891588</v>
      </c>
      <c r="H110" s="20">
        <f>H109-(Table1[[#This Row],[Payment amount]]-Table1[[#This Row],[Interest Paid W/O LSP]])</f>
        <v>551432.86560595094</v>
      </c>
      <c r="I110">
        <f>H109*Table1[[#This Row],[Current mortgage rate]]</f>
        <v>2712.310503648157</v>
      </c>
      <c r="J110" s="25">
        <f>IF(Table1[[#This Row],[Month]]&gt;Table7[Amortization period (yrs)]*12,0,IF(Table1[[#This Row],[Month]]&lt;Table7[mortgage term (yrs)]*12,0,IF(Table1[[#This Row],[Month]]=Table7[mortgage term (yrs)]*12,-H$5,Table1[[#This Row],[Payment amount]]+B110)))</f>
        <v>4377.9977174134756</v>
      </c>
      <c r="K110">
        <v>99</v>
      </c>
      <c r="L110">
        <f>Table7[Initial Monthly Deposit]*Table9[[#This Row],[Inflation Modifier]]</f>
        <v>468.66375240090622</v>
      </c>
      <c r="M110">
        <f xml:space="preserve"> (1+Table7[Inflation])^(QUOTIENT(Table9[[#This Row],[Month]]-1,12))</f>
        <v>1.1716593810022655</v>
      </c>
      <c r="N110">
        <f>N109*(1+Table7[Monthly SF Inter])+Table9[[#This Row],[Monthly Payment]]-O109*(1+Table7[Monthly SF Inter])</f>
        <v>1411.7974167060402</v>
      </c>
      <c r="O110">
        <f>IF(MOD(Table9[[#This Row],[Month]],12)=0,(IF(Table9[[#This Row],[Current Balance]]&lt;Table9[[#This Row],[Max Lump Sum ]],Table9[[#This Row],[Current Balance]],Table9[[#This Row],[Max Lump Sum ]])),0)</f>
        <v>0</v>
      </c>
      <c r="P110" s="21">
        <f>Table7[Max annual lump sum repayment]*SUM(C111:C122)</f>
        <v>7880.3958913442566</v>
      </c>
      <c r="Q110" s="25">
        <f>Q109*(1+Table7[Monthly SF Inter])+Table9[[#This Row],[Inflation Modifier]]-R109*(1+Table7[Monthly SF Inter])</f>
        <v>3.5294935417650999</v>
      </c>
      <c r="R110" s="25">
        <f>IF(MOD(Table9[[#This Row],[Month]],12)=0,Table9[[#This Row],[Q2 ACC FACTOR]],0)</f>
        <v>0</v>
      </c>
      <c r="S110" s="25">
        <f>S109*(1+D109)+Table9[[#This Row],[ACC FACTOR PAYMENTS]]</f>
        <v>127.35632364433489</v>
      </c>
    </row>
    <row r="111" spans="1:19" x14ac:dyDescent="0.25">
      <c r="A111" s="1">
        <v>99</v>
      </c>
      <c r="B111" s="1">
        <f t="shared" si="1"/>
        <v>0</v>
      </c>
      <c r="C111" s="7">
        <f>G$12/-PV(Table7[Monthly mortgage rate], (12*Table7[Amortization period (yrs)]),1 )</f>
        <v>4377.9977174134756</v>
      </c>
      <c r="D111" s="11">
        <f>IF(Table1[[#This Row],[Month]]&lt;=(12*Table7[mortgage term (yrs)]),Table7[Monthly mortgage rate],Table7[Monthly Exp Renewal Rate])</f>
        <v>4.9038466830562122E-3</v>
      </c>
      <c r="E111" s="21">
        <f>Table1[[#This Row],[Current mortgage rate]]*G110</f>
        <v>2454.9263321355556</v>
      </c>
      <c r="F111" s="5">
        <f>Table1[[#This Row],[Payment amount]]-Table1[[#This Row],[Interest paid]]</f>
        <v>1923.0713852779199</v>
      </c>
      <c r="G111" s="20">
        <f>G110-Table1[[#This Row],[Principal repaid]]-Table1[[#This Row],[Annual paym]]</f>
        <v>498689.3031038809</v>
      </c>
      <c r="H111" s="20">
        <f>H110-(Table1[[#This Row],[Payment amount]]-Table1[[#This Row],[Interest Paid W/O LSP]])</f>
        <v>549759.01011746738</v>
      </c>
      <c r="I111">
        <f>H110*Table1[[#This Row],[Current mortgage rate]]</f>
        <v>2704.1422289299244</v>
      </c>
      <c r="J111" s="25">
        <f>IF(Table1[[#This Row],[Month]]&gt;Table7[Amortization period (yrs)]*12,0,IF(Table1[[#This Row],[Month]]&lt;Table7[mortgage term (yrs)]*12,0,IF(Table1[[#This Row],[Month]]=Table7[mortgage term (yrs)]*12,-H$5,Table1[[#This Row],[Payment amount]]+B111)))</f>
        <v>4377.9977174134756</v>
      </c>
      <c r="K111">
        <v>100</v>
      </c>
      <c r="L111">
        <f>Table7[Initial Monthly Deposit]*Table9[[#This Row],[Inflation Modifier]]</f>
        <v>468.66375240090622</v>
      </c>
      <c r="M111">
        <f xml:space="preserve"> (1+Table7[Inflation])^(QUOTIENT(Table9[[#This Row],[Month]]-1,12))</f>
        <v>1.1716593810022655</v>
      </c>
      <c r="N111">
        <f>N110*(1+Table7[Monthly SF Inter])+Table9[[#This Row],[Monthly Payment]]-O110*(1+Table7[Monthly SF Inter])</f>
        <v>1886.2833023073513</v>
      </c>
      <c r="O111">
        <f>IF(MOD(Table9[[#This Row],[Month]],12)=0,(IF(Table9[[#This Row],[Current Balance]]&lt;Table9[[#This Row],[Max Lump Sum ]],Table9[[#This Row],[Current Balance]],Table9[[#This Row],[Max Lump Sum ]])),0)</f>
        <v>0</v>
      </c>
      <c r="P111" s="21">
        <f>Table7[Max annual lump sum repayment]*SUM(C112:C123)</f>
        <v>7880.3958913442566</v>
      </c>
      <c r="Q111" s="25">
        <f>Q110*(1+Table7[Monthly SF Inter])+Table9[[#This Row],[Inflation Modifier]]-R110*(1+Table7[Monthly SF Inter])</f>
        <v>4.7157082557683774</v>
      </c>
      <c r="R111" s="25">
        <f>IF(MOD(Table9[[#This Row],[Month]],12)=0,Table9[[#This Row],[Q2 ACC FACTOR]],0)</f>
        <v>0</v>
      </c>
      <c r="S111" s="25">
        <f>S110*(1+D110)+Table9[[#This Row],[ACC FACTOR PAYMENTS]]</f>
        <v>127.9808595296044</v>
      </c>
    </row>
    <row r="112" spans="1:19" x14ac:dyDescent="0.25">
      <c r="A112" s="1">
        <v>100</v>
      </c>
      <c r="B112" s="1">
        <f t="shared" si="1"/>
        <v>0</v>
      </c>
      <c r="C112" s="7">
        <f>G$12/-PV(Table7[Monthly mortgage rate], (12*Table7[Amortization period (yrs)]),1 )</f>
        <v>4377.9977174134756</v>
      </c>
      <c r="D112" s="11">
        <f>IF(Table1[[#This Row],[Month]]&lt;=(12*Table7[mortgage term (yrs)]),Table7[Monthly mortgage rate],Table7[Monthly Exp Renewal Rate])</f>
        <v>4.9038466830562122E-3</v>
      </c>
      <c r="E112" s="21">
        <f>Table1[[#This Row],[Current mortgage rate]]*G111</f>
        <v>2445.4958849015802</v>
      </c>
      <c r="F112" s="5">
        <f>Table1[[#This Row],[Payment amount]]-Table1[[#This Row],[Interest paid]]</f>
        <v>1932.5018325118954</v>
      </c>
      <c r="G112" s="20">
        <f>G111-Table1[[#This Row],[Principal repaid]]-Table1[[#This Row],[Annual paym]]</f>
        <v>496756.80127136898</v>
      </c>
      <c r="H112" s="20">
        <f>H111-(Table1[[#This Row],[Payment amount]]-Table1[[#This Row],[Interest Paid W/O LSP]])</f>
        <v>548076.94629829866</v>
      </c>
      <c r="I112">
        <f>H111*Table1[[#This Row],[Current mortgage rate]]</f>
        <v>2695.9338982448089</v>
      </c>
      <c r="J112" s="25">
        <f>IF(Table1[[#This Row],[Month]]&gt;Table7[Amortization period (yrs)]*12,0,IF(Table1[[#This Row],[Month]]&lt;Table7[mortgage term (yrs)]*12,0,IF(Table1[[#This Row],[Month]]=Table7[mortgage term (yrs)]*12,-H$5,Table1[[#This Row],[Payment amount]]+B112)))</f>
        <v>4377.9977174134756</v>
      </c>
      <c r="K112">
        <v>101</v>
      </c>
      <c r="L112">
        <f>Table7[Initial Monthly Deposit]*Table9[[#This Row],[Inflation Modifier]]</f>
        <v>468.66375240090622</v>
      </c>
      <c r="M112">
        <f xml:space="preserve"> (1+Table7[Inflation])^(QUOTIENT(Table9[[#This Row],[Month]]-1,12))</f>
        <v>1.1716593810022655</v>
      </c>
      <c r="N112">
        <f>N111*(1+Table7[Monthly SF Inter])+Table9[[#This Row],[Monthly Payment]]-O111*(1+Table7[Monthly SF Inter])</f>
        <v>2362.7259275902861</v>
      </c>
      <c r="O112">
        <f>IF(MOD(Table9[[#This Row],[Month]],12)=0,(IF(Table9[[#This Row],[Current Balance]]&lt;Table9[[#This Row],[Max Lump Sum ]],Table9[[#This Row],[Current Balance]],Table9[[#This Row],[Max Lump Sum ]])),0)</f>
        <v>0</v>
      </c>
      <c r="P112" s="21">
        <f>Table7[Max annual lump sum repayment]*SUM(C113:C124)</f>
        <v>7880.3958913442566</v>
      </c>
      <c r="Q112" s="25">
        <f>Q111*(1+Table7[Monthly SF Inter])+Table9[[#This Row],[Inflation Modifier]]-R111*(1+Table7[Monthly SF Inter])</f>
        <v>5.9068148189757146</v>
      </c>
      <c r="R112" s="25">
        <f>IF(MOD(Table9[[#This Row],[Month]],12)=0,Table9[[#This Row],[Q2 ACC FACTOR]],0)</f>
        <v>0</v>
      </c>
      <c r="S112" s="25">
        <f>S111*(1+D111)+Table9[[#This Row],[ACC FACTOR PAYMENTS]]</f>
        <v>128.60845804310333</v>
      </c>
    </row>
    <row r="113" spans="1:19" x14ac:dyDescent="0.25">
      <c r="A113" s="1">
        <v>101</v>
      </c>
      <c r="B113" s="1">
        <f t="shared" si="1"/>
        <v>0</v>
      </c>
      <c r="C113" s="7">
        <f>G$12/-PV(Table7[Monthly mortgage rate], (12*Table7[Amortization period (yrs)]),1 )</f>
        <v>4377.9977174134756</v>
      </c>
      <c r="D113" s="11">
        <f>IF(Table1[[#This Row],[Month]]&lt;=(12*Table7[mortgage term (yrs)]),Table7[Monthly mortgage rate],Table7[Monthly Exp Renewal Rate])</f>
        <v>4.9038466830562122E-3</v>
      </c>
      <c r="E113" s="21">
        <f>Table1[[#This Row],[Current mortgage rate]]*G112</f>
        <v>2436.0191922002168</v>
      </c>
      <c r="F113" s="5">
        <f>Table1[[#This Row],[Payment amount]]-Table1[[#This Row],[Interest paid]]</f>
        <v>1941.9785252132588</v>
      </c>
      <c r="G113" s="20">
        <f>G112-Table1[[#This Row],[Principal repaid]]-Table1[[#This Row],[Annual paym]]</f>
        <v>494814.82274615573</v>
      </c>
      <c r="H113" s="20">
        <f>H112-(Table1[[#This Row],[Payment amount]]-Table1[[#This Row],[Interest Paid W/O LSP]])</f>
        <v>546386.63389604969</v>
      </c>
      <c r="I113">
        <f>H112*Table1[[#This Row],[Current mortgage rate]]</f>
        <v>2687.6853151644896</v>
      </c>
      <c r="J113" s="25">
        <f>IF(Table1[[#This Row],[Month]]&gt;Table7[Amortization period (yrs)]*12,0,IF(Table1[[#This Row],[Month]]&lt;Table7[mortgage term (yrs)]*12,0,IF(Table1[[#This Row],[Month]]=Table7[mortgage term (yrs)]*12,-H$5,Table1[[#This Row],[Payment amount]]+B113)))</f>
        <v>4377.9977174134756</v>
      </c>
      <c r="K113">
        <v>102</v>
      </c>
      <c r="L113">
        <f>Table7[Initial Monthly Deposit]*Table9[[#This Row],[Inflation Modifier]]</f>
        <v>468.66375240090622</v>
      </c>
      <c r="M113">
        <f xml:space="preserve"> (1+Table7[Inflation])^(QUOTIENT(Table9[[#This Row],[Month]]-1,12))</f>
        <v>1.1716593810022655</v>
      </c>
      <c r="N113">
        <f>N112*(1+Table7[Monthly SF Inter])+Table9[[#This Row],[Monthly Payment]]-O112*(1+Table7[Monthly SF Inter])</f>
        <v>2841.1333619838792</v>
      </c>
      <c r="O113">
        <f>IF(MOD(Table9[[#This Row],[Month]],12)=0,(IF(Table9[[#This Row],[Current Balance]]&lt;Table9[[#This Row],[Max Lump Sum ]],Table9[[#This Row],[Current Balance]],Table9[[#This Row],[Max Lump Sum ]])),0)</f>
        <v>0</v>
      </c>
      <c r="P113" s="21">
        <f>Table7[Max annual lump sum repayment]*SUM(C114:C125)</f>
        <v>7880.3958913442566</v>
      </c>
      <c r="Q113" s="25">
        <f>Q112*(1+Table7[Monthly SF Inter])+Table9[[#This Row],[Inflation Modifier]]-R112*(1+Table7[Monthly SF Inter])</f>
        <v>7.1028334049596973</v>
      </c>
      <c r="R113" s="25">
        <f>IF(MOD(Table9[[#This Row],[Month]],12)=0,Table9[[#This Row],[Q2 ACC FACTOR]],0)</f>
        <v>0</v>
      </c>
      <c r="S113" s="25">
        <f>S112*(1+D112)+Table9[[#This Row],[ACC FACTOR PAYMENTS]]</f>
        <v>129.23913420349098</v>
      </c>
    </row>
    <row r="114" spans="1:19" x14ac:dyDescent="0.25">
      <c r="A114" s="1">
        <v>102</v>
      </c>
      <c r="B114" s="1">
        <f t="shared" si="1"/>
        <v>0</v>
      </c>
      <c r="C114" s="7">
        <f>G$12/-PV(Table7[Monthly mortgage rate], (12*Table7[Amortization period (yrs)]),1 )</f>
        <v>4377.9977174134756</v>
      </c>
      <c r="D114" s="11">
        <f>IF(Table1[[#This Row],[Month]]&lt;=(12*Table7[mortgage term (yrs)]),Table7[Monthly mortgage rate],Table7[Monthly Exp Renewal Rate])</f>
        <v>4.9038466830562122E-3</v>
      </c>
      <c r="E114" s="21">
        <f>Table1[[#This Row],[Current mortgage rate]]*G113</f>
        <v>2426.4960272507833</v>
      </c>
      <c r="F114" s="5">
        <f>Table1[[#This Row],[Payment amount]]-Table1[[#This Row],[Interest paid]]</f>
        <v>1951.5016901626923</v>
      </c>
      <c r="G114" s="20">
        <f>G113-Table1[[#This Row],[Principal repaid]]-Table1[[#This Row],[Annual paym]]</f>
        <v>492863.32105599303</v>
      </c>
      <c r="H114" s="20">
        <f>H113-(Table1[[#This Row],[Payment amount]]-Table1[[#This Row],[Interest Paid W/O LSP]])</f>
        <v>544688.03246093367</v>
      </c>
      <c r="I114">
        <f>H113*Table1[[#This Row],[Current mortgage rate]]</f>
        <v>2679.3962822973922</v>
      </c>
      <c r="J114" s="25">
        <f>IF(Table1[[#This Row],[Month]]&gt;Table7[Amortization period (yrs)]*12,0,IF(Table1[[#This Row],[Month]]&lt;Table7[mortgage term (yrs)]*12,0,IF(Table1[[#This Row],[Month]]=Table7[mortgage term (yrs)]*12,-H$5,Table1[[#This Row],[Payment amount]]+B114)))</f>
        <v>4377.9977174134756</v>
      </c>
      <c r="K114">
        <v>103</v>
      </c>
      <c r="L114">
        <f>Table7[Initial Monthly Deposit]*Table9[[#This Row],[Inflation Modifier]]</f>
        <v>468.66375240090622</v>
      </c>
      <c r="M114">
        <f xml:space="preserve"> (1+Table7[Inflation])^(QUOTIENT(Table9[[#This Row],[Month]]-1,12))</f>
        <v>1.1716593810022655</v>
      </c>
      <c r="N114">
        <f>N113*(1+Table7[Monthly SF Inter])+Table9[[#This Row],[Monthly Payment]]-O113*(1+Table7[Monthly SF Inter])</f>
        <v>3321.5137081948078</v>
      </c>
      <c r="O114">
        <f>IF(MOD(Table9[[#This Row],[Month]],12)=0,(IF(Table9[[#This Row],[Current Balance]]&lt;Table9[[#This Row],[Max Lump Sum ]],Table9[[#This Row],[Current Balance]],Table9[[#This Row],[Max Lump Sum ]])),0)</f>
        <v>0</v>
      </c>
      <c r="P114" s="21">
        <f>Table7[Max annual lump sum repayment]*SUM(C115:C126)</f>
        <v>7880.3958913442566</v>
      </c>
      <c r="Q114" s="25">
        <f>Q113*(1+Table7[Monthly SF Inter])+Table9[[#This Row],[Inflation Modifier]]-R113*(1+Table7[Monthly SF Inter])</f>
        <v>8.3037842704870197</v>
      </c>
      <c r="R114" s="25">
        <f>IF(MOD(Table9[[#This Row],[Month]],12)=0,Table9[[#This Row],[Q2 ACC FACTOR]],0)</f>
        <v>0</v>
      </c>
      <c r="S114" s="25">
        <f>S113*(1+D113)+Table9[[#This Row],[ACC FACTOR PAYMENTS]]</f>
        <v>129.87290310307583</v>
      </c>
    </row>
    <row r="115" spans="1:19" x14ac:dyDescent="0.25">
      <c r="A115" s="1">
        <v>103</v>
      </c>
      <c r="B115" s="1">
        <f t="shared" si="1"/>
        <v>0</v>
      </c>
      <c r="C115" s="7">
        <f>G$12/-PV(Table7[Monthly mortgage rate], (12*Table7[Amortization period (yrs)]),1 )</f>
        <v>4377.9977174134756</v>
      </c>
      <c r="D115" s="11">
        <f>IF(Table1[[#This Row],[Month]]&lt;=(12*Table7[mortgage term (yrs)]),Table7[Monthly mortgage rate],Table7[Monthly Exp Renewal Rate])</f>
        <v>4.9038466830562122E-3</v>
      </c>
      <c r="E115" s="21">
        <f>Table1[[#This Row],[Current mortgage rate]]*G114</f>
        <v>2416.9261621605006</v>
      </c>
      <c r="F115" s="5">
        <f>Table1[[#This Row],[Payment amount]]-Table1[[#This Row],[Interest paid]]</f>
        <v>1961.071555252975</v>
      </c>
      <c r="G115" s="20">
        <f>G114-Table1[[#This Row],[Principal repaid]]-Table1[[#This Row],[Annual paym]]</f>
        <v>490902.24950074003</v>
      </c>
      <c r="H115" s="20">
        <f>H114-(Table1[[#This Row],[Payment amount]]-Table1[[#This Row],[Interest Paid W/O LSP]])</f>
        <v>542981.10134480416</v>
      </c>
      <c r="I115">
        <f>H114*Table1[[#This Row],[Current mortgage rate]]</f>
        <v>2671.0666012839638</v>
      </c>
      <c r="J115" s="25">
        <f>IF(Table1[[#This Row],[Month]]&gt;Table7[Amortization period (yrs)]*12,0,IF(Table1[[#This Row],[Month]]&lt;Table7[mortgage term (yrs)]*12,0,IF(Table1[[#This Row],[Month]]=Table7[mortgage term (yrs)]*12,-H$5,Table1[[#This Row],[Payment amount]]+B115)))</f>
        <v>4377.9977174134756</v>
      </c>
      <c r="K115">
        <v>104</v>
      </c>
      <c r="L115">
        <f>Table7[Initial Monthly Deposit]*Table9[[#This Row],[Inflation Modifier]]</f>
        <v>468.66375240090622</v>
      </c>
      <c r="M115">
        <f xml:space="preserve"> (1+Table7[Inflation])^(QUOTIENT(Table9[[#This Row],[Month]]-1,12))</f>
        <v>1.1716593810022655</v>
      </c>
      <c r="N115">
        <f>N114*(1+Table7[Monthly SF Inter])+Table9[[#This Row],[Monthly Payment]]-O114*(1+Table7[Monthly SF Inter])</f>
        <v>3803.8751023446271</v>
      </c>
      <c r="O115">
        <f>IF(MOD(Table9[[#This Row],[Month]],12)=0,(IF(Table9[[#This Row],[Current Balance]]&lt;Table9[[#This Row],[Max Lump Sum ]],Table9[[#This Row],[Current Balance]],Table9[[#This Row],[Max Lump Sum ]])),0)</f>
        <v>0</v>
      </c>
      <c r="P115" s="21">
        <f>Table7[Max annual lump sum repayment]*SUM(C116:C127)</f>
        <v>7880.3958913442566</v>
      </c>
      <c r="Q115" s="25">
        <f>Q114*(1+Table7[Monthly SF Inter])+Table9[[#This Row],[Inflation Modifier]]-R114*(1+Table7[Monthly SF Inter])</f>
        <v>9.5096877558615684</v>
      </c>
      <c r="R115" s="25">
        <f>IF(MOD(Table9[[#This Row],[Month]],12)=0,Table9[[#This Row],[Q2 ACC FACTOR]],0)</f>
        <v>0</v>
      </c>
      <c r="S115" s="25">
        <f>S114*(1+D114)+Table9[[#This Row],[ACC FACTOR PAYMENTS]]</f>
        <v>130.50977990817674</v>
      </c>
    </row>
    <row r="116" spans="1:19" x14ac:dyDescent="0.25">
      <c r="A116" s="1">
        <v>104</v>
      </c>
      <c r="B116" s="1">
        <f t="shared" si="1"/>
        <v>0</v>
      </c>
      <c r="C116" s="7">
        <f>G$12/-PV(Table7[Monthly mortgage rate], (12*Table7[Amortization period (yrs)]),1 )</f>
        <v>4377.9977174134756</v>
      </c>
      <c r="D116" s="11">
        <f>IF(Table1[[#This Row],[Month]]&lt;=(12*Table7[mortgage term (yrs)]),Table7[Monthly mortgage rate],Table7[Monthly Exp Renewal Rate])</f>
        <v>4.9038466830562122E-3</v>
      </c>
      <c r="E116" s="21">
        <f>Table1[[#This Row],[Current mortgage rate]]*G115</f>
        <v>2407.309367919037</v>
      </c>
      <c r="F116" s="5">
        <f>Table1[[#This Row],[Payment amount]]-Table1[[#This Row],[Interest paid]]</f>
        <v>1970.6883494944386</v>
      </c>
      <c r="G116" s="20">
        <f>G115-Table1[[#This Row],[Principal repaid]]-Table1[[#This Row],[Annual paym]]</f>
        <v>488931.56115124561</v>
      </c>
      <c r="H116" s="20">
        <f>H115-(Table1[[#This Row],[Payment amount]]-Table1[[#This Row],[Interest Paid W/O LSP]])</f>
        <v>541265.79970018263</v>
      </c>
      <c r="I116">
        <f>H115*Table1[[#This Row],[Current mortgage rate]]</f>
        <v>2662.6960727919268</v>
      </c>
      <c r="J116" s="25">
        <f>IF(Table1[[#This Row],[Month]]&gt;Table7[Amortization period (yrs)]*12,0,IF(Table1[[#This Row],[Month]]&lt;Table7[mortgage term (yrs)]*12,0,IF(Table1[[#This Row],[Month]]=Table7[mortgage term (yrs)]*12,-H$5,Table1[[#This Row],[Payment amount]]+B116)))</f>
        <v>4377.9977174134756</v>
      </c>
      <c r="K116">
        <v>105</v>
      </c>
      <c r="L116">
        <f>Table7[Initial Monthly Deposit]*Table9[[#This Row],[Inflation Modifier]]</f>
        <v>468.66375240090622</v>
      </c>
      <c r="M116">
        <f xml:space="preserve"> (1+Table7[Inflation])^(QUOTIENT(Table9[[#This Row],[Month]]-1,12))</f>
        <v>1.1716593810022655</v>
      </c>
      <c r="N116">
        <f>N115*(1+Table7[Monthly SF Inter])+Table9[[#This Row],[Monthly Payment]]-O115*(1+Table7[Monthly SF Inter])</f>
        <v>4288.2257141075697</v>
      </c>
      <c r="O116">
        <f>IF(MOD(Table9[[#This Row],[Month]],12)=0,(IF(Table9[[#This Row],[Current Balance]]&lt;Table9[[#This Row],[Max Lump Sum ]],Table9[[#This Row],[Current Balance]],Table9[[#This Row],[Max Lump Sum ]])),0)</f>
        <v>0</v>
      </c>
      <c r="P116" s="21">
        <f>Table7[Max annual lump sum repayment]*SUM(C117:C128)</f>
        <v>7880.3958913442566</v>
      </c>
      <c r="Q116" s="25">
        <f>Q115*(1+Table7[Monthly SF Inter])+Table9[[#This Row],[Inflation Modifier]]-R115*(1+Table7[Monthly SF Inter])</f>
        <v>10.720564285268924</v>
      </c>
      <c r="R116" s="25">
        <f>IF(MOD(Table9[[#This Row],[Month]],12)=0,Table9[[#This Row],[Q2 ACC FACTOR]],0)</f>
        <v>0</v>
      </c>
      <c r="S116" s="25">
        <f>S115*(1+D115)+Table9[[#This Row],[ACC FACTOR PAYMENTS]]</f>
        <v>131.14977985948585</v>
      </c>
    </row>
    <row r="117" spans="1:19" x14ac:dyDescent="0.25">
      <c r="A117" s="1">
        <v>105</v>
      </c>
      <c r="B117" s="1">
        <f t="shared" si="1"/>
        <v>0</v>
      </c>
      <c r="C117" s="7">
        <f>G$12/-PV(Table7[Monthly mortgage rate], (12*Table7[Amortization period (yrs)]),1 )</f>
        <v>4377.9977174134756</v>
      </c>
      <c r="D117" s="11">
        <f>IF(Table1[[#This Row],[Month]]&lt;=(12*Table7[mortgage term (yrs)]),Table7[Monthly mortgage rate],Table7[Monthly Exp Renewal Rate])</f>
        <v>4.9038466830562122E-3</v>
      </c>
      <c r="E117" s="21">
        <f>Table1[[#This Row],[Current mortgage rate]]*G116</f>
        <v>2397.6454143930314</v>
      </c>
      <c r="F117" s="5">
        <f>Table1[[#This Row],[Payment amount]]-Table1[[#This Row],[Interest paid]]</f>
        <v>1980.3523030204442</v>
      </c>
      <c r="G117" s="20">
        <f>G116-Table1[[#This Row],[Principal repaid]]-Table1[[#This Row],[Annual paym]]</f>
        <v>486951.20884822519</v>
      </c>
      <c r="H117" s="20">
        <f>H116-(Table1[[#This Row],[Payment amount]]-Table1[[#This Row],[Interest Paid W/O LSP]])</f>
        <v>539542.08647928061</v>
      </c>
      <c r="I117">
        <f>H116*Table1[[#This Row],[Current mortgage rate]]</f>
        <v>2654.2844965115087</v>
      </c>
      <c r="J117" s="25">
        <f>IF(Table1[[#This Row],[Month]]&gt;Table7[Amortization period (yrs)]*12,0,IF(Table1[[#This Row],[Month]]&lt;Table7[mortgage term (yrs)]*12,0,IF(Table1[[#This Row],[Month]]=Table7[mortgage term (yrs)]*12,-H$5,Table1[[#This Row],[Payment amount]]+B117)))</f>
        <v>4377.9977174134756</v>
      </c>
      <c r="K117">
        <v>106</v>
      </c>
      <c r="L117">
        <f>Table7[Initial Monthly Deposit]*Table9[[#This Row],[Inflation Modifier]]</f>
        <v>468.66375240090622</v>
      </c>
      <c r="M117">
        <f xml:space="preserve"> (1+Table7[Inflation])^(QUOTIENT(Table9[[#This Row],[Month]]-1,12))</f>
        <v>1.1716593810022655</v>
      </c>
      <c r="N117">
        <f>N116*(1+Table7[Monthly SF Inter])+Table9[[#This Row],[Monthly Payment]]-O116*(1+Table7[Monthly SF Inter])</f>
        <v>4774.5737468489133</v>
      </c>
      <c r="O117">
        <f>IF(MOD(Table9[[#This Row],[Month]],12)=0,(IF(Table9[[#This Row],[Current Balance]]&lt;Table9[[#This Row],[Max Lump Sum ]],Table9[[#This Row],[Current Balance]],Table9[[#This Row],[Max Lump Sum ]])),0)</f>
        <v>0</v>
      </c>
      <c r="P117" s="21">
        <f>Table7[Max annual lump sum repayment]*SUM(C118:C129)</f>
        <v>7880.3958913442566</v>
      </c>
      <c r="Q117" s="25">
        <f>Q116*(1+Table7[Monthly SF Inter])+Table9[[#This Row],[Inflation Modifier]]-R116*(1+Table7[Monthly SF Inter])</f>
        <v>11.936434367122285</v>
      </c>
      <c r="R117" s="25">
        <f>IF(MOD(Table9[[#This Row],[Month]],12)=0,Table9[[#This Row],[Q2 ACC FACTOR]],0)</f>
        <v>0</v>
      </c>
      <c r="S117" s="25">
        <f>S116*(1+D116)+Table9[[#This Row],[ACC FACTOR PAYMENTS]]</f>
        <v>131.79291827243333</v>
      </c>
    </row>
    <row r="118" spans="1:19" x14ac:dyDescent="0.25">
      <c r="A118" s="1">
        <v>106</v>
      </c>
      <c r="B118" s="1">
        <f t="shared" si="1"/>
        <v>0</v>
      </c>
      <c r="C118" s="7">
        <f>G$12/-PV(Table7[Monthly mortgage rate], (12*Table7[Amortization period (yrs)]),1 )</f>
        <v>4377.9977174134756</v>
      </c>
      <c r="D118" s="11">
        <f>IF(Table1[[#This Row],[Month]]&lt;=(12*Table7[mortgage term (yrs)]),Table7[Monthly mortgage rate],Table7[Monthly Exp Renewal Rate])</f>
        <v>4.9038466830562122E-3</v>
      </c>
      <c r="E118" s="21">
        <f>Table1[[#This Row],[Current mortgage rate]]*G117</f>
        <v>2387.9340703205821</v>
      </c>
      <c r="F118" s="5">
        <f>Table1[[#This Row],[Payment amount]]-Table1[[#This Row],[Interest paid]]</f>
        <v>1990.0636470928935</v>
      </c>
      <c r="G118" s="20">
        <f>G117-Table1[[#This Row],[Principal repaid]]-Table1[[#This Row],[Annual paym]]</f>
        <v>484961.14520113228</v>
      </c>
      <c r="H118" s="20">
        <f>H117-(Table1[[#This Row],[Payment amount]]-Table1[[#This Row],[Interest Paid W/O LSP]])</f>
        <v>537809.92043301777</v>
      </c>
      <c r="I118">
        <f>H117*Table1[[#This Row],[Current mortgage rate]]</f>
        <v>2645.8316711506482</v>
      </c>
      <c r="J118" s="25">
        <f>IF(Table1[[#This Row],[Month]]&gt;Table7[Amortization period (yrs)]*12,0,IF(Table1[[#This Row],[Month]]&lt;Table7[mortgage term (yrs)]*12,0,IF(Table1[[#This Row],[Month]]=Table7[mortgage term (yrs)]*12,-H$5,Table1[[#This Row],[Payment amount]]+B118)))</f>
        <v>4377.9977174134756</v>
      </c>
      <c r="K118">
        <v>107</v>
      </c>
      <c r="L118">
        <f>Table7[Initial Monthly Deposit]*Table9[[#This Row],[Inflation Modifier]]</f>
        <v>468.66375240090622</v>
      </c>
      <c r="M118">
        <f xml:space="preserve"> (1+Table7[Inflation])^(QUOTIENT(Table9[[#This Row],[Month]]-1,12))</f>
        <v>1.1716593810022655</v>
      </c>
      <c r="N118">
        <f>N117*(1+Table7[Monthly SF Inter])+Table9[[#This Row],[Monthly Payment]]-O117*(1+Table7[Monthly SF Inter])</f>
        <v>5262.9274377639222</v>
      </c>
      <c r="O118">
        <f>IF(MOD(Table9[[#This Row],[Month]],12)=0,(IF(Table9[[#This Row],[Current Balance]]&lt;Table9[[#This Row],[Max Lump Sum ]],Table9[[#This Row],[Current Balance]],Table9[[#This Row],[Max Lump Sum ]])),0)</f>
        <v>0</v>
      </c>
      <c r="P118" s="21">
        <f>Table7[Max annual lump sum repayment]*SUM(C119:C130)</f>
        <v>7880.3958913442566</v>
      </c>
      <c r="Q118" s="25">
        <f>Q117*(1+Table7[Monthly SF Inter])+Table9[[#This Row],[Inflation Modifier]]-R117*(1+Table7[Monthly SF Inter])</f>
        <v>13.157318594409805</v>
      </c>
      <c r="R118" s="25">
        <f>IF(MOD(Table9[[#This Row],[Month]],12)=0,Table9[[#This Row],[Q2 ACC FACTOR]],0)</f>
        <v>0</v>
      </c>
      <c r="S118" s="25">
        <f>S117*(1+D117)+Table9[[#This Row],[ACC FACTOR PAYMENTS]]</f>
        <v>132.43921053755389</v>
      </c>
    </row>
    <row r="119" spans="1:19" x14ac:dyDescent="0.25">
      <c r="A119" s="1">
        <v>107</v>
      </c>
      <c r="B119" s="1">
        <f t="shared" si="1"/>
        <v>0</v>
      </c>
      <c r="C119" s="7">
        <f>G$12/-PV(Table7[Monthly mortgage rate], (12*Table7[Amortization period (yrs)]),1 )</f>
        <v>4377.9977174134756</v>
      </c>
      <c r="D119" s="11">
        <f>IF(Table1[[#This Row],[Month]]&lt;=(12*Table7[mortgage term (yrs)]),Table7[Monthly mortgage rate],Table7[Monthly Exp Renewal Rate])</f>
        <v>4.9038466830562122E-3</v>
      </c>
      <c r="E119" s="21">
        <f>Table1[[#This Row],[Current mortgage rate]]*G118</f>
        <v>2378.1751033057149</v>
      </c>
      <c r="F119" s="5">
        <f>Table1[[#This Row],[Payment amount]]-Table1[[#This Row],[Interest paid]]</f>
        <v>1999.8226141077607</v>
      </c>
      <c r="G119" s="20">
        <f>G118-Table1[[#This Row],[Principal repaid]]-Table1[[#This Row],[Annual paym]]</f>
        <v>482961.32258702454</v>
      </c>
      <c r="H119" s="20">
        <f>H118-(Table1[[#This Row],[Payment amount]]-Table1[[#This Row],[Interest Paid W/O LSP]])</f>
        <v>536069.26011003449</v>
      </c>
      <c r="I119">
        <f>H118*Table1[[#This Row],[Current mortgage rate]]</f>
        <v>2637.3373944301798</v>
      </c>
      <c r="J119" s="25">
        <f>IF(Table1[[#This Row],[Month]]&gt;Table7[Amortization period (yrs)]*12,0,IF(Table1[[#This Row],[Month]]&lt;Table7[mortgage term (yrs)]*12,0,IF(Table1[[#This Row],[Month]]=Table7[mortgage term (yrs)]*12,-H$5,Table1[[#This Row],[Payment amount]]+B119)))</f>
        <v>4377.9977174134756</v>
      </c>
      <c r="K119">
        <v>108</v>
      </c>
      <c r="L119">
        <f>Table7[Initial Monthly Deposit]*Table9[[#This Row],[Inflation Modifier]]</f>
        <v>468.66375240090622</v>
      </c>
      <c r="M119">
        <f xml:space="preserve"> (1+Table7[Inflation])^(QUOTIENT(Table9[[#This Row],[Month]]-1,12))</f>
        <v>1.1716593810022655</v>
      </c>
      <c r="N119">
        <f>N118*(1+Table7[Monthly SF Inter])+Table9[[#This Row],[Monthly Payment]]-O118*(1+Table7[Monthly SF Inter])</f>
        <v>5753.2950580173556</v>
      </c>
      <c r="O119">
        <f>IF(MOD(Table9[[#This Row],[Month]],12)=0,(IF(Table9[[#This Row],[Current Balance]]&lt;Table9[[#This Row],[Max Lump Sum ]],Table9[[#This Row],[Current Balance]],Table9[[#This Row],[Max Lump Sum ]])),0)</f>
        <v>5753.2950580173556</v>
      </c>
      <c r="P119" s="21">
        <f>Table7[Max annual lump sum repayment]*SUM(C120:C131)</f>
        <v>7880.3958913442566</v>
      </c>
      <c r="Q119" s="25">
        <f>Q118*(1+Table7[Monthly SF Inter])+Table9[[#This Row],[Inflation Modifier]]-R118*(1+Table7[Monthly SF Inter])</f>
        <v>14.383237645043387</v>
      </c>
      <c r="R119" s="25">
        <f>IF(MOD(Table9[[#This Row],[Month]],12)=0,Table9[[#This Row],[Q2 ACC FACTOR]],0)</f>
        <v>14.383237645043387</v>
      </c>
      <c r="S119" s="25">
        <f>S118*(1+D118)+Table9[[#This Row],[ACC FACTOR PAYMENTS]]</f>
        <v>147.47190976589843</v>
      </c>
    </row>
    <row r="120" spans="1:19" x14ac:dyDescent="0.25">
      <c r="A120" s="1">
        <v>108</v>
      </c>
      <c r="B120" s="1">
        <f t="shared" si="1"/>
        <v>5753.2950580173556</v>
      </c>
      <c r="C120" s="7">
        <f>G$12/-PV(Table7[Monthly mortgage rate], (12*Table7[Amortization period (yrs)]),1 )</f>
        <v>4377.9977174134756</v>
      </c>
      <c r="D120" s="11">
        <f>IF(Table1[[#This Row],[Month]]&lt;=(12*Table7[mortgage term (yrs)]),Table7[Monthly mortgage rate],Table7[Monthly Exp Renewal Rate])</f>
        <v>4.9038466830562122E-3</v>
      </c>
      <c r="E120" s="21">
        <f>Table1[[#This Row],[Current mortgage rate]]*G119</f>
        <v>2368.3682798128216</v>
      </c>
      <c r="F120" s="5">
        <f>Table1[[#This Row],[Payment amount]]-Table1[[#This Row],[Interest paid]]</f>
        <v>2009.629437600654</v>
      </c>
      <c r="G120" s="20">
        <f>G119-Table1[[#This Row],[Principal repaid]]-Table1[[#This Row],[Annual paym]]</f>
        <v>475198.3980914065</v>
      </c>
      <c r="H120" s="20">
        <f>H119-(Table1[[#This Row],[Payment amount]]-Table1[[#This Row],[Interest Paid W/O LSP]])</f>
        <v>534320.06385569996</v>
      </c>
      <c r="I120">
        <f>H119*Table1[[#This Row],[Current mortgage rate]]</f>
        <v>2628.8014630789903</v>
      </c>
      <c r="J120" s="25">
        <f>IF(Table1[[#This Row],[Month]]&gt;Table7[Amortization period (yrs)]*12,0,IF(Table1[[#This Row],[Month]]&lt;Table7[mortgage term (yrs)]*12,0,IF(Table1[[#This Row],[Month]]=Table7[mortgage term (yrs)]*12,-H$5,Table1[[#This Row],[Payment amount]]+B120)))</f>
        <v>10131.292775430831</v>
      </c>
      <c r="K120">
        <v>109</v>
      </c>
      <c r="L120">
        <f>Table7[Initial Monthly Deposit]*Table9[[#This Row],[Inflation Modifier]]</f>
        <v>478.03702744892433</v>
      </c>
      <c r="M120">
        <f xml:space="preserve"> (1+Table7[Inflation])^(QUOTIENT(Table9[[#This Row],[Month]]-1,12))</f>
        <v>1.1950925686223108</v>
      </c>
      <c r="N120">
        <f>N119*(1+Table7[Monthly SF Inter])+Table9[[#This Row],[Monthly Payment]]-O119*(1+Table7[Monthly SF Inter])</f>
        <v>478.03702744892416</v>
      </c>
      <c r="O120">
        <f>IF(MOD(Table9[[#This Row],[Month]],12)=0,(IF(Table9[[#This Row],[Current Balance]]&lt;Table9[[#This Row],[Max Lump Sum ]],Table9[[#This Row],[Current Balance]],Table9[[#This Row],[Max Lump Sum ]])),0)</f>
        <v>0</v>
      </c>
      <c r="P120" s="21">
        <f>Table7[Max annual lump sum repayment]*SUM(C121:C132)</f>
        <v>7880.3958913442566</v>
      </c>
      <c r="Q120" s="25">
        <f>Q119*(1+Table7[Monthly SF Inter])+Table9[[#This Row],[Inflation Modifier]]-R119*(1+Table7[Monthly SF Inter])</f>
        <v>1.1950925686223108</v>
      </c>
      <c r="R120" s="25">
        <f>IF(MOD(Table9[[#This Row],[Month]],12)=0,Table9[[#This Row],[Q2 ACC FACTOR]],0)</f>
        <v>0</v>
      </c>
      <c r="S120" s="25">
        <f>S119*(1+D119)+Table9[[#This Row],[ACC FACTOR PAYMENTS]]</f>
        <v>148.19508940144789</v>
      </c>
    </row>
    <row r="121" spans="1:19" x14ac:dyDescent="0.25">
      <c r="A121" s="1">
        <v>109</v>
      </c>
      <c r="B121" s="1">
        <f t="shared" si="1"/>
        <v>0</v>
      </c>
      <c r="C121" s="7">
        <f>G$12/-PV(Table7[Monthly mortgage rate], (12*Table7[Amortization period (yrs)]),1 )</f>
        <v>4377.9977174134756</v>
      </c>
      <c r="D121" s="11">
        <f>IF(Table1[[#This Row],[Month]]&lt;=(12*Table7[mortgage term (yrs)]),Table7[Monthly mortgage rate],Table7[Monthly Exp Renewal Rate])</f>
        <v>4.9038466830562122E-3</v>
      </c>
      <c r="E121" s="21">
        <f>Table1[[#This Row],[Current mortgage rate]]*G120</f>
        <v>2330.3000882741694</v>
      </c>
      <c r="F121" s="5">
        <f>Table1[[#This Row],[Payment amount]]-Table1[[#This Row],[Interest paid]]</f>
        <v>2047.6976291393062</v>
      </c>
      <c r="G121" s="20">
        <f>G120-Table1[[#This Row],[Principal repaid]]-Table1[[#This Row],[Annual paym]]</f>
        <v>473150.70046226721</v>
      </c>
      <c r="H121" s="20">
        <f>H120-(Table1[[#This Row],[Payment amount]]-Table1[[#This Row],[Interest Paid W/O LSP]])</f>
        <v>532562.2898111156</v>
      </c>
      <c r="I121">
        <f>H120*Table1[[#This Row],[Current mortgage rate]]</f>
        <v>2620.2236728291577</v>
      </c>
      <c r="J121" s="25">
        <f>IF(Table1[[#This Row],[Month]]&gt;Table7[Amortization period (yrs)]*12,0,IF(Table1[[#This Row],[Month]]&lt;Table7[mortgage term (yrs)]*12,0,IF(Table1[[#This Row],[Month]]=Table7[mortgage term (yrs)]*12,-H$5,Table1[[#This Row],[Payment amount]]+B121)))</f>
        <v>4377.9977174134756</v>
      </c>
      <c r="K121">
        <v>110</v>
      </c>
      <c r="L121">
        <f>Table7[Initial Monthly Deposit]*Table9[[#This Row],[Inflation Modifier]]</f>
        <v>478.03702744892433</v>
      </c>
      <c r="M121">
        <f xml:space="preserve"> (1+Table7[Inflation])^(QUOTIENT(Table9[[#This Row],[Month]]-1,12))</f>
        <v>1.1950925686223108</v>
      </c>
      <c r="N121">
        <f>N120*(1+Table7[Monthly SF Inter])+Table9[[#This Row],[Monthly Payment]]-O120*(1+Table7[Monthly SF Inter])</f>
        <v>958.04543918825675</v>
      </c>
      <c r="O121">
        <f>IF(MOD(Table9[[#This Row],[Month]],12)=0,(IF(Table9[[#This Row],[Current Balance]]&lt;Table9[[#This Row],[Max Lump Sum ]],Table9[[#This Row],[Current Balance]],Table9[[#This Row],[Max Lump Sum ]])),0)</f>
        <v>0</v>
      </c>
      <c r="P121" s="21">
        <f>Table7[Max annual lump sum repayment]*SUM(C122:C133)</f>
        <v>7880.3958913442566</v>
      </c>
      <c r="Q121" s="25">
        <f>Q120*(1+Table7[Monthly SF Inter])+Table9[[#This Row],[Inflation Modifier]]-R120*(1+Table7[Monthly SF Inter])</f>
        <v>2.3951135979706422</v>
      </c>
      <c r="R121" s="25">
        <f>IF(MOD(Table9[[#This Row],[Month]],12)=0,Table9[[#This Row],[Q2 ACC FACTOR]],0)</f>
        <v>0</v>
      </c>
      <c r="S121" s="25">
        <f>S120*(1+D120)+Table9[[#This Row],[ACC FACTOR PAYMENTS]]</f>
        <v>148.9218153990544</v>
      </c>
    </row>
    <row r="122" spans="1:19" x14ac:dyDescent="0.25">
      <c r="A122" s="1">
        <v>110</v>
      </c>
      <c r="B122" s="1">
        <f t="shared" si="1"/>
        <v>0</v>
      </c>
      <c r="C122" s="7">
        <f>G$12/-PV(Table7[Monthly mortgage rate], (12*Table7[Amortization period (yrs)]),1 )</f>
        <v>4377.9977174134756</v>
      </c>
      <c r="D122" s="11">
        <f>IF(Table1[[#This Row],[Month]]&lt;=(12*Table7[mortgage term (yrs)]),Table7[Monthly mortgage rate],Table7[Monthly Exp Renewal Rate])</f>
        <v>4.9038466830562122E-3</v>
      </c>
      <c r="E122" s="21">
        <f>Table1[[#This Row],[Current mortgage rate]]*G121</f>
        <v>2320.2584930476123</v>
      </c>
      <c r="F122" s="5">
        <f>Table1[[#This Row],[Payment amount]]-Table1[[#This Row],[Interest paid]]</f>
        <v>2057.7392243658633</v>
      </c>
      <c r="G122" s="20">
        <f>G121-Table1[[#This Row],[Principal repaid]]-Table1[[#This Row],[Annual paym]]</f>
        <v>471092.96123790136</v>
      </c>
      <c r="H122" s="20">
        <f>H121-(Table1[[#This Row],[Payment amount]]-Table1[[#This Row],[Interest Paid W/O LSP]])</f>
        <v>530795.89591211313</v>
      </c>
      <c r="I122">
        <f>H121*Table1[[#This Row],[Current mortgage rate]]</f>
        <v>2611.6038184110603</v>
      </c>
      <c r="J122" s="25">
        <f>IF(Table1[[#This Row],[Month]]&gt;Table7[Amortization period (yrs)]*12,0,IF(Table1[[#This Row],[Month]]&lt;Table7[mortgage term (yrs)]*12,0,IF(Table1[[#This Row],[Month]]=Table7[mortgage term (yrs)]*12,-H$5,Table1[[#This Row],[Payment amount]]+B122)))</f>
        <v>4377.9977174134756</v>
      </c>
      <c r="K122">
        <v>111</v>
      </c>
      <c r="L122">
        <f>Table7[Initial Monthly Deposit]*Table9[[#This Row],[Inflation Modifier]]</f>
        <v>478.03702744892433</v>
      </c>
      <c r="M122">
        <f xml:space="preserve"> (1+Table7[Inflation])^(QUOTIENT(Table9[[#This Row],[Month]]-1,12))</f>
        <v>1.1950925686223108</v>
      </c>
      <c r="N122">
        <f>N121*(1+Table7[Monthly SF Inter])+Table9[[#This Row],[Monthly Payment]]-O121*(1+Table7[Monthly SF Inter])</f>
        <v>1440.0333650401603</v>
      </c>
      <c r="O122">
        <f>IF(MOD(Table9[[#This Row],[Month]],12)=0,(IF(Table9[[#This Row],[Current Balance]]&lt;Table9[[#This Row],[Max Lump Sum ]],Table9[[#This Row],[Current Balance]],Table9[[#This Row],[Max Lump Sum ]])),0)</f>
        <v>0</v>
      </c>
      <c r="P122" s="21">
        <f>Table7[Max annual lump sum repayment]*SUM(C123:C134)</f>
        <v>7880.3958913442566</v>
      </c>
      <c r="Q122" s="25">
        <f>Q121*(1+Table7[Monthly SF Inter])+Table9[[#This Row],[Inflation Modifier]]-R121*(1+Table7[Monthly SF Inter])</f>
        <v>3.6000834126004015</v>
      </c>
      <c r="R122" s="25">
        <f>IF(MOD(Table9[[#This Row],[Month]],12)=0,Table9[[#This Row],[Q2 ACC FACTOR]],0)</f>
        <v>0</v>
      </c>
      <c r="S122" s="25">
        <f>S121*(1+D121)+Table9[[#This Row],[ACC FACTOR PAYMENTS]]</f>
        <v>149.65210514953375</v>
      </c>
    </row>
    <row r="123" spans="1:19" x14ac:dyDescent="0.25">
      <c r="A123" s="1">
        <v>111</v>
      </c>
      <c r="B123" s="1">
        <f t="shared" si="1"/>
        <v>0</v>
      </c>
      <c r="C123" s="7">
        <f>G$12/-PV(Table7[Monthly mortgage rate], (12*Table7[Amortization period (yrs)]),1 )</f>
        <v>4377.9977174134756</v>
      </c>
      <c r="D123" s="11">
        <f>IF(Table1[[#This Row],[Month]]&lt;=(12*Table7[mortgage term (yrs)]),Table7[Monthly mortgage rate],Table7[Monthly Exp Renewal Rate])</f>
        <v>4.9038466830562122E-3</v>
      </c>
      <c r="E123" s="21">
        <f>Table1[[#This Row],[Current mortgage rate]]*G122</f>
        <v>2310.1676553776115</v>
      </c>
      <c r="F123" s="5">
        <f>Table1[[#This Row],[Payment amount]]-Table1[[#This Row],[Interest paid]]</f>
        <v>2067.8300620358641</v>
      </c>
      <c r="G123" s="20">
        <f>G122-Table1[[#This Row],[Principal repaid]]-Table1[[#This Row],[Annual paym]]</f>
        <v>469025.13117586548</v>
      </c>
      <c r="H123" s="20">
        <f>H122-(Table1[[#This Row],[Payment amount]]-Table1[[#This Row],[Interest Paid W/O LSP]])</f>
        <v>529020.83988824813</v>
      </c>
      <c r="I123">
        <f>H122*Table1[[#This Row],[Current mortgage rate]]</f>
        <v>2602.9416935484664</v>
      </c>
      <c r="J123" s="25">
        <f>IF(Table1[[#This Row],[Month]]&gt;Table7[Amortization period (yrs)]*12,0,IF(Table1[[#This Row],[Month]]&lt;Table7[mortgage term (yrs)]*12,0,IF(Table1[[#This Row],[Month]]=Table7[mortgage term (yrs)]*12,-H$5,Table1[[#This Row],[Payment amount]]+B123)))</f>
        <v>4377.9977174134756</v>
      </c>
      <c r="K123">
        <v>112</v>
      </c>
      <c r="L123">
        <f>Table7[Initial Monthly Deposit]*Table9[[#This Row],[Inflation Modifier]]</f>
        <v>478.03702744892433</v>
      </c>
      <c r="M123">
        <f xml:space="preserve"> (1+Table7[Inflation])^(QUOTIENT(Table9[[#This Row],[Month]]-1,12))</f>
        <v>1.1950925686223108</v>
      </c>
      <c r="N123">
        <f>N122*(1+Table7[Monthly SF Inter])+Table9[[#This Row],[Monthly Payment]]-O122*(1+Table7[Monthly SF Inter])</f>
        <v>1924.0089683534975</v>
      </c>
      <c r="O123">
        <f>IF(MOD(Table9[[#This Row],[Month]],12)=0,(IF(Table9[[#This Row],[Current Balance]]&lt;Table9[[#This Row],[Max Lump Sum ]],Table9[[#This Row],[Current Balance]],Table9[[#This Row],[Max Lump Sum ]])),0)</f>
        <v>0</v>
      </c>
      <c r="P123" s="21">
        <f>Table7[Max annual lump sum repayment]*SUM(C124:C135)</f>
        <v>7880.3958913442566</v>
      </c>
      <c r="Q123" s="25">
        <f>Q122*(1+Table7[Monthly SF Inter])+Table9[[#This Row],[Inflation Modifier]]-R122*(1+Table7[Monthly SF Inter])</f>
        <v>4.8100224208837439</v>
      </c>
      <c r="R123" s="25">
        <f>IF(MOD(Table9[[#This Row],[Month]],12)=0,Table9[[#This Row],[Q2 ACC FACTOR]],0)</f>
        <v>0</v>
      </c>
      <c r="S123" s="25">
        <f>S122*(1+D122)+Table9[[#This Row],[ACC FACTOR PAYMENTS]]</f>
        <v>150.38597612898369</v>
      </c>
    </row>
    <row r="124" spans="1:19" x14ac:dyDescent="0.25">
      <c r="A124" s="1">
        <v>112</v>
      </c>
      <c r="B124" s="1">
        <f t="shared" si="1"/>
        <v>0</v>
      </c>
      <c r="C124" s="7">
        <f>G$12/-PV(Table7[Monthly mortgage rate], (12*Table7[Amortization period (yrs)]),1 )</f>
        <v>4377.9977174134756</v>
      </c>
      <c r="D124" s="11">
        <f>IF(Table1[[#This Row],[Month]]&lt;=(12*Table7[mortgage term (yrs)]),Table7[Monthly mortgage rate],Table7[Monthly Exp Renewal Rate])</f>
        <v>4.9038466830562122E-3</v>
      </c>
      <c r="E124" s="21">
        <f>Table1[[#This Row],[Current mortgage rate]]*G123</f>
        <v>2300.0273337867729</v>
      </c>
      <c r="F124" s="5">
        <f>Table1[[#This Row],[Payment amount]]-Table1[[#This Row],[Interest paid]]</f>
        <v>2077.9703836267026</v>
      </c>
      <c r="G124" s="20">
        <f>G123-Table1[[#This Row],[Principal repaid]]-Table1[[#This Row],[Annual paym]]</f>
        <v>466947.16079223878</v>
      </c>
      <c r="H124" s="20">
        <f>H123-(Table1[[#This Row],[Payment amount]]-Table1[[#This Row],[Interest Paid W/O LSP]])</f>
        <v>527237.07926178828</v>
      </c>
      <c r="I124">
        <f>H123*Table1[[#This Row],[Current mortgage rate]]</f>
        <v>2594.2370909535971</v>
      </c>
      <c r="J124" s="25">
        <f>IF(Table1[[#This Row],[Month]]&gt;Table7[Amortization period (yrs)]*12,0,IF(Table1[[#This Row],[Month]]&lt;Table7[mortgage term (yrs)]*12,0,IF(Table1[[#This Row],[Month]]=Table7[mortgage term (yrs)]*12,-H$5,Table1[[#This Row],[Payment amount]]+B124)))</f>
        <v>4377.9977174134756</v>
      </c>
      <c r="K124">
        <v>113</v>
      </c>
      <c r="L124">
        <f>Table7[Initial Monthly Deposit]*Table9[[#This Row],[Inflation Modifier]]</f>
        <v>478.03702744892433</v>
      </c>
      <c r="M124">
        <f xml:space="preserve"> (1+Table7[Inflation])^(QUOTIENT(Table9[[#This Row],[Month]]-1,12))</f>
        <v>1.1950925686223108</v>
      </c>
      <c r="N124">
        <f>N123*(1+Table7[Monthly SF Inter])+Table9[[#This Row],[Monthly Payment]]-O123*(1+Table7[Monthly SF Inter])</f>
        <v>2409.9804461420908</v>
      </c>
      <c r="O124">
        <f>IF(MOD(Table9[[#This Row],[Month]],12)=0,(IF(Table9[[#This Row],[Current Balance]]&lt;Table9[[#This Row],[Max Lump Sum ]],Table9[[#This Row],[Current Balance]],Table9[[#This Row],[Max Lump Sum ]])),0)</f>
        <v>0</v>
      </c>
      <c r="P124" s="21">
        <f>Table7[Max annual lump sum repayment]*SUM(C125:C136)</f>
        <v>7880.3958913442566</v>
      </c>
      <c r="Q124" s="25">
        <f>Q123*(1+Table7[Monthly SF Inter])+Table9[[#This Row],[Inflation Modifier]]-R123*(1+Table7[Monthly SF Inter])</f>
        <v>6.0249511153552273</v>
      </c>
      <c r="R124" s="25">
        <f>IF(MOD(Table9[[#This Row],[Month]],12)=0,Table9[[#This Row],[Q2 ACC FACTOR]],0)</f>
        <v>0</v>
      </c>
      <c r="S124" s="25">
        <f>S123*(1+D123)+Table9[[#This Row],[ACC FACTOR PAYMENTS]]</f>
        <v>151.12344589920198</v>
      </c>
    </row>
    <row r="125" spans="1:19" x14ac:dyDescent="0.25">
      <c r="A125" s="1">
        <v>113</v>
      </c>
      <c r="B125" s="1">
        <f t="shared" si="1"/>
        <v>0</v>
      </c>
      <c r="C125" s="7">
        <f>G$12/-PV(Table7[Monthly mortgage rate], (12*Table7[Amortization period (yrs)]),1 )</f>
        <v>4377.9977174134756</v>
      </c>
      <c r="D125" s="11">
        <f>IF(Table1[[#This Row],[Month]]&lt;=(12*Table7[mortgage term (yrs)]),Table7[Monthly mortgage rate],Table7[Monthly Exp Renewal Rate])</f>
        <v>4.9038466830562122E-3</v>
      </c>
      <c r="E125" s="21">
        <f>Table1[[#This Row],[Current mortgage rate]]*G124</f>
        <v>2289.8372856135361</v>
      </c>
      <c r="F125" s="5">
        <f>Table1[[#This Row],[Payment amount]]-Table1[[#This Row],[Interest paid]]</f>
        <v>2088.1604317999395</v>
      </c>
      <c r="G125" s="20">
        <f>G124-Table1[[#This Row],[Principal repaid]]-Table1[[#This Row],[Annual paym]]</f>
        <v>464859.00036043883</v>
      </c>
      <c r="H125" s="20">
        <f>H124-(Table1[[#This Row],[Payment amount]]-Table1[[#This Row],[Interest Paid W/O LSP]])</f>
        <v>525444.57134669693</v>
      </c>
      <c r="I125">
        <f>H124*Table1[[#This Row],[Current mortgage rate]]</f>
        <v>2585.4898023221658</v>
      </c>
      <c r="J125" s="25">
        <f>IF(Table1[[#This Row],[Month]]&gt;Table7[Amortization period (yrs)]*12,0,IF(Table1[[#This Row],[Month]]&lt;Table7[mortgage term (yrs)]*12,0,IF(Table1[[#This Row],[Month]]=Table7[mortgage term (yrs)]*12,-H$5,Table1[[#This Row],[Payment amount]]+B125)))</f>
        <v>4377.9977174134756</v>
      </c>
      <c r="K125">
        <v>114</v>
      </c>
      <c r="L125">
        <f>Table7[Initial Monthly Deposit]*Table9[[#This Row],[Inflation Modifier]]</f>
        <v>478.03702744892433</v>
      </c>
      <c r="M125">
        <f xml:space="preserve"> (1+Table7[Inflation])^(QUOTIENT(Table9[[#This Row],[Month]]-1,12))</f>
        <v>1.1950925686223108</v>
      </c>
      <c r="N125">
        <f>N124*(1+Table7[Monthly SF Inter])+Table9[[#This Row],[Monthly Payment]]-O124*(1+Table7[Monthly SF Inter])</f>
        <v>2897.9560292235556</v>
      </c>
      <c r="O125">
        <f>IF(MOD(Table9[[#This Row],[Month]],12)=0,(IF(Table9[[#This Row],[Current Balance]]&lt;Table9[[#This Row],[Max Lump Sum ]],Table9[[#This Row],[Current Balance]],Table9[[#This Row],[Max Lump Sum ]])),0)</f>
        <v>0</v>
      </c>
      <c r="P125" s="21">
        <f>Table7[Max annual lump sum repayment]*SUM(C126:C137)</f>
        <v>7880.3958913442566</v>
      </c>
      <c r="Q125" s="25">
        <f>Q124*(1+Table7[Monthly SF Inter])+Table9[[#This Row],[Inflation Modifier]]-R124*(1+Table7[Monthly SF Inter])</f>
        <v>7.2448900730588894</v>
      </c>
      <c r="R125" s="25">
        <f>IF(MOD(Table9[[#This Row],[Month]],12)=0,Table9[[#This Row],[Q2 ACC FACTOR]],0)</f>
        <v>0</v>
      </c>
      <c r="S125" s="25">
        <f>S124*(1+D124)+Table9[[#This Row],[ACC FACTOR PAYMENTS]]</f>
        <v>151.8645321081068</v>
      </c>
    </row>
    <row r="126" spans="1:19" x14ac:dyDescent="0.25">
      <c r="A126" s="1">
        <v>114</v>
      </c>
      <c r="B126" s="1">
        <f t="shared" si="1"/>
        <v>0</v>
      </c>
      <c r="C126" s="7">
        <f>G$12/-PV(Table7[Monthly mortgage rate], (12*Table7[Amortization period (yrs)]),1 )</f>
        <v>4377.9977174134756</v>
      </c>
      <c r="D126" s="11">
        <f>IF(Table1[[#This Row],[Month]]&lt;=(12*Table7[mortgage term (yrs)]),Table7[Monthly mortgage rate],Table7[Monthly Exp Renewal Rate])</f>
        <v>4.9038466830562122E-3</v>
      </c>
      <c r="E126" s="21">
        <f>Table1[[#This Row],[Current mortgage rate]]*G125</f>
        <v>2279.5972670063643</v>
      </c>
      <c r="F126" s="5">
        <f>Table1[[#This Row],[Payment amount]]-Table1[[#This Row],[Interest paid]]</f>
        <v>2098.4004504071113</v>
      </c>
      <c r="G126" s="20">
        <f>G125-Table1[[#This Row],[Principal repaid]]-Table1[[#This Row],[Annual paym]]</f>
        <v>462760.59991003171</v>
      </c>
      <c r="H126" s="20">
        <f>H125-(Table1[[#This Row],[Payment amount]]-Table1[[#This Row],[Interest Paid W/O LSP]])</f>
        <v>523643.27324761183</v>
      </c>
      <c r="I126">
        <f>H125*Table1[[#This Row],[Current mortgage rate]]</f>
        <v>2576.6996183283932</v>
      </c>
      <c r="J126" s="25">
        <f>IF(Table1[[#This Row],[Month]]&gt;Table7[Amortization period (yrs)]*12,0,IF(Table1[[#This Row],[Month]]&lt;Table7[mortgage term (yrs)]*12,0,IF(Table1[[#This Row],[Month]]=Table7[mortgage term (yrs)]*12,-H$5,Table1[[#This Row],[Payment amount]]+B126)))</f>
        <v>4377.9977174134756</v>
      </c>
      <c r="K126">
        <v>115</v>
      </c>
      <c r="L126">
        <f>Table7[Initial Monthly Deposit]*Table9[[#This Row],[Inflation Modifier]]</f>
        <v>478.03702744892433</v>
      </c>
      <c r="M126">
        <f xml:space="preserve"> (1+Table7[Inflation])^(QUOTIENT(Table9[[#This Row],[Month]]-1,12))</f>
        <v>1.1950925686223108</v>
      </c>
      <c r="N126">
        <f>N125*(1+Table7[Monthly SF Inter])+Table9[[#This Row],[Monthly Payment]]-O125*(1+Table7[Monthly SF Inter])</f>
        <v>3387.9439823587027</v>
      </c>
      <c r="O126">
        <f>IF(MOD(Table9[[#This Row],[Month]],12)=0,(IF(Table9[[#This Row],[Current Balance]]&lt;Table9[[#This Row],[Max Lump Sum ]],Table9[[#This Row],[Current Balance]],Table9[[#This Row],[Max Lump Sum ]])),0)</f>
        <v>0</v>
      </c>
      <c r="P126" s="21">
        <f>Table7[Max annual lump sum repayment]*SUM(C127:C138)</f>
        <v>7880.3958913442566</v>
      </c>
      <c r="Q126" s="25">
        <f>Q125*(1+Table7[Monthly SF Inter])+Table9[[#This Row],[Inflation Modifier]]-R125*(1+Table7[Monthly SF Inter])</f>
        <v>8.4698599558967587</v>
      </c>
      <c r="R126" s="25">
        <f>IF(MOD(Table9[[#This Row],[Month]],12)=0,Table9[[#This Row],[Q2 ACC FACTOR]],0)</f>
        <v>0</v>
      </c>
      <c r="S126" s="25">
        <f>S125*(1+D125)+Table9[[#This Row],[ACC FACTOR PAYMENTS]]</f>
        <v>152.60925249015904</v>
      </c>
    </row>
    <row r="127" spans="1:19" x14ac:dyDescent="0.25">
      <c r="A127" s="1">
        <v>115</v>
      </c>
      <c r="B127" s="1">
        <f t="shared" si="1"/>
        <v>0</v>
      </c>
      <c r="C127" s="7">
        <f>G$12/-PV(Table7[Monthly mortgage rate], (12*Table7[Amortization period (yrs)]),1 )</f>
        <v>4377.9977174134756</v>
      </c>
      <c r="D127" s="11">
        <f>IF(Table1[[#This Row],[Month]]&lt;=(12*Table7[mortgage term (yrs)]),Table7[Monthly mortgage rate],Table7[Monthly Exp Renewal Rate])</f>
        <v>4.9038466830562122E-3</v>
      </c>
      <c r="E127" s="21">
        <f>Table1[[#This Row],[Current mortgage rate]]*G126</f>
        <v>2269.3070329179118</v>
      </c>
      <c r="F127" s="5">
        <f>Table1[[#This Row],[Payment amount]]-Table1[[#This Row],[Interest paid]]</f>
        <v>2108.6906844955638</v>
      </c>
      <c r="G127" s="20">
        <f>G126-Table1[[#This Row],[Principal repaid]]-Table1[[#This Row],[Annual paym]]</f>
        <v>460651.90922553616</v>
      </c>
      <c r="H127" s="20">
        <f>H126-(Table1[[#This Row],[Payment amount]]-Table1[[#This Row],[Interest Paid W/O LSP]])</f>
        <v>521833.14185881836</v>
      </c>
      <c r="I127">
        <f>H126*Table1[[#This Row],[Current mortgage rate]]</f>
        <v>2567.866328619999</v>
      </c>
      <c r="J127" s="25">
        <f>IF(Table1[[#This Row],[Month]]&gt;Table7[Amortization period (yrs)]*12,0,IF(Table1[[#This Row],[Month]]&lt;Table7[mortgage term (yrs)]*12,0,IF(Table1[[#This Row],[Month]]=Table7[mortgage term (yrs)]*12,-H$5,Table1[[#This Row],[Payment amount]]+B127)))</f>
        <v>4377.9977174134756</v>
      </c>
      <c r="K127">
        <v>116</v>
      </c>
      <c r="L127">
        <f>Table7[Initial Monthly Deposit]*Table9[[#This Row],[Inflation Modifier]]</f>
        <v>478.03702744892433</v>
      </c>
      <c r="M127">
        <f xml:space="preserve"> (1+Table7[Inflation])^(QUOTIENT(Table9[[#This Row],[Month]]-1,12))</f>
        <v>1.1950925686223108</v>
      </c>
      <c r="N127">
        <f>N126*(1+Table7[Monthly SF Inter])+Table9[[#This Row],[Monthly Payment]]-O126*(1+Table7[Monthly SF Inter])</f>
        <v>3879.9526043915184</v>
      </c>
      <c r="O127">
        <f>IF(MOD(Table9[[#This Row],[Month]],12)=0,(IF(Table9[[#This Row],[Current Balance]]&lt;Table9[[#This Row],[Max Lump Sum ]],Table9[[#This Row],[Current Balance]],Table9[[#This Row],[Max Lump Sum ]])),0)</f>
        <v>0</v>
      </c>
      <c r="P127" s="21">
        <f>Table7[Max annual lump sum repayment]*SUM(C128:C139)</f>
        <v>7880.3958913442566</v>
      </c>
      <c r="Q127" s="25">
        <f>Q126*(1+Table7[Monthly SF Inter])+Table9[[#This Row],[Inflation Modifier]]-R126*(1+Table7[Monthly SF Inter])</f>
        <v>9.6998815109787984</v>
      </c>
      <c r="R127" s="25">
        <f>IF(MOD(Table9[[#This Row],[Month]],12)=0,Table9[[#This Row],[Q2 ACC FACTOR]],0)</f>
        <v>0</v>
      </c>
      <c r="S127" s="25">
        <f>S126*(1+D126)+Table9[[#This Row],[ACC FACTOR PAYMENTS]]</f>
        <v>153.35762486678658</v>
      </c>
    </row>
    <row r="128" spans="1:19" x14ac:dyDescent="0.25">
      <c r="A128" s="1">
        <v>116</v>
      </c>
      <c r="B128" s="1">
        <f t="shared" si="1"/>
        <v>0</v>
      </c>
      <c r="C128" s="7">
        <f>G$12/-PV(Table7[Monthly mortgage rate], (12*Table7[Amortization period (yrs)]),1 )</f>
        <v>4377.9977174134756</v>
      </c>
      <c r="D128" s="11">
        <f>IF(Table1[[#This Row],[Month]]&lt;=(12*Table7[mortgage term (yrs)]),Table7[Monthly mortgage rate],Table7[Monthly Exp Renewal Rate])</f>
        <v>4.9038466830562122E-3</v>
      </c>
      <c r="E128" s="21">
        <f>Table1[[#This Row],[Current mortgage rate]]*G127</f>
        <v>2258.966337099157</v>
      </c>
      <c r="F128" s="5">
        <f>Table1[[#This Row],[Payment amount]]-Table1[[#This Row],[Interest paid]]</f>
        <v>2119.0313803143185</v>
      </c>
      <c r="G128" s="20">
        <f>G127-Table1[[#This Row],[Principal repaid]]-Table1[[#This Row],[Annual paym]]</f>
        <v>458532.87784522184</v>
      </c>
      <c r="H128" s="20">
        <f>H127-(Table1[[#This Row],[Payment amount]]-Table1[[#This Row],[Interest Paid W/O LSP]])</f>
        <v>520014.13386321807</v>
      </c>
      <c r="I128">
        <f>H127*Table1[[#This Row],[Current mortgage rate]]</f>
        <v>2558.9897218131682</v>
      </c>
      <c r="J128" s="25">
        <f>IF(Table1[[#This Row],[Month]]&gt;Table7[Amortization period (yrs)]*12,0,IF(Table1[[#This Row],[Month]]&lt;Table7[mortgage term (yrs)]*12,0,IF(Table1[[#This Row],[Month]]=Table7[mortgage term (yrs)]*12,-H$5,Table1[[#This Row],[Payment amount]]+B128)))</f>
        <v>4377.9977174134756</v>
      </c>
      <c r="K128">
        <v>117</v>
      </c>
      <c r="L128">
        <f>Table7[Initial Monthly Deposit]*Table9[[#This Row],[Inflation Modifier]]</f>
        <v>478.03702744892433</v>
      </c>
      <c r="M128">
        <f xml:space="preserve"> (1+Table7[Inflation])^(QUOTIENT(Table9[[#This Row],[Month]]-1,12))</f>
        <v>1.1950925686223108</v>
      </c>
      <c r="N128">
        <f>N127*(1+Table7[Monthly SF Inter])+Table9[[#This Row],[Monthly Payment]]-O127*(1+Table7[Monthly SF Inter])</f>
        <v>4373.99022838972</v>
      </c>
      <c r="O128">
        <f>IF(MOD(Table9[[#This Row],[Month]],12)=0,(IF(Table9[[#This Row],[Current Balance]]&lt;Table9[[#This Row],[Max Lump Sum ]],Table9[[#This Row],[Current Balance]],Table9[[#This Row],[Max Lump Sum ]])),0)</f>
        <v>0</v>
      </c>
      <c r="P128" s="21">
        <f>Table7[Max annual lump sum repayment]*SUM(C129:C140)</f>
        <v>7880.3958913442566</v>
      </c>
      <c r="Q128" s="25">
        <f>Q127*(1+Table7[Monthly SF Inter])+Table9[[#This Row],[Inflation Modifier]]-R127*(1+Table7[Monthly SF Inter])</f>
        <v>10.934975570974302</v>
      </c>
      <c r="R128" s="25">
        <f>IF(MOD(Table9[[#This Row],[Month]],12)=0,Table9[[#This Row],[Q2 ACC FACTOR]],0)</f>
        <v>0</v>
      </c>
      <c r="S128" s="25">
        <f>S127*(1+D127)+Table9[[#This Row],[ACC FACTOR PAYMENTS]]</f>
        <v>154.10966714681095</v>
      </c>
    </row>
    <row r="129" spans="1:19" x14ac:dyDescent="0.25">
      <c r="A129" s="1">
        <v>117</v>
      </c>
      <c r="B129" s="1">
        <f t="shared" si="1"/>
        <v>0</v>
      </c>
      <c r="C129" s="7">
        <f>G$12/-PV(Table7[Monthly mortgage rate], (12*Table7[Amortization period (yrs)]),1 )</f>
        <v>4377.9977174134756</v>
      </c>
      <c r="D129" s="11">
        <f>IF(Table1[[#This Row],[Month]]&lt;=(12*Table7[mortgage term (yrs)]),Table7[Monthly mortgage rate],Table7[Monthly Exp Renewal Rate])</f>
        <v>4.9038466830562122E-3</v>
      </c>
      <c r="E129" s="21">
        <f>Table1[[#This Row],[Current mortgage rate]]*G128</f>
        <v>2248.5749320935106</v>
      </c>
      <c r="F129" s="5">
        <f>Table1[[#This Row],[Payment amount]]-Table1[[#This Row],[Interest paid]]</f>
        <v>2129.422785319965</v>
      </c>
      <c r="G129" s="20">
        <f>G128-Table1[[#This Row],[Principal repaid]]-Table1[[#This Row],[Annual paym]]</f>
        <v>456403.45505990187</v>
      </c>
      <c r="H129" s="20">
        <f>H128-(Table1[[#This Row],[Payment amount]]-Table1[[#This Row],[Interest Paid W/O LSP]])</f>
        <v>518186.20573129208</v>
      </c>
      <c r="I129">
        <f>H128*Table1[[#This Row],[Current mortgage rate]]</f>
        <v>2550.0695854874912</v>
      </c>
      <c r="J129" s="25">
        <f>IF(Table1[[#This Row],[Month]]&gt;Table7[Amortization period (yrs)]*12,0,IF(Table1[[#This Row],[Month]]&lt;Table7[mortgage term (yrs)]*12,0,IF(Table1[[#This Row],[Month]]=Table7[mortgage term (yrs)]*12,-H$5,Table1[[#This Row],[Payment amount]]+B129)))</f>
        <v>4377.9977174134756</v>
      </c>
      <c r="K129">
        <v>118</v>
      </c>
      <c r="L129">
        <f>Table7[Initial Monthly Deposit]*Table9[[#This Row],[Inflation Modifier]]</f>
        <v>478.03702744892433</v>
      </c>
      <c r="M129">
        <f xml:space="preserve"> (1+Table7[Inflation])^(QUOTIENT(Table9[[#This Row],[Month]]-1,12))</f>
        <v>1.1950925686223108</v>
      </c>
      <c r="N129">
        <f>N128*(1+Table7[Monthly SF Inter])+Table9[[#This Row],[Monthly Payment]]-O128*(1+Table7[Monthly SF Inter])</f>
        <v>4870.0652217858906</v>
      </c>
      <c r="O129">
        <f>IF(MOD(Table9[[#This Row],[Month]],12)=0,(IF(Table9[[#This Row],[Current Balance]]&lt;Table9[[#This Row],[Max Lump Sum ]],Table9[[#This Row],[Current Balance]],Table9[[#This Row],[Max Lump Sum ]])),0)</f>
        <v>0</v>
      </c>
      <c r="P129" s="21">
        <f>Table7[Max annual lump sum repayment]*SUM(C130:C141)</f>
        <v>7880.3958913442566</v>
      </c>
      <c r="Q129" s="25">
        <f>Q128*(1+Table7[Monthly SF Inter])+Table9[[#This Row],[Inflation Modifier]]-R128*(1+Table7[Monthly SF Inter])</f>
        <v>12.175163054464729</v>
      </c>
      <c r="R129" s="25">
        <f>IF(MOD(Table9[[#This Row],[Month]],12)=0,Table9[[#This Row],[Q2 ACC FACTOR]],0)</f>
        <v>0</v>
      </c>
      <c r="S129" s="25">
        <f>S128*(1+D128)+Table9[[#This Row],[ACC FACTOR PAYMENTS]]</f>
        <v>154.86539732687572</v>
      </c>
    </row>
    <row r="130" spans="1:19" x14ac:dyDescent="0.25">
      <c r="A130" s="1">
        <v>118</v>
      </c>
      <c r="B130" s="1">
        <f t="shared" si="1"/>
        <v>0</v>
      </c>
      <c r="C130" s="7">
        <f>G$12/-PV(Table7[Monthly mortgage rate], (12*Table7[Amortization period (yrs)]),1 )</f>
        <v>4377.9977174134756</v>
      </c>
      <c r="D130" s="11">
        <f>IF(Table1[[#This Row],[Month]]&lt;=(12*Table7[mortgage term (yrs)]),Table7[Monthly mortgage rate],Table7[Monthly Exp Renewal Rate])</f>
        <v>4.9038466830562122E-3</v>
      </c>
      <c r="E130" s="21">
        <f>Table1[[#This Row],[Current mortgage rate]]*G129</f>
        <v>2238.1325692308947</v>
      </c>
      <c r="F130" s="5">
        <f>Table1[[#This Row],[Payment amount]]-Table1[[#This Row],[Interest paid]]</f>
        <v>2139.8651481825809</v>
      </c>
      <c r="G130" s="20">
        <f>G129-Table1[[#This Row],[Principal repaid]]-Table1[[#This Row],[Annual paym]]</f>
        <v>454263.58991171926</v>
      </c>
      <c r="H130" s="20">
        <f>H129-(Table1[[#This Row],[Payment amount]]-Table1[[#This Row],[Interest Paid W/O LSP]])</f>
        <v>516349.31372005946</v>
      </c>
      <c r="I130">
        <f>H129*Table1[[#This Row],[Current mortgage rate]]</f>
        <v>2541.1057061808806</v>
      </c>
      <c r="J130" s="25">
        <f>IF(Table1[[#This Row],[Month]]&gt;Table7[Amortization period (yrs)]*12,0,IF(Table1[[#This Row],[Month]]&lt;Table7[mortgage term (yrs)]*12,0,IF(Table1[[#This Row],[Month]]=Table7[mortgage term (yrs)]*12,-H$5,Table1[[#This Row],[Payment amount]]+B130)))</f>
        <v>4377.9977174134756</v>
      </c>
      <c r="K130">
        <v>119</v>
      </c>
      <c r="L130">
        <f>Table7[Initial Monthly Deposit]*Table9[[#This Row],[Inflation Modifier]]</f>
        <v>478.03702744892433</v>
      </c>
      <c r="M130">
        <f xml:space="preserve"> (1+Table7[Inflation])^(QUOTIENT(Table9[[#This Row],[Month]]-1,12))</f>
        <v>1.1950925686223108</v>
      </c>
      <c r="N130">
        <f>N129*(1+Table7[Monthly SF Inter])+Table9[[#This Row],[Monthly Payment]]-O129*(1+Table7[Monthly SF Inter])</f>
        <v>5368.1859865191991</v>
      </c>
      <c r="O130">
        <f>IF(MOD(Table9[[#This Row],[Month]],12)=0,(IF(Table9[[#This Row],[Current Balance]]&lt;Table9[[#This Row],[Max Lump Sum ]],Table9[[#This Row],[Current Balance]],Table9[[#This Row],[Max Lump Sum ]])),0)</f>
        <v>0</v>
      </c>
      <c r="P130" s="21">
        <f>Table7[Max annual lump sum repayment]*SUM(C131:C142)</f>
        <v>7880.3958913442566</v>
      </c>
      <c r="Q130" s="25">
        <f>Q129*(1+Table7[Monthly SF Inter])+Table9[[#This Row],[Inflation Modifier]]-R129*(1+Table7[Monthly SF Inter])</f>
        <v>13.420464966297999</v>
      </c>
      <c r="R130" s="25">
        <f>IF(MOD(Table9[[#This Row],[Month]],12)=0,Table9[[#This Row],[Q2 ACC FACTOR]],0)</f>
        <v>0</v>
      </c>
      <c r="S130" s="25">
        <f>S129*(1+D129)+Table9[[#This Row],[ACC FACTOR PAYMENTS]]</f>
        <v>155.6248334918773</v>
      </c>
    </row>
    <row r="131" spans="1:19" x14ac:dyDescent="0.25">
      <c r="A131" s="1">
        <v>119</v>
      </c>
      <c r="B131" s="1">
        <f t="shared" si="1"/>
        <v>0</v>
      </c>
      <c r="C131" s="7">
        <f>G$12/-PV(Table7[Monthly mortgage rate], (12*Table7[Amortization period (yrs)]),1 )</f>
        <v>4377.9977174134756</v>
      </c>
      <c r="D131" s="11">
        <f>IF(Table1[[#This Row],[Month]]&lt;=(12*Table7[mortgage term (yrs)]),Table7[Monthly mortgage rate],Table7[Monthly Exp Renewal Rate])</f>
        <v>4.9038466830562122E-3</v>
      </c>
      <c r="E131" s="21">
        <f>Table1[[#This Row],[Current mortgage rate]]*G130</f>
        <v>2227.6389986217919</v>
      </c>
      <c r="F131" s="5">
        <f>Table1[[#This Row],[Payment amount]]-Table1[[#This Row],[Interest paid]]</f>
        <v>2150.3587187916837</v>
      </c>
      <c r="G131" s="20">
        <f>G130-Table1[[#This Row],[Principal repaid]]-Table1[[#This Row],[Annual paym]]</f>
        <v>452113.23119292757</v>
      </c>
      <c r="H131" s="20">
        <f>H130-(Table1[[#This Row],[Payment amount]]-Table1[[#This Row],[Interest Paid W/O LSP]])</f>
        <v>514503.41387203045</v>
      </c>
      <c r="I131">
        <f>H130*Table1[[#This Row],[Current mortgage rate]]</f>
        <v>2532.097869384465</v>
      </c>
      <c r="J131" s="25">
        <f>IF(Table1[[#This Row],[Month]]&gt;Table7[Amortization period (yrs)]*12,0,IF(Table1[[#This Row],[Month]]&lt;Table7[mortgage term (yrs)]*12,0,IF(Table1[[#This Row],[Month]]=Table7[mortgage term (yrs)]*12,-H$5,Table1[[#This Row],[Payment amount]]+B131)))</f>
        <v>4377.9977174134756</v>
      </c>
      <c r="K131">
        <v>120</v>
      </c>
      <c r="L131">
        <f>Table7[Initial Monthly Deposit]*Table9[[#This Row],[Inflation Modifier]]</f>
        <v>478.03702744892433</v>
      </c>
      <c r="M131">
        <f xml:space="preserve"> (1+Table7[Inflation])^(QUOTIENT(Table9[[#This Row],[Month]]-1,12))</f>
        <v>1.1950925686223108</v>
      </c>
      <c r="N131">
        <f>N130*(1+Table7[Monthly SF Inter])+Table9[[#This Row],[Monthly Payment]]-O130*(1+Table7[Monthly SF Inter])</f>
        <v>5868.3609591777004</v>
      </c>
      <c r="O131">
        <f>IF(MOD(Table9[[#This Row],[Month]],12)=0,(IF(Table9[[#This Row],[Current Balance]]&lt;Table9[[#This Row],[Max Lump Sum ]],Table9[[#This Row],[Current Balance]],Table9[[#This Row],[Max Lump Sum ]])),0)</f>
        <v>5868.3609591777004</v>
      </c>
      <c r="P131" s="21">
        <f>Table7[Max annual lump sum repayment]*SUM(C132:C143)</f>
        <v>7880.3958913442566</v>
      </c>
      <c r="Q131" s="25">
        <f>Q130*(1+Table7[Monthly SF Inter])+Table9[[#This Row],[Inflation Modifier]]-R130*(1+Table7[Monthly SF Inter])</f>
        <v>14.670902397944252</v>
      </c>
      <c r="R131" s="25">
        <f>IF(MOD(Table9[[#This Row],[Month]],12)=0,Table9[[#This Row],[Q2 ACC FACTOR]],0)</f>
        <v>14.670902397944252</v>
      </c>
      <c r="S131" s="25">
        <f>S130*(1+D130)+Table9[[#This Row],[ACC FACTOR PAYMENTS]]</f>
        <v>171.05889621334185</v>
      </c>
    </row>
    <row r="132" spans="1:19" x14ac:dyDescent="0.25">
      <c r="A132" s="1">
        <v>120</v>
      </c>
      <c r="B132" s="1">
        <f t="shared" si="1"/>
        <v>5868.3609591777004</v>
      </c>
      <c r="C132" s="7">
        <f>G$12/-PV(Table7[Monthly mortgage rate], (12*Table7[Amortization period (yrs)]),1 )</f>
        <v>4377.9977174134756</v>
      </c>
      <c r="D132" s="11">
        <f>IF(Table1[[#This Row],[Month]]&lt;=(12*Table7[mortgage term (yrs)]),Table7[Monthly mortgage rate],Table7[Monthly Exp Renewal Rate])</f>
        <v>4.9038466830562122E-3</v>
      </c>
      <c r="E132" s="21">
        <f>Table1[[#This Row],[Current mortgage rate]]*G131</f>
        <v>2217.0939691512644</v>
      </c>
      <c r="F132" s="5">
        <f>Table1[[#This Row],[Payment amount]]-Table1[[#This Row],[Interest paid]]</f>
        <v>2160.9037482622111</v>
      </c>
      <c r="G132" s="20">
        <f>G131-Table1[[#This Row],[Principal repaid]]-Table1[[#This Row],[Annual paym]]</f>
        <v>444083.96648548765</v>
      </c>
      <c r="H132" s="20">
        <f>H131-(Table1[[#This Row],[Payment amount]]-Table1[[#This Row],[Interest Paid W/O LSP]])</f>
        <v>512648.46201415441</v>
      </c>
      <c r="I132">
        <f>H131*Table1[[#This Row],[Current mortgage rate]]</f>
        <v>2523.0458595374539</v>
      </c>
      <c r="J132" s="25">
        <f>IF(Table1[[#This Row],[Month]]&gt;Table7[Amortization period (yrs)]*12,0,IF(Table1[[#This Row],[Month]]&lt;Table7[mortgage term (yrs)]*12,0,IF(Table1[[#This Row],[Month]]=Table7[mortgage term (yrs)]*12,-H$5,Table1[[#This Row],[Payment amount]]+B132)))</f>
        <v>10246.358676591175</v>
      </c>
      <c r="K132">
        <v>121</v>
      </c>
      <c r="L132">
        <f>Table7[Initial Monthly Deposit]*Table9[[#This Row],[Inflation Modifier]]</f>
        <v>487.59776799790285</v>
      </c>
      <c r="M132">
        <f xml:space="preserve"> (1+Table7[Inflation])^(QUOTIENT(Table9[[#This Row],[Month]]-1,12))</f>
        <v>1.2189944199947571</v>
      </c>
      <c r="N132">
        <f>N131*(1+Table7[Monthly SF Inter])+Table9[[#This Row],[Monthly Payment]]-O131*(1+Table7[Monthly SF Inter])</f>
        <v>487.59776799790325</v>
      </c>
      <c r="O132">
        <f>IF(MOD(Table9[[#This Row],[Month]],12)=0,(IF(Table9[[#This Row],[Current Balance]]&lt;Table9[[#This Row],[Max Lump Sum ]],Table9[[#This Row],[Current Balance]],Table9[[#This Row],[Max Lump Sum ]])),0)</f>
        <v>0</v>
      </c>
      <c r="P132" s="21">
        <f>Table7[Max annual lump sum repayment]*SUM(C133:C144)</f>
        <v>7880.3958913442566</v>
      </c>
      <c r="Q132" s="25">
        <f>Q131*(1+Table7[Monthly SF Inter])+Table9[[#This Row],[Inflation Modifier]]-R131*(1+Table7[Monthly SF Inter])</f>
        <v>1.2189944199947575</v>
      </c>
      <c r="R132" s="25">
        <f>IF(MOD(Table9[[#This Row],[Month]],12)=0,Table9[[#This Row],[Q2 ACC FACTOR]],0)</f>
        <v>0</v>
      </c>
      <c r="S132" s="25">
        <f>S131*(1+D131)+Table9[[#This Row],[ACC FACTOR PAYMENTS]]</f>
        <v>171.89774281414492</v>
      </c>
    </row>
    <row r="133" spans="1:19" x14ac:dyDescent="0.25">
      <c r="A133" s="1">
        <v>121</v>
      </c>
      <c r="B133" s="1">
        <f t="shared" si="1"/>
        <v>0</v>
      </c>
      <c r="C133" s="7">
        <f>G$12/-PV(Table7[Monthly mortgage rate], (12*Table7[Amortization period (yrs)]),1 )</f>
        <v>4377.9977174134756</v>
      </c>
      <c r="D133" s="11">
        <f>IF(Table1[[#This Row],[Month]]&lt;=(12*Table7[mortgage term (yrs)]),Table7[Monthly mortgage rate],Table7[Monthly Exp Renewal Rate])</f>
        <v>4.9038466830562122E-3</v>
      </c>
      <c r="E133" s="21">
        <f>Table1[[#This Row],[Current mortgage rate]]*G132</f>
        <v>2177.7196860483045</v>
      </c>
      <c r="F133" s="5">
        <f>Table1[[#This Row],[Payment amount]]-Table1[[#This Row],[Interest paid]]</f>
        <v>2200.278031365171</v>
      </c>
      <c r="G133" s="20">
        <f>G132-Table1[[#This Row],[Principal repaid]]-Table1[[#This Row],[Annual paym]]</f>
        <v>441883.68845412246</v>
      </c>
      <c r="H133" s="20">
        <f>H132-(Table1[[#This Row],[Payment amount]]-Table1[[#This Row],[Interest Paid W/O LSP]])</f>
        <v>510784.41375676292</v>
      </c>
      <c r="I133">
        <f>H132*Table1[[#This Row],[Current mortgage rate]]</f>
        <v>2513.9494600219796</v>
      </c>
      <c r="J133" s="25">
        <f>IF(Table1[[#This Row],[Month]]&gt;Table7[Amortization period (yrs)]*12,0,IF(Table1[[#This Row],[Month]]&lt;Table7[mortgage term (yrs)]*12,0,IF(Table1[[#This Row],[Month]]=Table7[mortgage term (yrs)]*12,-H$5,Table1[[#This Row],[Payment amount]]+B133)))</f>
        <v>4377.9977174134756</v>
      </c>
      <c r="K133">
        <v>122</v>
      </c>
      <c r="L133">
        <f>Table7[Initial Monthly Deposit]*Table9[[#This Row],[Inflation Modifier]]</f>
        <v>487.59776799790285</v>
      </c>
      <c r="M133">
        <f xml:space="preserve"> (1+Table7[Inflation])^(QUOTIENT(Table9[[#This Row],[Month]]-1,12))</f>
        <v>1.2189944199947571</v>
      </c>
      <c r="N133">
        <f>N132*(1+Table7[Monthly SF Inter])+Table9[[#This Row],[Monthly Payment]]-O132*(1+Table7[Monthly SF Inter])</f>
        <v>977.20634797202251</v>
      </c>
      <c r="O133">
        <f>IF(MOD(Table9[[#This Row],[Month]],12)=0,(IF(Table9[[#This Row],[Current Balance]]&lt;Table9[[#This Row],[Max Lump Sum ]],Table9[[#This Row],[Current Balance]],Table9[[#This Row],[Max Lump Sum ]])),0)</f>
        <v>0</v>
      </c>
      <c r="P133" s="21">
        <f>Table7[Max annual lump sum repayment]*SUM(C134:C145)</f>
        <v>7880.3958913442566</v>
      </c>
      <c r="Q133" s="25">
        <f>Q132*(1+Table7[Monthly SF Inter])+Table9[[#This Row],[Inflation Modifier]]-R132*(1+Table7[Monthly SF Inter])</f>
        <v>2.4430158699300555</v>
      </c>
      <c r="R133" s="25">
        <f>IF(MOD(Table9[[#This Row],[Month]],12)=0,Table9[[#This Row],[Q2 ACC FACTOR]],0)</f>
        <v>0</v>
      </c>
      <c r="S133" s="25">
        <f>S132*(1+D132)+Table9[[#This Row],[ACC FACTOR PAYMENTS]]</f>
        <v>172.74070299006891</v>
      </c>
    </row>
    <row r="134" spans="1:19" x14ac:dyDescent="0.25">
      <c r="A134" s="1">
        <v>122</v>
      </c>
      <c r="B134" s="1">
        <f t="shared" si="1"/>
        <v>0</v>
      </c>
      <c r="C134" s="7">
        <f>G$12/-PV(Table7[Monthly mortgage rate], (12*Table7[Amortization period (yrs)]),1 )</f>
        <v>4377.9977174134756</v>
      </c>
      <c r="D134" s="11">
        <f>IF(Table1[[#This Row],[Month]]&lt;=(12*Table7[mortgage term (yrs)]),Table7[Monthly mortgage rate],Table7[Monthly Exp Renewal Rate])</f>
        <v>4.9038466830562122E-3</v>
      </c>
      <c r="E134" s="21">
        <f>Table1[[#This Row],[Current mortgage rate]]*G133</f>
        <v>2166.929859922393</v>
      </c>
      <c r="F134" s="5">
        <f>Table1[[#This Row],[Payment amount]]-Table1[[#This Row],[Interest paid]]</f>
        <v>2211.0678574910826</v>
      </c>
      <c r="G134" s="20">
        <f>G133-Table1[[#This Row],[Principal repaid]]-Table1[[#This Row],[Annual paym]]</f>
        <v>439672.62059663137</v>
      </c>
      <c r="H134" s="20">
        <f>H133-(Table1[[#This Row],[Payment amount]]-Table1[[#This Row],[Interest Paid W/O LSP]])</f>
        <v>508911.22449250735</v>
      </c>
      <c r="I134">
        <f>H133*Table1[[#This Row],[Current mortgage rate]]</f>
        <v>2504.8084531579138</v>
      </c>
      <c r="J134" s="25">
        <f>IF(Table1[[#This Row],[Month]]&gt;Table7[Amortization period (yrs)]*12,0,IF(Table1[[#This Row],[Month]]&lt;Table7[mortgage term (yrs)]*12,0,IF(Table1[[#This Row],[Month]]=Table7[mortgage term (yrs)]*12,-H$5,Table1[[#This Row],[Payment amount]]+B134)))</f>
        <v>4377.9977174134756</v>
      </c>
      <c r="K134">
        <v>123</v>
      </c>
      <c r="L134">
        <f>Table7[Initial Monthly Deposit]*Table9[[#This Row],[Inflation Modifier]]</f>
        <v>487.59776799790285</v>
      </c>
      <c r="M134">
        <f xml:space="preserve"> (1+Table7[Inflation])^(QUOTIENT(Table9[[#This Row],[Month]]-1,12))</f>
        <v>1.2189944199947571</v>
      </c>
      <c r="N134">
        <f>N133*(1+Table7[Monthly SF Inter])+Table9[[#This Row],[Monthly Payment]]-O133*(1+Table7[Monthly SF Inter])</f>
        <v>1468.8340323409643</v>
      </c>
      <c r="O134">
        <f>IF(MOD(Table9[[#This Row],[Month]],12)=0,(IF(Table9[[#This Row],[Current Balance]]&lt;Table9[[#This Row],[Max Lump Sum ]],Table9[[#This Row],[Current Balance]],Table9[[#This Row],[Max Lump Sum ]])),0)</f>
        <v>0</v>
      </c>
      <c r="P134" s="21">
        <f>Table7[Max annual lump sum repayment]*SUM(C135:C146)</f>
        <v>7880.3958913442566</v>
      </c>
      <c r="Q134" s="25">
        <f>Q133*(1+Table7[Monthly SF Inter])+Table9[[#This Row],[Inflation Modifier]]-R133*(1+Table7[Monthly SF Inter])</f>
        <v>3.6720850808524101</v>
      </c>
      <c r="R134" s="25">
        <f>IF(MOD(Table9[[#This Row],[Month]],12)=0,Table9[[#This Row],[Q2 ACC FACTOR]],0)</f>
        <v>0</v>
      </c>
      <c r="S134" s="25">
        <f>S133*(1+D133)+Table9[[#This Row],[ACC FACTOR PAYMENTS]]</f>
        <v>173.58779691345555</v>
      </c>
    </row>
    <row r="135" spans="1:19" x14ac:dyDescent="0.25">
      <c r="A135" s="1">
        <v>123</v>
      </c>
      <c r="B135" s="1">
        <f t="shared" si="1"/>
        <v>0</v>
      </c>
      <c r="C135" s="7">
        <f>G$12/-PV(Table7[Monthly mortgage rate], (12*Table7[Amortization period (yrs)]),1 )</f>
        <v>4377.9977174134756</v>
      </c>
      <c r="D135" s="11">
        <f>IF(Table1[[#This Row],[Month]]&lt;=(12*Table7[mortgage term (yrs)]),Table7[Monthly mortgage rate],Table7[Monthly Exp Renewal Rate])</f>
        <v>4.9038466830562122E-3</v>
      </c>
      <c r="E135" s="21">
        <f>Table1[[#This Row],[Current mortgage rate]]*G134</f>
        <v>2156.0871221434231</v>
      </c>
      <c r="F135" s="5">
        <f>Table1[[#This Row],[Payment amount]]-Table1[[#This Row],[Interest paid]]</f>
        <v>2221.9105952700525</v>
      </c>
      <c r="G135" s="20">
        <f>G134-Table1[[#This Row],[Principal repaid]]-Table1[[#This Row],[Annual paym]]</f>
        <v>437450.71000136132</v>
      </c>
      <c r="H135" s="20">
        <f>H134-(Table1[[#This Row],[Payment amount]]-Table1[[#This Row],[Interest Paid W/O LSP]])</f>
        <v>507028.84939529153</v>
      </c>
      <c r="I135">
        <f>H134*Table1[[#This Row],[Current mortgage rate]]</f>
        <v>2495.6226201976574</v>
      </c>
      <c r="J135" s="25">
        <f>IF(Table1[[#This Row],[Month]]&gt;Table7[Amortization period (yrs)]*12,0,IF(Table1[[#This Row],[Month]]&lt;Table7[mortgage term (yrs)]*12,0,IF(Table1[[#This Row],[Month]]=Table7[mortgage term (yrs)]*12,-H$5,Table1[[#This Row],[Payment amount]]+B135)))</f>
        <v>4377.9977174134756</v>
      </c>
      <c r="K135">
        <v>124</v>
      </c>
      <c r="L135">
        <f>Table7[Initial Monthly Deposit]*Table9[[#This Row],[Inflation Modifier]]</f>
        <v>487.59776799790285</v>
      </c>
      <c r="M135">
        <f xml:space="preserve"> (1+Table7[Inflation])^(QUOTIENT(Table9[[#This Row],[Month]]-1,12))</f>
        <v>1.2189944199947571</v>
      </c>
      <c r="N135">
        <f>N134*(1+Table7[Monthly SF Inter])+Table9[[#This Row],[Monthly Payment]]-O134*(1+Table7[Monthly SF Inter])</f>
        <v>1962.4891477205681</v>
      </c>
      <c r="O135">
        <f>IF(MOD(Table9[[#This Row],[Month]],12)=0,(IF(Table9[[#This Row],[Current Balance]]&lt;Table9[[#This Row],[Max Lump Sum ]],Table9[[#This Row],[Current Balance]],Table9[[#This Row],[Max Lump Sum ]])),0)</f>
        <v>0</v>
      </c>
      <c r="P135" s="21">
        <f>Table7[Max annual lump sum repayment]*SUM(C136:C147)</f>
        <v>7880.3958913442566</v>
      </c>
      <c r="Q135" s="25">
        <f>Q134*(1+Table7[Monthly SF Inter])+Table9[[#This Row],[Inflation Modifier]]-R134*(1+Table7[Monthly SF Inter])</f>
        <v>4.9062228693014198</v>
      </c>
      <c r="R135" s="25">
        <f>IF(MOD(Table9[[#This Row],[Month]],12)=0,Table9[[#This Row],[Q2 ACC FACTOR]],0)</f>
        <v>0</v>
      </c>
      <c r="S135" s="25">
        <f>S134*(1+D134)+Table9[[#This Row],[ACC FACTOR PAYMENTS]]</f>
        <v>174.43904485556862</v>
      </c>
    </row>
    <row r="136" spans="1:19" x14ac:dyDescent="0.25">
      <c r="A136" s="1">
        <v>124</v>
      </c>
      <c r="B136" s="1">
        <f t="shared" si="1"/>
        <v>0</v>
      </c>
      <c r="C136" s="7">
        <f>G$12/-PV(Table7[Monthly mortgage rate], (12*Table7[Amortization period (yrs)]),1 )</f>
        <v>4377.9977174134756</v>
      </c>
      <c r="D136" s="11">
        <f>IF(Table1[[#This Row],[Month]]&lt;=(12*Table7[mortgage term (yrs)]),Table7[Monthly mortgage rate],Table7[Monthly Exp Renewal Rate])</f>
        <v>4.9038466830562122E-3</v>
      </c>
      <c r="E136" s="21">
        <f>Table1[[#This Row],[Current mortgage rate]]*G135</f>
        <v>2145.1912132407606</v>
      </c>
      <c r="F136" s="5">
        <f>Table1[[#This Row],[Payment amount]]-Table1[[#This Row],[Interest paid]]</f>
        <v>2232.806504172715</v>
      </c>
      <c r="G136" s="20">
        <f>G135-Table1[[#This Row],[Principal repaid]]-Table1[[#This Row],[Annual paym]]</f>
        <v>435217.90349718858</v>
      </c>
      <c r="H136" s="20">
        <f>H135-(Table1[[#This Row],[Payment amount]]-Table1[[#This Row],[Interest Paid W/O LSP]])</f>
        <v>505137.24341919896</v>
      </c>
      <c r="I136">
        <f>H135*Table1[[#This Row],[Current mortgage rate]]</f>
        <v>2486.3917413209083</v>
      </c>
      <c r="J136" s="25">
        <f>IF(Table1[[#This Row],[Month]]&gt;Table7[Amortization period (yrs)]*12,0,IF(Table1[[#This Row],[Month]]&lt;Table7[mortgage term (yrs)]*12,0,IF(Table1[[#This Row],[Month]]=Table7[mortgage term (yrs)]*12,-H$5,Table1[[#This Row],[Payment amount]]+B136)))</f>
        <v>4377.9977174134756</v>
      </c>
      <c r="K136">
        <v>125</v>
      </c>
      <c r="L136">
        <f>Table7[Initial Monthly Deposit]*Table9[[#This Row],[Inflation Modifier]]</f>
        <v>487.59776799790285</v>
      </c>
      <c r="M136">
        <f xml:space="preserve"> (1+Table7[Inflation])^(QUOTIENT(Table9[[#This Row],[Month]]-1,12))</f>
        <v>1.2189944199947571</v>
      </c>
      <c r="N136">
        <f>N135*(1+Table7[Monthly SF Inter])+Table9[[#This Row],[Monthly Payment]]-O135*(1+Table7[Monthly SF Inter])</f>
        <v>2458.1800550649336</v>
      </c>
      <c r="O136">
        <f>IF(MOD(Table9[[#This Row],[Month]],12)=0,(IF(Table9[[#This Row],[Current Balance]]&lt;Table9[[#This Row],[Max Lump Sum ]],Table9[[#This Row],[Current Balance]],Table9[[#This Row],[Max Lump Sum ]])),0)</f>
        <v>0</v>
      </c>
      <c r="P136" s="21">
        <f>Table7[Max annual lump sum repayment]*SUM(C137:C148)</f>
        <v>7880.3958913442566</v>
      </c>
      <c r="Q136" s="25">
        <f>Q135*(1+Table7[Monthly SF Inter])+Table9[[#This Row],[Inflation Modifier]]-R135*(1+Table7[Monthly SF Inter])</f>
        <v>6.1454501376623334</v>
      </c>
      <c r="R136" s="25">
        <f>IF(MOD(Table9[[#This Row],[Month]],12)=0,Table9[[#This Row],[Q2 ACC FACTOR]],0)</f>
        <v>0</v>
      </c>
      <c r="S136" s="25">
        <f>S135*(1+D135)+Table9[[#This Row],[ACC FACTOR PAYMENTS]]</f>
        <v>175.29446718707911</v>
      </c>
    </row>
    <row r="137" spans="1:19" x14ac:dyDescent="0.25">
      <c r="A137" s="1">
        <v>125</v>
      </c>
      <c r="B137" s="1">
        <f t="shared" si="1"/>
        <v>0</v>
      </c>
      <c r="C137" s="7">
        <f>G$12/-PV(Table7[Monthly mortgage rate], (12*Table7[Amortization period (yrs)]),1 )</f>
        <v>4377.9977174134756</v>
      </c>
      <c r="D137" s="11">
        <f>IF(Table1[[#This Row],[Month]]&lt;=(12*Table7[mortgage term (yrs)]),Table7[Monthly mortgage rate],Table7[Monthly Exp Renewal Rate])</f>
        <v>4.9038466830562122E-3</v>
      </c>
      <c r="E137" s="21">
        <f>Table1[[#This Row],[Current mortgage rate]]*G136</f>
        <v>2134.2418724713671</v>
      </c>
      <c r="F137" s="5">
        <f>Table1[[#This Row],[Payment amount]]-Table1[[#This Row],[Interest paid]]</f>
        <v>2243.7558449421085</v>
      </c>
      <c r="G137" s="20">
        <f>G136-Table1[[#This Row],[Principal repaid]]-Table1[[#This Row],[Annual paym]]</f>
        <v>432974.14765224647</v>
      </c>
      <c r="H137" s="20">
        <f>H136-(Table1[[#This Row],[Payment amount]]-Table1[[#This Row],[Interest Paid W/O LSP]])</f>
        <v>503236.36129741487</v>
      </c>
      <c r="I137">
        <f>H136*Table1[[#This Row],[Current mortgage rate]]</f>
        <v>2477.1155956293974</v>
      </c>
      <c r="J137" s="25">
        <f>IF(Table1[[#This Row],[Month]]&gt;Table7[Amortization period (yrs)]*12,0,IF(Table1[[#This Row],[Month]]&lt;Table7[mortgage term (yrs)]*12,0,IF(Table1[[#This Row],[Month]]=Table7[mortgage term (yrs)]*12,-H$5,Table1[[#This Row],[Payment amount]]+B137)))</f>
        <v>4377.9977174134756</v>
      </c>
      <c r="K137">
        <v>126</v>
      </c>
      <c r="L137">
        <f>Table7[Initial Monthly Deposit]*Table9[[#This Row],[Inflation Modifier]]</f>
        <v>487.59776799790285</v>
      </c>
      <c r="M137">
        <f xml:space="preserve"> (1+Table7[Inflation])^(QUOTIENT(Table9[[#This Row],[Month]]-1,12))</f>
        <v>1.2189944199947571</v>
      </c>
      <c r="N137">
        <f>N136*(1+Table7[Monthly SF Inter])+Table9[[#This Row],[Monthly Payment]]-O136*(1+Table7[Monthly SF Inter])</f>
        <v>2955.9151498080278</v>
      </c>
      <c r="O137">
        <f>IF(MOD(Table9[[#This Row],[Month]],12)=0,(IF(Table9[[#This Row],[Current Balance]]&lt;Table9[[#This Row],[Max Lump Sum ]],Table9[[#This Row],[Current Balance]],Table9[[#This Row],[Max Lump Sum ]])),0)</f>
        <v>0</v>
      </c>
      <c r="P137" s="21">
        <f>Table7[Max annual lump sum repayment]*SUM(C138:C149)</f>
        <v>7880.3958913442566</v>
      </c>
      <c r="Q137" s="25">
        <f>Q136*(1+Table7[Monthly SF Inter])+Table9[[#This Row],[Inflation Modifier]]-R136*(1+Table7[Monthly SF Inter])</f>
        <v>7.3897878745200689</v>
      </c>
      <c r="R137" s="25">
        <f>IF(MOD(Table9[[#This Row],[Month]],12)=0,Table9[[#This Row],[Q2 ACC FACTOR]],0)</f>
        <v>0</v>
      </c>
      <c r="S137" s="25">
        <f>S136*(1+D136)+Table9[[#This Row],[ACC FACTOR PAYMENTS]]</f>
        <v>176.15408437855257</v>
      </c>
    </row>
    <row r="138" spans="1:19" x14ac:dyDescent="0.25">
      <c r="A138" s="1">
        <v>126</v>
      </c>
      <c r="B138" s="1">
        <f t="shared" si="1"/>
        <v>0</v>
      </c>
      <c r="C138" s="7">
        <f>G$12/-PV(Table7[Monthly mortgage rate], (12*Table7[Amortization period (yrs)]),1 )</f>
        <v>4377.9977174134756</v>
      </c>
      <c r="D138" s="11">
        <f>IF(Table1[[#This Row],[Month]]&lt;=(12*Table7[mortgage term (yrs)]),Table7[Monthly mortgage rate],Table7[Monthly Exp Renewal Rate])</f>
        <v>4.9038466830562122E-3</v>
      </c>
      <c r="E138" s="21">
        <f>Table1[[#This Row],[Current mortgage rate]]*G137</f>
        <v>2123.2388378135597</v>
      </c>
      <c r="F138" s="5">
        <f>Table1[[#This Row],[Payment amount]]-Table1[[#This Row],[Interest paid]]</f>
        <v>2254.7588795999159</v>
      </c>
      <c r="G138" s="20">
        <f>G137-Table1[[#This Row],[Principal repaid]]-Table1[[#This Row],[Annual paym]]</f>
        <v>430719.38877264655</v>
      </c>
      <c r="H138" s="20">
        <f>H137-(Table1[[#This Row],[Payment amount]]-Table1[[#This Row],[Interest Paid W/O LSP]])</f>
        <v>501326.15754114301</v>
      </c>
      <c r="I138">
        <f>H137*Table1[[#This Row],[Current mortgage rate]]</f>
        <v>2467.7939611416055</v>
      </c>
      <c r="J138" s="25">
        <f>IF(Table1[[#This Row],[Month]]&gt;Table7[Amortization period (yrs)]*12,0,IF(Table1[[#This Row],[Month]]&lt;Table7[mortgage term (yrs)]*12,0,IF(Table1[[#This Row],[Month]]=Table7[mortgage term (yrs)]*12,-H$5,Table1[[#This Row],[Payment amount]]+B138)))</f>
        <v>4377.9977174134756</v>
      </c>
      <c r="K138">
        <v>127</v>
      </c>
      <c r="L138">
        <f>Table7[Initial Monthly Deposit]*Table9[[#This Row],[Inflation Modifier]]</f>
        <v>487.59776799790285</v>
      </c>
      <c r="M138">
        <f xml:space="preserve"> (1+Table7[Inflation])^(QUOTIENT(Table9[[#This Row],[Month]]-1,12))</f>
        <v>1.2189944199947571</v>
      </c>
      <c r="N138">
        <f>N137*(1+Table7[Monthly SF Inter])+Table9[[#This Row],[Monthly Payment]]-O137*(1+Table7[Monthly SF Inter])</f>
        <v>3455.7028620058782</v>
      </c>
      <c r="O138">
        <f>IF(MOD(Table9[[#This Row],[Month]],12)=0,(IF(Table9[[#This Row],[Current Balance]]&lt;Table9[[#This Row],[Max Lump Sum ]],Table9[[#This Row],[Current Balance]],Table9[[#This Row],[Max Lump Sum ]])),0)</f>
        <v>0</v>
      </c>
      <c r="P138" s="21">
        <f>Table7[Max annual lump sum repayment]*SUM(C139:C150)</f>
        <v>7880.3958913442566</v>
      </c>
      <c r="Q138" s="25">
        <f>Q137*(1+Table7[Monthly SF Inter])+Table9[[#This Row],[Inflation Modifier]]-R137*(1+Table7[Monthly SF Inter])</f>
        <v>8.639257155014695</v>
      </c>
      <c r="R138" s="25">
        <f>IF(MOD(Table9[[#This Row],[Month]],12)=0,Table9[[#This Row],[Q2 ACC FACTOR]],0)</f>
        <v>0</v>
      </c>
      <c r="S138" s="25">
        <f>S137*(1+D137)+Table9[[#This Row],[ACC FACTOR PAYMENTS]]</f>
        <v>177.01791700093915</v>
      </c>
    </row>
    <row r="139" spans="1:19" x14ac:dyDescent="0.25">
      <c r="A139" s="1">
        <v>127</v>
      </c>
      <c r="B139" s="1">
        <f t="shared" si="1"/>
        <v>0</v>
      </c>
      <c r="C139" s="7">
        <f>G$12/-PV(Table7[Monthly mortgage rate], (12*Table7[Amortization period (yrs)]),1 )</f>
        <v>4377.9977174134756</v>
      </c>
      <c r="D139" s="11">
        <f>IF(Table1[[#This Row],[Month]]&lt;=(12*Table7[mortgage term (yrs)]),Table7[Monthly mortgage rate],Table7[Monthly Exp Renewal Rate])</f>
        <v>4.9038466830562122E-3</v>
      </c>
      <c r="E139" s="21">
        <f>Table1[[#This Row],[Current mortgage rate]]*G138</f>
        <v>2112.1818459607421</v>
      </c>
      <c r="F139" s="5">
        <f>Table1[[#This Row],[Payment amount]]-Table1[[#This Row],[Interest paid]]</f>
        <v>2265.8158714527335</v>
      </c>
      <c r="G139" s="20">
        <f>G138-Table1[[#This Row],[Principal repaid]]-Table1[[#This Row],[Annual paym]]</f>
        <v>428453.57290119381</v>
      </c>
      <c r="H139" s="20">
        <f>H138-(Table1[[#This Row],[Payment amount]]-Table1[[#This Row],[Interest Paid W/O LSP]])</f>
        <v>499406.58643851697</v>
      </c>
      <c r="I139">
        <f>H138*Table1[[#This Row],[Current mortgage rate]]</f>
        <v>2458.42661478745</v>
      </c>
      <c r="J139" s="25">
        <f>IF(Table1[[#This Row],[Month]]&gt;Table7[Amortization period (yrs)]*12,0,IF(Table1[[#This Row],[Month]]&lt;Table7[mortgage term (yrs)]*12,0,IF(Table1[[#This Row],[Month]]=Table7[mortgage term (yrs)]*12,-H$5,Table1[[#This Row],[Payment amount]]+B139)))</f>
        <v>4377.9977174134756</v>
      </c>
      <c r="K139">
        <v>128</v>
      </c>
      <c r="L139">
        <f>Table7[Initial Monthly Deposit]*Table9[[#This Row],[Inflation Modifier]]</f>
        <v>487.59776799790285</v>
      </c>
      <c r="M139">
        <f xml:space="preserve"> (1+Table7[Inflation])^(QUOTIENT(Table9[[#This Row],[Month]]-1,12))</f>
        <v>1.2189944199947571</v>
      </c>
      <c r="N139">
        <f>N138*(1+Table7[Monthly SF Inter])+Table9[[#This Row],[Monthly Payment]]-O138*(1+Table7[Monthly SF Inter])</f>
        <v>3957.5516564793502</v>
      </c>
      <c r="O139">
        <f>IF(MOD(Table9[[#This Row],[Month]],12)=0,(IF(Table9[[#This Row],[Current Balance]]&lt;Table9[[#This Row],[Max Lump Sum ]],Table9[[#This Row],[Current Balance]],Table9[[#This Row],[Max Lump Sum ]])),0)</f>
        <v>0</v>
      </c>
      <c r="P139" s="21">
        <f>Table7[Max annual lump sum repayment]*SUM(C140:C151)</f>
        <v>7880.3958913442566</v>
      </c>
      <c r="Q139" s="25">
        <f>Q138*(1+Table7[Monthly SF Inter])+Table9[[#This Row],[Inflation Modifier]]-R138*(1+Table7[Monthly SF Inter])</f>
        <v>9.8938791411983757</v>
      </c>
      <c r="R139" s="25">
        <f>IF(MOD(Table9[[#This Row],[Month]],12)=0,Table9[[#This Row],[Q2 ACC FACTOR]],0)</f>
        <v>0</v>
      </c>
      <c r="S139" s="25">
        <f>S138*(1+D138)+Table9[[#This Row],[ACC FACTOR PAYMENTS]]</f>
        <v>177.88598572606571</v>
      </c>
    </row>
    <row r="140" spans="1:19" x14ac:dyDescent="0.25">
      <c r="A140" s="1">
        <v>128</v>
      </c>
      <c r="B140" s="1">
        <f t="shared" si="1"/>
        <v>0</v>
      </c>
      <c r="C140" s="7">
        <f>G$12/-PV(Table7[Monthly mortgage rate], (12*Table7[Amortization period (yrs)]),1 )</f>
        <v>4377.9977174134756</v>
      </c>
      <c r="D140" s="11">
        <f>IF(Table1[[#This Row],[Month]]&lt;=(12*Table7[mortgage term (yrs)]),Table7[Monthly mortgage rate],Table7[Monthly Exp Renewal Rate])</f>
        <v>4.9038466830562122E-3</v>
      </c>
      <c r="E140" s="21">
        <f>Table1[[#This Row],[Current mortgage rate]]*G139</f>
        <v>2101.0706323151021</v>
      </c>
      <c r="F140" s="5">
        <f>Table1[[#This Row],[Payment amount]]-Table1[[#This Row],[Interest paid]]</f>
        <v>2276.9270850983735</v>
      </c>
      <c r="G140" s="20">
        <f>G139-Table1[[#This Row],[Principal repaid]]-Table1[[#This Row],[Annual paym]]</f>
        <v>426176.64581609546</v>
      </c>
      <c r="H140" s="20">
        <f>H139-(Table1[[#This Row],[Payment amount]]-Table1[[#This Row],[Interest Paid W/O LSP]])</f>
        <v>497477.60205350642</v>
      </c>
      <c r="I140">
        <f>H139*Table1[[#This Row],[Current mortgage rate]]</f>
        <v>2449.0133324029471</v>
      </c>
      <c r="J140" s="25">
        <f>IF(Table1[[#This Row],[Month]]&gt;Table7[Amortization period (yrs)]*12,0,IF(Table1[[#This Row],[Month]]&lt;Table7[mortgage term (yrs)]*12,0,IF(Table1[[#This Row],[Month]]=Table7[mortgage term (yrs)]*12,-H$5,Table1[[#This Row],[Payment amount]]+B140)))</f>
        <v>4377.9977174134756</v>
      </c>
      <c r="K140">
        <v>129</v>
      </c>
      <c r="L140">
        <f>Table7[Initial Monthly Deposit]*Table9[[#This Row],[Inflation Modifier]]</f>
        <v>487.59776799790285</v>
      </c>
      <c r="M140">
        <f xml:space="preserve"> (1+Table7[Inflation])^(QUOTIENT(Table9[[#This Row],[Month]]-1,12))</f>
        <v>1.2189944199947571</v>
      </c>
      <c r="N140">
        <f>N139*(1+Table7[Monthly SF Inter])+Table9[[#This Row],[Monthly Payment]]-O139*(1+Table7[Monthly SF Inter])</f>
        <v>4461.4700329575153</v>
      </c>
      <c r="O140">
        <f>IF(MOD(Table9[[#This Row],[Month]],12)=0,(IF(Table9[[#This Row],[Current Balance]]&lt;Table9[[#This Row],[Max Lump Sum ]],Table9[[#This Row],[Current Balance]],Table9[[#This Row],[Max Lump Sum ]])),0)</f>
        <v>0</v>
      </c>
      <c r="P140" s="21">
        <f>Table7[Max annual lump sum repayment]*SUM(C141:C152)</f>
        <v>7880.3958913442566</v>
      </c>
      <c r="Q140" s="25">
        <f>Q139*(1+Table7[Monthly SF Inter])+Table9[[#This Row],[Inflation Modifier]]-R139*(1+Table7[Monthly SF Inter])</f>
        <v>11.153675082393789</v>
      </c>
      <c r="R140" s="25">
        <f>IF(MOD(Table9[[#This Row],[Month]],12)=0,Table9[[#This Row],[Q2 ACC FACTOR]],0)</f>
        <v>0</v>
      </c>
      <c r="S140" s="25">
        <f>S139*(1+D139)+Table9[[#This Row],[ACC FACTOR PAYMENTS]]</f>
        <v>178.75831132713066</v>
      </c>
    </row>
    <row r="141" spans="1:19" x14ac:dyDescent="0.25">
      <c r="A141" s="1">
        <v>129</v>
      </c>
      <c r="B141" s="1">
        <f t="shared" ref="B141:B204" si="2">O140</f>
        <v>0</v>
      </c>
      <c r="C141" s="7">
        <f>G$12/-PV(Table7[Monthly mortgage rate], (12*Table7[Amortization period (yrs)]),1 )</f>
        <v>4377.9977174134756</v>
      </c>
      <c r="D141" s="11">
        <f>IF(Table1[[#This Row],[Month]]&lt;=(12*Table7[mortgage term (yrs)]),Table7[Monthly mortgage rate],Table7[Monthly Exp Renewal Rate])</f>
        <v>4.9038466830562122E-3</v>
      </c>
      <c r="E141" s="21">
        <f>Table1[[#This Row],[Current mortgage rate]]*G140</f>
        <v>2089.9049309812817</v>
      </c>
      <c r="F141" s="5">
        <f>Table1[[#This Row],[Payment amount]]-Table1[[#This Row],[Interest paid]]</f>
        <v>2288.0927864321939</v>
      </c>
      <c r="G141" s="20">
        <f>G140-Table1[[#This Row],[Principal repaid]]-Table1[[#This Row],[Annual paym]]</f>
        <v>423888.55302966328</v>
      </c>
      <c r="H141" s="20">
        <f>H140-(Table1[[#This Row],[Payment amount]]-Table1[[#This Row],[Interest Paid W/O LSP]])</f>
        <v>495539.15822481777</v>
      </c>
      <c r="I141">
        <f>H140*Table1[[#This Row],[Current mortgage rate]]</f>
        <v>2439.5538887248458</v>
      </c>
      <c r="J141" s="25">
        <f>IF(Table1[[#This Row],[Month]]&gt;Table7[Amortization period (yrs)]*12,0,IF(Table1[[#This Row],[Month]]&lt;Table7[mortgage term (yrs)]*12,0,IF(Table1[[#This Row],[Month]]=Table7[mortgage term (yrs)]*12,-H$5,Table1[[#This Row],[Payment amount]]+B141)))</f>
        <v>4377.9977174134756</v>
      </c>
      <c r="K141">
        <v>130</v>
      </c>
      <c r="L141">
        <f>Table7[Initial Monthly Deposit]*Table9[[#This Row],[Inflation Modifier]]</f>
        <v>487.59776799790285</v>
      </c>
      <c r="M141">
        <f xml:space="preserve"> (1+Table7[Inflation])^(QUOTIENT(Table9[[#This Row],[Month]]-1,12))</f>
        <v>1.2189944199947571</v>
      </c>
      <c r="N141">
        <f>N140*(1+Table7[Monthly SF Inter])+Table9[[#This Row],[Monthly Payment]]-O140*(1+Table7[Monthly SF Inter])</f>
        <v>4967.4665262216095</v>
      </c>
      <c r="O141">
        <f>IF(MOD(Table9[[#This Row],[Month]],12)=0,(IF(Table9[[#This Row],[Current Balance]]&lt;Table9[[#This Row],[Max Lump Sum ]],Table9[[#This Row],[Current Balance]],Table9[[#This Row],[Max Lump Sum ]])),0)</f>
        <v>0</v>
      </c>
      <c r="P141" s="21">
        <f>Table7[Max annual lump sum repayment]*SUM(C142:C153)</f>
        <v>7880.3958913442566</v>
      </c>
      <c r="Q141" s="25">
        <f>Q140*(1+Table7[Monthly SF Inter])+Table9[[#This Row],[Inflation Modifier]]-R140*(1+Table7[Monthly SF Inter])</f>
        <v>12.418666315554024</v>
      </c>
      <c r="R141" s="25">
        <f>IF(MOD(Table9[[#This Row],[Month]],12)=0,Table9[[#This Row],[Q2 ACC FACTOR]],0)</f>
        <v>0</v>
      </c>
      <c r="S141" s="25">
        <f>S140*(1+D140)+Table9[[#This Row],[ACC FACTOR PAYMENTS]]</f>
        <v>179.63491467920093</v>
      </c>
    </row>
    <row r="142" spans="1:19" x14ac:dyDescent="0.25">
      <c r="A142" s="1">
        <v>130</v>
      </c>
      <c r="B142" s="1">
        <f t="shared" si="2"/>
        <v>0</v>
      </c>
      <c r="C142" s="7">
        <f>G$12/-PV(Table7[Monthly mortgage rate], (12*Table7[Amortization period (yrs)]),1 )</f>
        <v>4377.9977174134756</v>
      </c>
      <c r="D142" s="11">
        <f>IF(Table1[[#This Row],[Month]]&lt;=(12*Table7[mortgage term (yrs)]),Table7[Monthly mortgage rate],Table7[Monthly Exp Renewal Rate])</f>
        <v>4.9038466830562122E-3</v>
      </c>
      <c r="E142" s="21">
        <f>Table1[[#This Row],[Current mortgage rate]]*G141</f>
        <v>2078.6844747600117</v>
      </c>
      <c r="F142" s="5">
        <f>Table1[[#This Row],[Payment amount]]-Table1[[#This Row],[Interest paid]]</f>
        <v>2299.3132426534639</v>
      </c>
      <c r="G142" s="20">
        <f>G141-Table1[[#This Row],[Principal repaid]]-Table1[[#This Row],[Annual paym]]</f>
        <v>421589.23978700984</v>
      </c>
      <c r="H142" s="20">
        <f>H141-(Table1[[#This Row],[Payment amount]]-Table1[[#This Row],[Interest Paid W/O LSP]])</f>
        <v>493591.20856478956</v>
      </c>
      <c r="I142">
        <f>H141*Table1[[#This Row],[Current mortgage rate]]</f>
        <v>2430.0480573852401</v>
      </c>
      <c r="J142" s="25">
        <f>IF(Table1[[#This Row],[Month]]&gt;Table7[Amortization period (yrs)]*12,0,IF(Table1[[#This Row],[Month]]&lt;Table7[mortgage term (yrs)]*12,0,IF(Table1[[#This Row],[Month]]=Table7[mortgage term (yrs)]*12,-H$5,Table1[[#This Row],[Payment amount]]+B142)))</f>
        <v>4377.9977174134756</v>
      </c>
      <c r="K142">
        <v>131</v>
      </c>
      <c r="L142">
        <f>Table7[Initial Monthly Deposit]*Table9[[#This Row],[Inflation Modifier]]</f>
        <v>487.59776799790285</v>
      </c>
      <c r="M142">
        <f xml:space="preserve"> (1+Table7[Inflation])^(QUOTIENT(Table9[[#This Row],[Month]]-1,12))</f>
        <v>1.2189944199947571</v>
      </c>
      <c r="N142">
        <f>N141*(1+Table7[Monthly SF Inter])+Table9[[#This Row],[Monthly Payment]]-O141*(1+Table7[Monthly SF Inter])</f>
        <v>5475.5497062495842</v>
      </c>
      <c r="O142">
        <f>IF(MOD(Table9[[#This Row],[Month]],12)=0,(IF(Table9[[#This Row],[Current Balance]]&lt;Table9[[#This Row],[Max Lump Sum ]],Table9[[#This Row],[Current Balance]],Table9[[#This Row],[Max Lump Sum ]])),0)</f>
        <v>0</v>
      </c>
      <c r="P142" s="21">
        <f>Table7[Max annual lump sum repayment]*SUM(C143:C154)</f>
        <v>7880.3958913442566</v>
      </c>
      <c r="Q142" s="25">
        <f>Q141*(1+Table7[Monthly SF Inter])+Table9[[#This Row],[Inflation Modifier]]-R141*(1+Table7[Monthly SF Inter])</f>
        <v>13.68887426562396</v>
      </c>
      <c r="R142" s="25">
        <f>IF(MOD(Table9[[#This Row],[Month]],12)=0,Table9[[#This Row],[Q2 ACC FACTOR]],0)</f>
        <v>0</v>
      </c>
      <c r="S142" s="25">
        <f>S141*(1+D141)+Table9[[#This Row],[ACC FACTOR PAYMENTS]]</f>
        <v>180.51581675971161</v>
      </c>
    </row>
    <row r="143" spans="1:19" x14ac:dyDescent="0.25">
      <c r="A143" s="1">
        <v>131</v>
      </c>
      <c r="B143" s="1">
        <f t="shared" si="2"/>
        <v>0</v>
      </c>
      <c r="C143" s="7">
        <f>G$12/-PV(Table7[Monthly mortgage rate], (12*Table7[Amortization period (yrs)]),1 )</f>
        <v>4377.9977174134756</v>
      </c>
      <c r="D143" s="11">
        <f>IF(Table1[[#This Row],[Month]]&lt;=(12*Table7[mortgage term (yrs)]),Table7[Monthly mortgage rate],Table7[Monthly Exp Renewal Rate])</f>
        <v>4.9038466830562122E-3</v>
      </c>
      <c r="E143" s="21">
        <f>Table1[[#This Row],[Current mortgage rate]]*G142</f>
        <v>2067.4089951417182</v>
      </c>
      <c r="F143" s="5">
        <f>Table1[[#This Row],[Payment amount]]-Table1[[#This Row],[Interest paid]]</f>
        <v>2310.5887222717574</v>
      </c>
      <c r="G143" s="20">
        <f>G142-Table1[[#This Row],[Principal repaid]]-Table1[[#This Row],[Annual paym]]</f>
        <v>419278.65106473805</v>
      </c>
      <c r="H143" s="20">
        <f>H142-(Table1[[#This Row],[Payment amount]]-Table1[[#This Row],[Interest Paid W/O LSP]])</f>
        <v>491633.70645828225</v>
      </c>
      <c r="I143">
        <f>H142*Table1[[#This Row],[Current mortgage rate]]</f>
        <v>2420.4956109061504</v>
      </c>
      <c r="J143" s="25">
        <f>IF(Table1[[#This Row],[Month]]&gt;Table7[Amortization period (yrs)]*12,0,IF(Table1[[#This Row],[Month]]&lt;Table7[mortgage term (yrs)]*12,0,IF(Table1[[#This Row],[Month]]=Table7[mortgage term (yrs)]*12,-H$5,Table1[[#This Row],[Payment amount]]+B143)))</f>
        <v>4377.9977174134756</v>
      </c>
      <c r="K143">
        <v>132</v>
      </c>
      <c r="L143">
        <f>Table7[Initial Monthly Deposit]*Table9[[#This Row],[Inflation Modifier]]</f>
        <v>487.59776799790285</v>
      </c>
      <c r="M143">
        <f xml:space="preserve"> (1+Table7[Inflation])^(QUOTIENT(Table9[[#This Row],[Month]]-1,12))</f>
        <v>1.2189944199947571</v>
      </c>
      <c r="N143">
        <f>N142*(1+Table7[Monthly SF Inter])+Table9[[#This Row],[Monthly Payment]]-O142*(1+Table7[Monthly SF Inter])</f>
        <v>5985.7281783612561</v>
      </c>
      <c r="O143">
        <f>IF(MOD(Table9[[#This Row],[Month]],12)=0,(IF(Table9[[#This Row],[Current Balance]]&lt;Table9[[#This Row],[Max Lump Sum ]],Table9[[#This Row],[Current Balance]],Table9[[#This Row],[Max Lump Sum ]])),0)</f>
        <v>5985.7281783612561</v>
      </c>
      <c r="P143" s="21">
        <f>Table7[Max annual lump sum repayment]*SUM(C144:C155)</f>
        <v>7880.3958913442566</v>
      </c>
      <c r="Q143" s="25">
        <f>Q142*(1+Table7[Monthly SF Inter])+Table9[[#This Row],[Inflation Modifier]]-R142*(1+Table7[Monthly SF Inter])</f>
        <v>14.964320445903139</v>
      </c>
      <c r="R143" s="25">
        <f>IF(MOD(Table9[[#This Row],[Month]],12)=0,Table9[[#This Row],[Q2 ACC FACTOR]],0)</f>
        <v>14.964320445903139</v>
      </c>
      <c r="S143" s="25">
        <f>S142*(1+D142)+Table9[[#This Row],[ACC FACTOR PAYMENTS]]</f>
        <v>196.36535909487102</v>
      </c>
    </row>
    <row r="144" spans="1:19" x14ac:dyDescent="0.25">
      <c r="A144" s="1">
        <v>132</v>
      </c>
      <c r="B144" s="1">
        <f t="shared" si="2"/>
        <v>5985.7281783612561</v>
      </c>
      <c r="C144" s="7">
        <f>G$12/-PV(Table7[Monthly mortgage rate], (12*Table7[Amortization period (yrs)]),1 )</f>
        <v>4377.9977174134756</v>
      </c>
      <c r="D144" s="11">
        <f>IF(Table1[[#This Row],[Month]]&lt;=(12*Table7[mortgage term (yrs)]),Table7[Monthly mortgage rate],Table7[Monthly Exp Renewal Rate])</f>
        <v>4.9038466830562122E-3</v>
      </c>
      <c r="E144" s="21">
        <f>Table1[[#This Row],[Current mortgage rate]]*G143</f>
        <v>2056.0782223000988</v>
      </c>
      <c r="F144" s="5">
        <f>Table1[[#This Row],[Payment amount]]-Table1[[#This Row],[Interest paid]]</f>
        <v>2321.9194951133768</v>
      </c>
      <c r="G144" s="20">
        <f>G143-Table1[[#This Row],[Principal repaid]]-Table1[[#This Row],[Annual paym]]</f>
        <v>410971.00339126342</v>
      </c>
      <c r="H144" s="20">
        <f>H143-(Table1[[#This Row],[Payment amount]]-Table1[[#This Row],[Interest Paid W/O LSP]])</f>
        <v>489666.60506156285</v>
      </c>
      <c r="I144">
        <f>H143*Table1[[#This Row],[Current mortgage rate]]</f>
        <v>2410.8963206940789</v>
      </c>
      <c r="J144" s="25">
        <f>IF(Table1[[#This Row],[Month]]&gt;Table7[Amortization period (yrs)]*12,0,IF(Table1[[#This Row],[Month]]&lt;Table7[mortgage term (yrs)]*12,0,IF(Table1[[#This Row],[Month]]=Table7[mortgage term (yrs)]*12,-H$5,Table1[[#This Row],[Payment amount]]+B144)))</f>
        <v>10363.725895774733</v>
      </c>
      <c r="K144">
        <v>133</v>
      </c>
      <c r="L144">
        <f>Table7[Initial Monthly Deposit]*Table9[[#This Row],[Inflation Modifier]]</f>
        <v>497.3497233578608</v>
      </c>
      <c r="M144">
        <f xml:space="preserve"> (1+Table7[Inflation])^(QUOTIENT(Table9[[#This Row],[Month]]-1,12))</f>
        <v>1.243374308394652</v>
      </c>
      <c r="N144">
        <f>N143*(1+Table7[Monthly SF Inter])+Table9[[#This Row],[Monthly Payment]]-O143*(1+Table7[Monthly SF Inter])</f>
        <v>497.34972335786097</v>
      </c>
      <c r="O144">
        <f>IF(MOD(Table9[[#This Row],[Month]],12)=0,(IF(Table9[[#This Row],[Current Balance]]&lt;Table9[[#This Row],[Max Lump Sum ]],Table9[[#This Row],[Current Balance]],Table9[[#This Row],[Max Lump Sum ]])),0)</f>
        <v>0</v>
      </c>
      <c r="P144" s="21">
        <f>Table7[Max annual lump sum repayment]*SUM(C145:C156)</f>
        <v>7880.3958913442566</v>
      </c>
      <c r="Q144" s="25">
        <f>Q143*(1+Table7[Monthly SF Inter])+Table9[[#This Row],[Inflation Modifier]]-R143*(1+Table7[Monthly SF Inter])</f>
        <v>1.2433743083946531</v>
      </c>
      <c r="R144" s="25">
        <f>IF(MOD(Table9[[#This Row],[Month]],12)=0,Table9[[#This Row],[Q2 ACC FACTOR]],0)</f>
        <v>0</v>
      </c>
      <c r="S144" s="25">
        <f>S143*(1+D143)+Table9[[#This Row],[ACC FACTOR PAYMENTS]]</f>
        <v>197.32830470973556</v>
      </c>
    </row>
    <row r="145" spans="1:19" x14ac:dyDescent="0.25">
      <c r="A145" s="1">
        <v>133</v>
      </c>
      <c r="B145" s="1">
        <f t="shared" si="2"/>
        <v>0</v>
      </c>
      <c r="C145" s="7">
        <f>G$12/-PV(Table7[Monthly mortgage rate], (12*Table7[Amortization period (yrs)]),1 )</f>
        <v>4377.9977174134756</v>
      </c>
      <c r="D145" s="11">
        <f>IF(Table1[[#This Row],[Month]]&lt;=(12*Table7[mortgage term (yrs)]),Table7[Monthly mortgage rate],Table7[Monthly Exp Renewal Rate])</f>
        <v>4.9038466830562122E-3</v>
      </c>
      <c r="E145" s="21">
        <f>Table1[[#This Row],[Current mortgage rate]]*G144</f>
        <v>2015.3387918125304</v>
      </c>
      <c r="F145" s="5">
        <f>Table1[[#This Row],[Payment amount]]-Table1[[#This Row],[Interest paid]]</f>
        <v>2362.6589256009452</v>
      </c>
      <c r="G145" s="20">
        <f>G144-Table1[[#This Row],[Principal repaid]]-Table1[[#This Row],[Annual paym]]</f>
        <v>408608.34446566249</v>
      </c>
      <c r="H145" s="20">
        <f>H144-(Table1[[#This Row],[Payment amount]]-Table1[[#This Row],[Interest Paid W/O LSP]])</f>
        <v>487689.85730118392</v>
      </c>
      <c r="I145">
        <f>H144*Table1[[#This Row],[Current mortgage rate]]</f>
        <v>2401.2499570345412</v>
      </c>
      <c r="J145" s="25">
        <f>IF(Table1[[#This Row],[Month]]&gt;Table7[Amortization period (yrs)]*12,0,IF(Table1[[#This Row],[Month]]&lt;Table7[mortgage term (yrs)]*12,0,IF(Table1[[#This Row],[Month]]=Table7[mortgage term (yrs)]*12,-H$5,Table1[[#This Row],[Payment amount]]+B145)))</f>
        <v>4377.9977174134756</v>
      </c>
      <c r="K145">
        <v>134</v>
      </c>
      <c r="L145">
        <f>Table7[Initial Monthly Deposit]*Table9[[#This Row],[Inflation Modifier]]</f>
        <v>497.3497233578608</v>
      </c>
      <c r="M145">
        <f xml:space="preserve"> (1+Table7[Inflation])^(QUOTIENT(Table9[[#This Row],[Month]]-1,12))</f>
        <v>1.243374308394652</v>
      </c>
      <c r="N145">
        <f>N144*(1+Table7[Monthly SF Inter])+Table9[[#This Row],[Monthly Payment]]-O144*(1+Table7[Monthly SF Inter])</f>
        <v>996.75047493146246</v>
      </c>
      <c r="O145">
        <f>IF(MOD(Table9[[#This Row],[Month]],12)=0,(IF(Table9[[#This Row],[Current Balance]]&lt;Table9[[#This Row],[Max Lump Sum ]],Table9[[#This Row],[Current Balance]],Table9[[#This Row],[Max Lump Sum ]])),0)</f>
        <v>0</v>
      </c>
      <c r="P145" s="21">
        <f>Table7[Max annual lump sum repayment]*SUM(C146:C157)</f>
        <v>7880.3958913442566</v>
      </c>
      <c r="Q145" s="25">
        <f>Q144*(1+Table7[Monthly SF Inter])+Table9[[#This Row],[Inflation Modifier]]-R144*(1+Table7[Monthly SF Inter])</f>
        <v>2.491876187328657</v>
      </c>
      <c r="R145" s="25">
        <f>IF(MOD(Table9[[#This Row],[Month]],12)=0,Table9[[#This Row],[Q2 ACC FACTOR]],0)</f>
        <v>0</v>
      </c>
      <c r="S145" s="25">
        <f>S144*(1+D144)+Table9[[#This Row],[ACC FACTOR PAYMENTS]]</f>
        <v>198.2959724622595</v>
      </c>
    </row>
    <row r="146" spans="1:19" x14ac:dyDescent="0.25">
      <c r="A146" s="1">
        <v>134</v>
      </c>
      <c r="B146" s="1">
        <f t="shared" si="2"/>
        <v>0</v>
      </c>
      <c r="C146" s="7">
        <f>G$12/-PV(Table7[Monthly mortgage rate], (12*Table7[Amortization period (yrs)]),1 )</f>
        <v>4377.9977174134756</v>
      </c>
      <c r="D146" s="11">
        <f>IF(Table1[[#This Row],[Month]]&lt;=(12*Table7[mortgage term (yrs)]),Table7[Monthly mortgage rate],Table7[Monthly Exp Renewal Rate])</f>
        <v>4.9038466830562122E-3</v>
      </c>
      <c r="E146" s="21">
        <f>Table1[[#This Row],[Current mortgage rate]]*G145</f>
        <v>2003.7526746770293</v>
      </c>
      <c r="F146" s="5">
        <f>Table1[[#This Row],[Payment amount]]-Table1[[#This Row],[Interest paid]]</f>
        <v>2374.2450427364465</v>
      </c>
      <c r="G146" s="20">
        <f>G145-Table1[[#This Row],[Principal repaid]]-Table1[[#This Row],[Annual paym]]</f>
        <v>406234.09942292602</v>
      </c>
      <c r="H146" s="20">
        <f>H145-(Table1[[#This Row],[Payment amount]]-Table1[[#This Row],[Interest Paid W/O LSP]])</f>
        <v>485703.41587285703</v>
      </c>
      <c r="I146">
        <f>H145*Table1[[#This Row],[Current mortgage rate]]</f>
        <v>2391.5562890865681</v>
      </c>
      <c r="J146" s="25">
        <f>IF(Table1[[#This Row],[Month]]&gt;Table7[Amortization period (yrs)]*12,0,IF(Table1[[#This Row],[Month]]&lt;Table7[mortgage term (yrs)]*12,0,IF(Table1[[#This Row],[Month]]=Table7[mortgage term (yrs)]*12,-H$5,Table1[[#This Row],[Payment amount]]+B146)))</f>
        <v>4377.9977174134756</v>
      </c>
      <c r="K146">
        <v>135</v>
      </c>
      <c r="L146">
        <f>Table7[Initial Monthly Deposit]*Table9[[#This Row],[Inflation Modifier]]</f>
        <v>497.3497233578608</v>
      </c>
      <c r="M146">
        <f xml:space="preserve"> (1+Table7[Inflation])^(QUOTIENT(Table9[[#This Row],[Month]]-1,12))</f>
        <v>1.243374308394652</v>
      </c>
      <c r="N146">
        <f>N145*(1+Table7[Monthly SF Inter])+Table9[[#This Row],[Monthly Payment]]-O145*(1+Table7[Monthly SF Inter])</f>
        <v>1498.2107129877829</v>
      </c>
      <c r="O146">
        <f>IF(MOD(Table9[[#This Row],[Month]],12)=0,(IF(Table9[[#This Row],[Current Balance]]&lt;Table9[[#This Row],[Max Lump Sum ]],Table9[[#This Row],[Current Balance]],Table9[[#This Row],[Max Lump Sum ]])),0)</f>
        <v>0</v>
      </c>
      <c r="P146" s="21">
        <f>Table7[Max annual lump sum repayment]*SUM(C147:C158)</f>
        <v>7880.3958913442566</v>
      </c>
      <c r="Q146" s="25">
        <f>Q145*(1+Table7[Monthly SF Inter])+Table9[[#This Row],[Inflation Modifier]]-R145*(1+Table7[Monthly SF Inter])</f>
        <v>3.745526782469458</v>
      </c>
      <c r="R146" s="25">
        <f>IF(MOD(Table9[[#This Row],[Month]],12)=0,Table9[[#This Row],[Q2 ACC FACTOR]],0)</f>
        <v>0</v>
      </c>
      <c r="S146" s="25">
        <f>S145*(1+D145)+Table9[[#This Row],[ACC FACTOR PAYMENTS]]</f>
        <v>199.26838550908195</v>
      </c>
    </row>
    <row r="147" spans="1:19" x14ac:dyDescent="0.25">
      <c r="A147" s="1">
        <v>135</v>
      </c>
      <c r="B147" s="1">
        <f t="shared" si="2"/>
        <v>0</v>
      </c>
      <c r="C147" s="7">
        <f>G$12/-PV(Table7[Monthly mortgage rate], (12*Table7[Amortization period (yrs)]),1 )</f>
        <v>4377.9977174134756</v>
      </c>
      <c r="D147" s="11">
        <f>IF(Table1[[#This Row],[Month]]&lt;=(12*Table7[mortgage term (yrs)]),Table7[Monthly mortgage rate],Table7[Monthly Exp Renewal Rate])</f>
        <v>4.9038466830562122E-3</v>
      </c>
      <c r="E147" s="21">
        <f>Table1[[#This Row],[Current mortgage rate]]*G146</f>
        <v>1992.1097409994434</v>
      </c>
      <c r="F147" s="5">
        <f>Table1[[#This Row],[Payment amount]]-Table1[[#This Row],[Interest paid]]</f>
        <v>2385.887976414032</v>
      </c>
      <c r="G147" s="20">
        <f>G146-Table1[[#This Row],[Principal repaid]]-Table1[[#This Row],[Annual paym]]</f>
        <v>403848.21144651197</v>
      </c>
      <c r="H147" s="20">
        <f>H146-(Table1[[#This Row],[Payment amount]]-Table1[[#This Row],[Interest Paid W/O LSP]])</f>
        <v>483707.23324032075</v>
      </c>
      <c r="I147">
        <f>H146*Table1[[#This Row],[Current mortgage rate]]</f>
        <v>2381.815084877182</v>
      </c>
      <c r="J147" s="25">
        <f>IF(Table1[[#This Row],[Month]]&gt;Table7[Amortization period (yrs)]*12,0,IF(Table1[[#This Row],[Month]]&lt;Table7[mortgage term (yrs)]*12,0,IF(Table1[[#This Row],[Month]]=Table7[mortgage term (yrs)]*12,-H$5,Table1[[#This Row],[Payment amount]]+B147)))</f>
        <v>4377.9977174134756</v>
      </c>
      <c r="K147">
        <v>136</v>
      </c>
      <c r="L147">
        <f>Table7[Initial Monthly Deposit]*Table9[[#This Row],[Inflation Modifier]]</f>
        <v>497.3497233578608</v>
      </c>
      <c r="M147">
        <f xml:space="preserve"> (1+Table7[Inflation])^(QUOTIENT(Table9[[#This Row],[Month]]-1,12))</f>
        <v>1.243374308394652</v>
      </c>
      <c r="N147">
        <f>N146*(1+Table7[Monthly SF Inter])+Table9[[#This Row],[Monthly Payment]]-O146*(1+Table7[Monthly SF Inter])</f>
        <v>2001.7389306749787</v>
      </c>
      <c r="O147">
        <f>IF(MOD(Table9[[#This Row],[Month]],12)=0,(IF(Table9[[#This Row],[Current Balance]]&lt;Table9[[#This Row],[Max Lump Sum ]],Table9[[#This Row],[Current Balance]],Table9[[#This Row],[Max Lump Sum ]])),0)</f>
        <v>0</v>
      </c>
      <c r="P147" s="21">
        <f>Table7[Max annual lump sum repayment]*SUM(C148:C159)</f>
        <v>7880.3958913442566</v>
      </c>
      <c r="Q147" s="25">
        <f>Q146*(1+Table7[Monthly SF Inter])+Table9[[#This Row],[Inflation Modifier]]-R146*(1+Table7[Monthly SF Inter])</f>
        <v>5.0043473266874479</v>
      </c>
      <c r="R147" s="25">
        <f>IF(MOD(Table9[[#This Row],[Month]],12)=0,Table9[[#This Row],[Q2 ACC FACTOR]],0)</f>
        <v>0</v>
      </c>
      <c r="S147" s="25">
        <f>S146*(1+D146)+Table9[[#This Row],[ACC FACTOR PAYMENTS]]</f>
        <v>200.24556712039862</v>
      </c>
    </row>
    <row r="148" spans="1:19" x14ac:dyDescent="0.25">
      <c r="A148" s="1">
        <v>136</v>
      </c>
      <c r="B148" s="1">
        <f t="shared" si="2"/>
        <v>0</v>
      </c>
      <c r="C148" s="7">
        <f>G$12/-PV(Table7[Monthly mortgage rate], (12*Table7[Amortization period (yrs)]),1 )</f>
        <v>4377.9977174134756</v>
      </c>
      <c r="D148" s="11">
        <f>IF(Table1[[#This Row],[Month]]&lt;=(12*Table7[mortgage term (yrs)]),Table7[Monthly mortgage rate],Table7[Monthly Exp Renewal Rate])</f>
        <v>4.9038466830562122E-3</v>
      </c>
      <c r="E148" s="21">
        <f>Table1[[#This Row],[Current mortgage rate]]*G147</f>
        <v>1980.4097121601615</v>
      </c>
      <c r="F148" s="5">
        <f>Table1[[#This Row],[Payment amount]]-Table1[[#This Row],[Interest paid]]</f>
        <v>2397.5880052533139</v>
      </c>
      <c r="G148" s="20">
        <f>G147-Table1[[#This Row],[Principal repaid]]-Table1[[#This Row],[Annual paym]]</f>
        <v>401450.62344125868</v>
      </c>
      <c r="H148" s="20">
        <f>H147-(Table1[[#This Row],[Payment amount]]-Table1[[#This Row],[Interest Paid W/O LSP]])</f>
        <v>481701.26163420314</v>
      </c>
      <c r="I148">
        <f>H147*Table1[[#This Row],[Current mortgage rate]]</f>
        <v>2372.0261112958447</v>
      </c>
      <c r="J148" s="25">
        <f>IF(Table1[[#This Row],[Month]]&gt;Table7[Amortization period (yrs)]*12,0,IF(Table1[[#This Row],[Month]]&lt;Table7[mortgage term (yrs)]*12,0,IF(Table1[[#This Row],[Month]]=Table7[mortgage term (yrs)]*12,-H$5,Table1[[#This Row],[Payment amount]]+B148)))</f>
        <v>4377.9977174134756</v>
      </c>
      <c r="K148">
        <v>137</v>
      </c>
      <c r="L148">
        <f>Table7[Initial Monthly Deposit]*Table9[[#This Row],[Inflation Modifier]]</f>
        <v>497.3497233578608</v>
      </c>
      <c r="M148">
        <f xml:space="preserve"> (1+Table7[Inflation])^(QUOTIENT(Table9[[#This Row],[Month]]-1,12))</f>
        <v>1.243374308394652</v>
      </c>
      <c r="N148">
        <f>N147*(1+Table7[Monthly SF Inter])+Table9[[#This Row],[Monthly Payment]]-O147*(1+Table7[Monthly SF Inter])</f>
        <v>2507.3436561662315</v>
      </c>
      <c r="O148">
        <f>IF(MOD(Table9[[#This Row],[Month]],12)=0,(IF(Table9[[#This Row],[Current Balance]]&lt;Table9[[#This Row],[Max Lump Sum ]],Table9[[#This Row],[Current Balance]],Table9[[#This Row],[Max Lump Sum ]])),0)</f>
        <v>0</v>
      </c>
      <c r="P148" s="21">
        <f>Table7[Max annual lump sum repayment]*SUM(C149:C160)</f>
        <v>7880.3958913442566</v>
      </c>
      <c r="Q148" s="25">
        <f>Q147*(1+Table7[Monthly SF Inter])+Table9[[#This Row],[Inflation Modifier]]-R147*(1+Table7[Monthly SF Inter])</f>
        <v>6.2683591404155798</v>
      </c>
      <c r="R148" s="25">
        <f>IF(MOD(Table9[[#This Row],[Month]],12)=0,Table9[[#This Row],[Q2 ACC FACTOR]],0)</f>
        <v>0</v>
      </c>
      <c r="S148" s="25">
        <f>S147*(1+D147)+Table9[[#This Row],[ACC FACTOR PAYMENTS]]</f>
        <v>201.2275406805187</v>
      </c>
    </row>
    <row r="149" spans="1:19" x14ac:dyDescent="0.25">
      <c r="A149" s="1">
        <v>137</v>
      </c>
      <c r="B149" s="1">
        <f t="shared" si="2"/>
        <v>0</v>
      </c>
      <c r="C149" s="7">
        <f>G$12/-PV(Table7[Monthly mortgage rate], (12*Table7[Amortization period (yrs)]),1 )</f>
        <v>4377.9977174134756</v>
      </c>
      <c r="D149" s="11">
        <f>IF(Table1[[#This Row],[Month]]&lt;=(12*Table7[mortgage term (yrs)]),Table7[Monthly mortgage rate],Table7[Monthly Exp Renewal Rate])</f>
        <v>4.9038466830562122E-3</v>
      </c>
      <c r="E149" s="21">
        <f>Table1[[#This Row],[Current mortgage rate]]*G148</f>
        <v>1968.6523081732648</v>
      </c>
      <c r="F149" s="5">
        <f>Table1[[#This Row],[Payment amount]]-Table1[[#This Row],[Interest paid]]</f>
        <v>2409.3454092402108</v>
      </c>
      <c r="G149" s="20">
        <f>G148-Table1[[#This Row],[Principal repaid]]-Table1[[#This Row],[Annual paym]]</f>
        <v>399041.27803201845</v>
      </c>
      <c r="H149" s="20">
        <f>H148-(Table1[[#This Row],[Payment amount]]-Table1[[#This Row],[Interest Paid W/O LSP]])</f>
        <v>479685.45305087854</v>
      </c>
      <c r="I149">
        <f>H148*Table1[[#This Row],[Current mortgage rate]]</f>
        <v>2362.1891340888797</v>
      </c>
      <c r="J149" s="25">
        <f>IF(Table1[[#This Row],[Month]]&gt;Table7[Amortization period (yrs)]*12,0,IF(Table1[[#This Row],[Month]]&lt;Table7[mortgage term (yrs)]*12,0,IF(Table1[[#This Row],[Month]]=Table7[mortgage term (yrs)]*12,-H$5,Table1[[#This Row],[Payment amount]]+B149)))</f>
        <v>4377.9977174134756</v>
      </c>
      <c r="K149">
        <v>138</v>
      </c>
      <c r="L149">
        <f>Table7[Initial Monthly Deposit]*Table9[[#This Row],[Inflation Modifier]]</f>
        <v>497.3497233578608</v>
      </c>
      <c r="M149">
        <f xml:space="preserve"> (1+Table7[Inflation])^(QUOTIENT(Table9[[#This Row],[Month]]-1,12))</f>
        <v>1.243374308394652</v>
      </c>
      <c r="N149">
        <f>N148*(1+Table7[Monthly SF Inter])+Table9[[#This Row],[Monthly Payment]]-O148*(1+Table7[Monthly SF Inter])</f>
        <v>3015.0334528041876</v>
      </c>
      <c r="O149">
        <f>IF(MOD(Table9[[#This Row],[Month]],12)=0,(IF(Table9[[#This Row],[Current Balance]]&lt;Table9[[#This Row],[Max Lump Sum ]],Table9[[#This Row],[Current Balance]],Table9[[#This Row],[Max Lump Sum ]])),0)</f>
        <v>0</v>
      </c>
      <c r="P149" s="21">
        <f>Table7[Max annual lump sum repayment]*SUM(C150:C161)</f>
        <v>7880.3958913442566</v>
      </c>
      <c r="Q149" s="25">
        <f>Q148*(1+Table7[Monthly SF Inter])+Table9[[#This Row],[Inflation Modifier]]-R148*(1+Table7[Monthly SF Inter])</f>
        <v>7.5375836320104703</v>
      </c>
      <c r="R149" s="25">
        <f>IF(MOD(Table9[[#This Row],[Month]],12)=0,Table9[[#This Row],[Q2 ACC FACTOR]],0)</f>
        <v>0</v>
      </c>
      <c r="S149" s="25">
        <f>S148*(1+D148)+Table9[[#This Row],[ACC FACTOR PAYMENTS]]</f>
        <v>202.21432968842441</v>
      </c>
    </row>
    <row r="150" spans="1:19" x14ac:dyDescent="0.25">
      <c r="A150" s="1">
        <v>138</v>
      </c>
      <c r="B150" s="1">
        <f t="shared" si="2"/>
        <v>0</v>
      </c>
      <c r="C150" s="7">
        <f>G$12/-PV(Table7[Monthly mortgage rate], (12*Table7[Amortization period (yrs)]),1 )</f>
        <v>4377.9977174134756</v>
      </c>
      <c r="D150" s="11">
        <f>IF(Table1[[#This Row],[Month]]&lt;=(12*Table7[mortgage term (yrs)]),Table7[Monthly mortgage rate],Table7[Monthly Exp Renewal Rate])</f>
        <v>4.9038466830562122E-3</v>
      </c>
      <c r="E150" s="21">
        <f>Table1[[#This Row],[Current mortgage rate]]*G149</f>
        <v>1956.8372476798254</v>
      </c>
      <c r="F150" s="5">
        <f>Table1[[#This Row],[Payment amount]]-Table1[[#This Row],[Interest paid]]</f>
        <v>2421.1604697336502</v>
      </c>
      <c r="G150" s="20">
        <f>G149-Table1[[#This Row],[Principal repaid]]-Table1[[#This Row],[Annual paym]]</f>
        <v>396620.11756228481</v>
      </c>
      <c r="H150" s="20">
        <f>H149-(Table1[[#This Row],[Payment amount]]-Table1[[#This Row],[Interest Paid W/O LSP]])</f>
        <v>477659.75925131893</v>
      </c>
      <c r="I150">
        <f>H149*Table1[[#This Row],[Current mortgage rate]]</f>
        <v>2352.303917853867</v>
      </c>
      <c r="J150" s="25">
        <f>IF(Table1[[#This Row],[Month]]&gt;Table7[Amortization period (yrs)]*12,0,IF(Table1[[#This Row],[Month]]&lt;Table7[mortgage term (yrs)]*12,0,IF(Table1[[#This Row],[Month]]=Table7[mortgage term (yrs)]*12,-H$5,Table1[[#This Row],[Payment amount]]+B150)))</f>
        <v>4377.9977174134756</v>
      </c>
      <c r="K150">
        <v>139</v>
      </c>
      <c r="L150">
        <f>Table7[Initial Monthly Deposit]*Table9[[#This Row],[Inflation Modifier]]</f>
        <v>497.3497233578608</v>
      </c>
      <c r="M150">
        <f xml:space="preserve"> (1+Table7[Inflation])^(QUOTIENT(Table9[[#This Row],[Month]]-1,12))</f>
        <v>1.243374308394652</v>
      </c>
      <c r="N150">
        <f>N149*(1+Table7[Monthly SF Inter])+Table9[[#This Row],[Monthly Payment]]-O149*(1+Table7[Monthly SF Inter])</f>
        <v>3524.816919245995</v>
      </c>
      <c r="O150">
        <f>IF(MOD(Table9[[#This Row],[Month]],12)=0,(IF(Table9[[#This Row],[Current Balance]]&lt;Table9[[#This Row],[Max Lump Sum ]],Table9[[#This Row],[Current Balance]],Table9[[#This Row],[Max Lump Sum ]])),0)</f>
        <v>0</v>
      </c>
      <c r="P150" s="21">
        <f>Table7[Max annual lump sum repayment]*SUM(C151:C162)</f>
        <v>7880.3958913442566</v>
      </c>
      <c r="Q150" s="25">
        <f>Q149*(1+Table7[Monthly SF Inter])+Table9[[#This Row],[Inflation Modifier]]-R149*(1+Table7[Monthly SF Inter])</f>
        <v>8.8120422981149886</v>
      </c>
      <c r="R150" s="25">
        <f>IF(MOD(Table9[[#This Row],[Month]],12)=0,Table9[[#This Row],[Q2 ACC FACTOR]],0)</f>
        <v>0</v>
      </c>
      <c r="S150" s="25">
        <f>S149*(1+D149)+Table9[[#This Row],[ACC FACTOR PAYMENTS]]</f>
        <v>203.20595775833343</v>
      </c>
    </row>
    <row r="151" spans="1:19" x14ac:dyDescent="0.25">
      <c r="A151" s="1">
        <v>139</v>
      </c>
      <c r="B151" s="1">
        <f t="shared" si="2"/>
        <v>0</v>
      </c>
      <c r="C151" s="7">
        <f>G$12/-PV(Table7[Monthly mortgage rate], (12*Table7[Amortization period (yrs)]),1 )</f>
        <v>4377.9977174134756</v>
      </c>
      <c r="D151" s="11">
        <f>IF(Table1[[#This Row],[Month]]&lt;=(12*Table7[mortgage term (yrs)]),Table7[Monthly mortgage rate],Table7[Monthly Exp Renewal Rate])</f>
        <v>4.9038466830562122E-3</v>
      </c>
      <c r="E151" s="21">
        <f>Table1[[#This Row],[Current mortgage rate]]*G150</f>
        <v>1944.9642479411752</v>
      </c>
      <c r="F151" s="5">
        <f>Table1[[#This Row],[Payment amount]]-Table1[[#This Row],[Interest paid]]</f>
        <v>2433.0334694723006</v>
      </c>
      <c r="G151" s="20">
        <f>G150-Table1[[#This Row],[Principal repaid]]-Table1[[#This Row],[Annual paym]]</f>
        <v>394187.0840928125</v>
      </c>
      <c r="H151" s="20">
        <f>H150-(Table1[[#This Row],[Payment amount]]-Table1[[#This Row],[Interest Paid W/O LSP]])</f>
        <v>475624.13175993948</v>
      </c>
      <c r="I151">
        <f>H150*Table1[[#This Row],[Current mortgage rate]]</f>
        <v>2342.3702260340092</v>
      </c>
      <c r="J151" s="25">
        <f>IF(Table1[[#This Row],[Month]]&gt;Table7[Amortization period (yrs)]*12,0,IF(Table1[[#This Row],[Month]]&lt;Table7[mortgage term (yrs)]*12,0,IF(Table1[[#This Row],[Month]]=Table7[mortgage term (yrs)]*12,-H$5,Table1[[#This Row],[Payment amount]]+B151)))</f>
        <v>4377.9977174134756</v>
      </c>
      <c r="K151">
        <v>140</v>
      </c>
      <c r="L151">
        <f>Table7[Initial Monthly Deposit]*Table9[[#This Row],[Inflation Modifier]]</f>
        <v>497.3497233578608</v>
      </c>
      <c r="M151">
        <f xml:space="preserve"> (1+Table7[Inflation])^(QUOTIENT(Table9[[#This Row],[Month]]-1,12))</f>
        <v>1.243374308394652</v>
      </c>
      <c r="N151">
        <f>N150*(1+Table7[Monthly SF Inter])+Table9[[#This Row],[Monthly Payment]]-O150*(1+Table7[Monthly SF Inter])</f>
        <v>4036.7026896089365</v>
      </c>
      <c r="O151">
        <f>IF(MOD(Table9[[#This Row],[Month]],12)=0,(IF(Table9[[#This Row],[Current Balance]]&lt;Table9[[#This Row],[Max Lump Sum ]],Table9[[#This Row],[Current Balance]],Table9[[#This Row],[Max Lump Sum ]])),0)</f>
        <v>0</v>
      </c>
      <c r="P151" s="21">
        <f>Table7[Max annual lump sum repayment]*SUM(C152:C163)</f>
        <v>7880.3958913442566</v>
      </c>
      <c r="Q151" s="25">
        <f>Q150*(1+Table7[Monthly SF Inter])+Table9[[#This Row],[Inflation Modifier]]-R150*(1+Table7[Monthly SF Inter])</f>
        <v>10.091756724022341</v>
      </c>
      <c r="R151" s="25">
        <f>IF(MOD(Table9[[#This Row],[Month]],12)=0,Table9[[#This Row],[Q2 ACC FACTOR]],0)</f>
        <v>0</v>
      </c>
      <c r="S151" s="25">
        <f>S150*(1+D150)+Table9[[#This Row],[ACC FACTOR PAYMENTS]]</f>
        <v>204.20244862026388</v>
      </c>
    </row>
    <row r="152" spans="1:19" x14ac:dyDescent="0.25">
      <c r="A152" s="1">
        <v>140</v>
      </c>
      <c r="B152" s="1">
        <f t="shared" si="2"/>
        <v>0</v>
      </c>
      <c r="C152" s="7">
        <f>G$12/-PV(Table7[Monthly mortgage rate], (12*Table7[Amortization period (yrs)]),1 )</f>
        <v>4377.9977174134756</v>
      </c>
      <c r="D152" s="11">
        <f>IF(Table1[[#This Row],[Month]]&lt;=(12*Table7[mortgage term (yrs)]),Table7[Monthly mortgage rate],Table7[Monthly Exp Renewal Rate])</f>
        <v>4.9038466830562122E-3</v>
      </c>
      <c r="E152" s="21">
        <f>Table1[[#This Row],[Current mortgage rate]]*G151</f>
        <v>1933.0330248321388</v>
      </c>
      <c r="F152" s="5">
        <f>Table1[[#This Row],[Payment amount]]-Table1[[#This Row],[Interest paid]]</f>
        <v>2444.9646925813367</v>
      </c>
      <c r="G152" s="20">
        <f>G151-Table1[[#This Row],[Principal repaid]]-Table1[[#This Row],[Annual paym]]</f>
        <v>391742.11940023117</v>
      </c>
      <c r="H152" s="20">
        <f>H151-(Table1[[#This Row],[Payment amount]]-Table1[[#This Row],[Interest Paid W/O LSP]])</f>
        <v>473578.52186343848</v>
      </c>
      <c r="I152">
        <f>H151*Table1[[#This Row],[Current mortgage rate]]</f>
        <v>2332.38782091247</v>
      </c>
      <c r="J152" s="25">
        <f>IF(Table1[[#This Row],[Month]]&gt;Table7[Amortization period (yrs)]*12,0,IF(Table1[[#This Row],[Month]]&lt;Table7[mortgage term (yrs)]*12,0,IF(Table1[[#This Row],[Month]]=Table7[mortgage term (yrs)]*12,-H$5,Table1[[#This Row],[Payment amount]]+B152)))</f>
        <v>4377.9977174134756</v>
      </c>
      <c r="K152">
        <v>141</v>
      </c>
      <c r="L152">
        <f>Table7[Initial Monthly Deposit]*Table9[[#This Row],[Inflation Modifier]]</f>
        <v>497.3497233578608</v>
      </c>
      <c r="M152">
        <f xml:space="preserve"> (1+Table7[Inflation])^(QUOTIENT(Table9[[#This Row],[Month]]-1,12))</f>
        <v>1.243374308394652</v>
      </c>
      <c r="N152">
        <f>N151*(1+Table7[Monthly SF Inter])+Table9[[#This Row],[Monthly Payment]]-O151*(1+Table7[Monthly SF Inter])</f>
        <v>4550.6994336166645</v>
      </c>
      <c r="O152">
        <f>IF(MOD(Table9[[#This Row],[Month]],12)=0,(IF(Table9[[#This Row],[Current Balance]]&lt;Table9[[#This Row],[Max Lump Sum ]],Table9[[#This Row],[Current Balance]],Table9[[#This Row],[Max Lump Sum ]])),0)</f>
        <v>0</v>
      </c>
      <c r="P152" s="21">
        <f>Table7[Max annual lump sum repayment]*SUM(C153:C164)</f>
        <v>7880.3958913442566</v>
      </c>
      <c r="Q152" s="25">
        <f>Q151*(1+Table7[Monthly SF Inter])+Table9[[#This Row],[Inflation Modifier]]-R151*(1+Table7[Monthly SF Inter])</f>
        <v>11.37674858404166</v>
      </c>
      <c r="R152" s="25">
        <f>IF(MOD(Table9[[#This Row],[Month]],12)=0,Table9[[#This Row],[Q2 ACC FACTOR]],0)</f>
        <v>0</v>
      </c>
      <c r="S152" s="25">
        <f>S151*(1+D151)+Table9[[#This Row],[ACC FACTOR PAYMENTS]]</f>
        <v>205.20382612060232</v>
      </c>
    </row>
    <row r="153" spans="1:19" x14ac:dyDescent="0.25">
      <c r="A153" s="1">
        <v>141</v>
      </c>
      <c r="B153" s="1">
        <f t="shared" si="2"/>
        <v>0</v>
      </c>
      <c r="C153" s="7">
        <f>G$12/-PV(Table7[Monthly mortgage rate], (12*Table7[Amortization period (yrs)]),1 )</f>
        <v>4377.9977174134756</v>
      </c>
      <c r="D153" s="11">
        <f>IF(Table1[[#This Row],[Month]]&lt;=(12*Table7[mortgage term (yrs)]),Table7[Monthly mortgage rate],Table7[Monthly Exp Renewal Rate])</f>
        <v>4.9038466830562122E-3</v>
      </c>
      <c r="E153" s="21">
        <f>Table1[[#This Row],[Current mortgage rate]]*G152</f>
        <v>1921.0432928342343</v>
      </c>
      <c r="F153" s="5">
        <f>Table1[[#This Row],[Payment amount]]-Table1[[#This Row],[Interest paid]]</f>
        <v>2456.9544245792413</v>
      </c>
      <c r="G153" s="20">
        <f>G152-Table1[[#This Row],[Principal repaid]]-Table1[[#This Row],[Annual paym]]</f>
        <v>389285.16497565195</v>
      </c>
      <c r="H153" s="20">
        <f>H152-(Table1[[#This Row],[Payment amount]]-Table1[[#This Row],[Interest Paid W/O LSP]])</f>
        <v>471522.88060963171</v>
      </c>
      <c r="I153">
        <f>H152*Table1[[#This Row],[Current mortgage rate]]</f>
        <v>2322.3564636066867</v>
      </c>
      <c r="J153" s="25">
        <f>IF(Table1[[#This Row],[Month]]&gt;Table7[Amortization period (yrs)]*12,0,IF(Table1[[#This Row],[Month]]&lt;Table7[mortgage term (yrs)]*12,0,IF(Table1[[#This Row],[Month]]=Table7[mortgage term (yrs)]*12,-H$5,Table1[[#This Row],[Payment amount]]+B153)))</f>
        <v>4377.9977174134756</v>
      </c>
      <c r="K153">
        <v>142</v>
      </c>
      <c r="L153">
        <f>Table7[Initial Monthly Deposit]*Table9[[#This Row],[Inflation Modifier]]</f>
        <v>497.3497233578608</v>
      </c>
      <c r="M153">
        <f xml:space="preserve"> (1+Table7[Inflation])^(QUOTIENT(Table9[[#This Row],[Month]]-1,12))</f>
        <v>1.243374308394652</v>
      </c>
      <c r="N153">
        <f>N152*(1+Table7[Monthly SF Inter])+Table9[[#This Row],[Monthly Payment]]-O152*(1+Table7[Monthly SF Inter])</f>
        <v>5066.8158567460405</v>
      </c>
      <c r="O153">
        <f>IF(MOD(Table9[[#This Row],[Month]],12)=0,(IF(Table9[[#This Row],[Current Balance]]&lt;Table9[[#This Row],[Max Lump Sum ]],Table9[[#This Row],[Current Balance]],Table9[[#This Row],[Max Lump Sum ]])),0)</f>
        <v>0</v>
      </c>
      <c r="P153" s="21">
        <f>Table7[Max annual lump sum repayment]*SUM(C154:C165)</f>
        <v>7880.3958913442566</v>
      </c>
      <c r="Q153" s="25">
        <f>Q152*(1+Table7[Monthly SF Inter])+Table9[[#This Row],[Inflation Modifier]]-R152*(1+Table7[Monthly SF Inter])</f>
        <v>12.667039641865099</v>
      </c>
      <c r="R153" s="25">
        <f>IF(MOD(Table9[[#This Row],[Month]],12)=0,Table9[[#This Row],[Q2 ACC FACTOR]],0)</f>
        <v>0</v>
      </c>
      <c r="S153" s="25">
        <f>S152*(1+D152)+Table9[[#This Row],[ACC FACTOR PAYMENTS]]</f>
        <v>206.21011422267426</v>
      </c>
    </row>
    <row r="154" spans="1:19" x14ac:dyDescent="0.25">
      <c r="A154" s="1">
        <v>142</v>
      </c>
      <c r="B154" s="1">
        <f t="shared" si="2"/>
        <v>0</v>
      </c>
      <c r="C154" s="7">
        <f>G$12/-PV(Table7[Monthly mortgage rate], (12*Table7[Amortization period (yrs)]),1 )</f>
        <v>4377.9977174134756</v>
      </c>
      <c r="D154" s="11">
        <f>IF(Table1[[#This Row],[Month]]&lt;=(12*Table7[mortgage term (yrs)]),Table7[Monthly mortgage rate],Table7[Monthly Exp Renewal Rate])</f>
        <v>4.9038466830562122E-3</v>
      </c>
      <c r="E154" s="21">
        <f>Table1[[#This Row],[Current mortgage rate]]*G153</f>
        <v>1908.9947650288411</v>
      </c>
      <c r="F154" s="5">
        <f>Table1[[#This Row],[Payment amount]]-Table1[[#This Row],[Interest paid]]</f>
        <v>2469.0029523846342</v>
      </c>
      <c r="G154" s="20">
        <f>G153-Table1[[#This Row],[Principal repaid]]-Table1[[#This Row],[Annual paym]]</f>
        <v>386816.1620232673</v>
      </c>
      <c r="H154" s="20">
        <f>H153-(Table1[[#This Row],[Payment amount]]-Table1[[#This Row],[Interest Paid W/O LSP]])</f>
        <v>469457.15880628087</v>
      </c>
      <c r="I154">
        <f>H153*Table1[[#This Row],[Current mortgage rate]]</f>
        <v>2312.2759140626526</v>
      </c>
      <c r="J154" s="25">
        <f>IF(Table1[[#This Row],[Month]]&gt;Table7[Amortization period (yrs)]*12,0,IF(Table1[[#This Row],[Month]]&lt;Table7[mortgage term (yrs)]*12,0,IF(Table1[[#This Row],[Month]]=Table7[mortgage term (yrs)]*12,-H$5,Table1[[#This Row],[Payment amount]]+B154)))</f>
        <v>4377.9977174134756</v>
      </c>
      <c r="K154">
        <v>143</v>
      </c>
      <c r="L154">
        <f>Table7[Initial Monthly Deposit]*Table9[[#This Row],[Inflation Modifier]]</f>
        <v>497.3497233578608</v>
      </c>
      <c r="M154">
        <f xml:space="preserve"> (1+Table7[Inflation])^(QUOTIENT(Table9[[#This Row],[Month]]-1,12))</f>
        <v>1.243374308394652</v>
      </c>
      <c r="N154">
        <f>N153*(1+Table7[Monthly SF Inter])+Table9[[#This Row],[Monthly Payment]]-O153*(1+Table7[Monthly SF Inter])</f>
        <v>5585.0607003745745</v>
      </c>
      <c r="O154">
        <f>IF(MOD(Table9[[#This Row],[Month]],12)=0,(IF(Table9[[#This Row],[Current Balance]]&lt;Table9[[#This Row],[Max Lump Sum ]],Table9[[#This Row],[Current Balance]],Table9[[#This Row],[Max Lump Sum ]])),0)</f>
        <v>0</v>
      </c>
      <c r="P154" s="21">
        <f>Table7[Max annual lump sum repayment]*SUM(C155:C166)</f>
        <v>7880.3958913442566</v>
      </c>
      <c r="Q154" s="25">
        <f>Q153*(1+Table7[Monthly SF Inter])+Table9[[#This Row],[Inflation Modifier]]-R153*(1+Table7[Monthly SF Inter])</f>
        <v>13.962651750936432</v>
      </c>
      <c r="R154" s="25">
        <f>IF(MOD(Table9[[#This Row],[Month]],12)=0,Table9[[#This Row],[Q2 ACC FACTOR]],0)</f>
        <v>0</v>
      </c>
      <c r="S154" s="25">
        <f>S153*(1+D153)+Table9[[#This Row],[ACC FACTOR PAYMENTS]]</f>
        <v>207.22133700731777</v>
      </c>
    </row>
    <row r="155" spans="1:19" x14ac:dyDescent="0.25">
      <c r="A155" s="1">
        <v>143</v>
      </c>
      <c r="B155" s="1">
        <f t="shared" si="2"/>
        <v>0</v>
      </c>
      <c r="C155" s="7">
        <f>G$12/-PV(Table7[Monthly mortgage rate], (12*Table7[Amortization period (yrs)]),1 )</f>
        <v>4377.9977174134756</v>
      </c>
      <c r="D155" s="11">
        <f>IF(Table1[[#This Row],[Month]]&lt;=(12*Table7[mortgage term (yrs)]),Table7[Monthly mortgage rate],Table7[Monthly Exp Renewal Rate])</f>
        <v>4.9038466830562122E-3</v>
      </c>
      <c r="E155" s="21">
        <f>Table1[[#This Row],[Current mortgage rate]]*G154</f>
        <v>1896.8871530903336</v>
      </c>
      <c r="F155" s="5">
        <f>Table1[[#This Row],[Payment amount]]-Table1[[#This Row],[Interest paid]]</f>
        <v>2481.1105643231422</v>
      </c>
      <c r="G155" s="20">
        <f>G154-Table1[[#This Row],[Principal repaid]]-Table1[[#This Row],[Annual paym]]</f>
        <v>384335.05145894416</v>
      </c>
      <c r="H155" s="20">
        <f>H154-(Table1[[#This Row],[Payment amount]]-Table1[[#This Row],[Interest Paid W/O LSP]])</f>
        <v>467381.3070199166</v>
      </c>
      <c r="I155">
        <f>H154*Table1[[#This Row],[Current mortgage rate]]</f>
        <v>2302.1459310491741</v>
      </c>
      <c r="J155" s="25">
        <f>IF(Table1[[#This Row],[Month]]&gt;Table7[Amortization period (yrs)]*12,0,IF(Table1[[#This Row],[Month]]&lt;Table7[mortgage term (yrs)]*12,0,IF(Table1[[#This Row],[Month]]=Table7[mortgage term (yrs)]*12,-H$5,Table1[[#This Row],[Payment amount]]+B155)))</f>
        <v>4377.9977174134756</v>
      </c>
      <c r="K155">
        <v>144</v>
      </c>
      <c r="L155">
        <f>Table7[Initial Monthly Deposit]*Table9[[#This Row],[Inflation Modifier]]</f>
        <v>497.3497233578608</v>
      </c>
      <c r="M155">
        <f xml:space="preserve"> (1+Table7[Inflation])^(QUOTIENT(Table9[[#This Row],[Month]]-1,12))</f>
        <v>1.243374308394652</v>
      </c>
      <c r="N155">
        <f>N154*(1+Table7[Monthly SF Inter])+Table9[[#This Row],[Monthly Payment]]-O154*(1+Table7[Monthly SF Inter])</f>
        <v>6105.4427419284793</v>
      </c>
      <c r="O155">
        <f>IF(MOD(Table9[[#This Row],[Month]],12)=0,(IF(Table9[[#This Row],[Current Balance]]&lt;Table9[[#This Row],[Max Lump Sum ]],Table9[[#This Row],[Current Balance]],Table9[[#This Row],[Max Lump Sum ]])),0)</f>
        <v>6105.4427419284793</v>
      </c>
      <c r="P155" s="21">
        <f>Table7[Max annual lump sum repayment]*SUM(C156:C167)</f>
        <v>7880.3958913442566</v>
      </c>
      <c r="Q155" s="25">
        <f>Q154*(1+Table7[Monthly SF Inter])+Table9[[#This Row],[Inflation Modifier]]-R154*(1+Table7[Monthly SF Inter])</f>
        <v>15.263606854821195</v>
      </c>
      <c r="R155" s="25">
        <f>IF(MOD(Table9[[#This Row],[Month]],12)=0,Table9[[#This Row],[Q2 ACC FACTOR]],0)</f>
        <v>15.263606854821195</v>
      </c>
      <c r="S155" s="25">
        <f>S154*(1+D154)+Table9[[#This Row],[ACC FACTOR PAYMENTS]]</f>
        <v>223.5011255282808</v>
      </c>
    </row>
    <row r="156" spans="1:19" x14ac:dyDescent="0.25">
      <c r="A156" s="1">
        <v>144</v>
      </c>
      <c r="B156" s="1">
        <f t="shared" si="2"/>
        <v>6105.4427419284793</v>
      </c>
      <c r="C156" s="7">
        <f>G$12/-PV(Table7[Monthly mortgage rate], (12*Table7[Amortization period (yrs)]),1 )</f>
        <v>4377.9977174134756</v>
      </c>
      <c r="D156" s="11">
        <f>IF(Table1[[#This Row],[Month]]&lt;=(12*Table7[mortgage term (yrs)]),Table7[Monthly mortgage rate],Table7[Monthly Exp Renewal Rate])</f>
        <v>4.9038466830562122E-3</v>
      </c>
      <c r="E156" s="21">
        <f>Table1[[#This Row],[Current mortgage rate]]*G155</f>
        <v>1884.7201672791819</v>
      </c>
      <c r="F156" s="5">
        <f>Table1[[#This Row],[Payment amount]]-Table1[[#This Row],[Interest paid]]</f>
        <v>2493.277550134294</v>
      </c>
      <c r="G156" s="20">
        <f>G155-Table1[[#This Row],[Principal repaid]]-Table1[[#This Row],[Annual paym]]</f>
        <v>375736.33116688137</v>
      </c>
      <c r="H156" s="20">
        <f>H155-(Table1[[#This Row],[Payment amount]]-Table1[[#This Row],[Interest Paid W/O LSP]])</f>
        <v>465295.27557465521</v>
      </c>
      <c r="I156">
        <f>H155*Table1[[#This Row],[Current mortgage rate]]</f>
        <v>2291.9662721520949</v>
      </c>
      <c r="J156" s="25">
        <f>IF(Table1[[#This Row],[Month]]&gt;Table7[Amortization period (yrs)]*12,0,IF(Table1[[#This Row],[Month]]&lt;Table7[mortgage term (yrs)]*12,0,IF(Table1[[#This Row],[Month]]=Table7[mortgage term (yrs)]*12,-H$5,Table1[[#This Row],[Payment amount]]+B156)))</f>
        <v>10483.440459341955</v>
      </c>
      <c r="K156">
        <v>145</v>
      </c>
      <c r="L156">
        <f>Table7[Initial Monthly Deposit]*Table9[[#This Row],[Inflation Modifier]]</f>
        <v>507.29671782501811</v>
      </c>
      <c r="M156">
        <f xml:space="preserve"> (1+Table7[Inflation])^(QUOTIENT(Table9[[#This Row],[Month]]-1,12))</f>
        <v>1.2682417945625453</v>
      </c>
      <c r="N156">
        <f>N155*(1+Table7[Monthly SF Inter])+Table9[[#This Row],[Monthly Payment]]-O155*(1+Table7[Monthly SF Inter])</f>
        <v>507.29671782501828</v>
      </c>
      <c r="O156">
        <f>IF(MOD(Table9[[#This Row],[Month]],12)=0,(IF(Table9[[#This Row],[Current Balance]]&lt;Table9[[#This Row],[Max Lump Sum ]],Table9[[#This Row],[Current Balance]],Table9[[#This Row],[Max Lump Sum ]])),0)</f>
        <v>0</v>
      </c>
      <c r="P156" s="21">
        <f>Table7[Max annual lump sum repayment]*SUM(C157:C168)</f>
        <v>7880.3958913442566</v>
      </c>
      <c r="Q156" s="25">
        <f>Q155*(1+Table7[Monthly SF Inter])+Table9[[#This Row],[Inflation Modifier]]-R155*(1+Table7[Monthly SF Inter])</f>
        <v>1.268241794562547</v>
      </c>
      <c r="R156" s="25">
        <f>IF(MOD(Table9[[#This Row],[Month]],12)=0,Table9[[#This Row],[Q2 ACC FACTOR]],0)</f>
        <v>0</v>
      </c>
      <c r="S156" s="25">
        <f>S155*(1+D155)+Table9[[#This Row],[ACC FACTOR PAYMENTS]]</f>
        <v>224.59714078136199</v>
      </c>
    </row>
    <row r="157" spans="1:19" x14ac:dyDescent="0.25">
      <c r="A157" s="1">
        <v>145</v>
      </c>
      <c r="B157" s="1">
        <f t="shared" si="2"/>
        <v>0</v>
      </c>
      <c r="C157" s="7">
        <f>G$12/-PV(Table7[Monthly mortgage rate], (12*Table7[Amortization period (yrs)]),1 )</f>
        <v>4377.9977174134756</v>
      </c>
      <c r="D157" s="11">
        <f>IF(Table1[[#This Row],[Month]]&lt;=(12*Table7[mortgage term (yrs)]),Table7[Monthly mortgage rate],Table7[Monthly Exp Renewal Rate])</f>
        <v>4.9038466830562122E-3</v>
      </c>
      <c r="E157" s="21">
        <f>Table1[[#This Row],[Current mortgage rate]]*G156</f>
        <v>1842.5533612964216</v>
      </c>
      <c r="F157" s="5">
        <f>Table1[[#This Row],[Payment amount]]-Table1[[#This Row],[Interest paid]]</f>
        <v>2535.4443561170538</v>
      </c>
      <c r="G157" s="20">
        <f>G156-Table1[[#This Row],[Principal repaid]]-Table1[[#This Row],[Annual paym]]</f>
        <v>373200.88681076432</v>
      </c>
      <c r="H157" s="20">
        <f>H156-(Table1[[#This Row],[Payment amount]]-Table1[[#This Row],[Interest Paid W/O LSP]])</f>
        <v>463199.01455101022</v>
      </c>
      <c r="I157">
        <f>H156*Table1[[#This Row],[Current mortgage rate]]</f>
        <v>2281.7366937684992</v>
      </c>
      <c r="J157" s="25">
        <f>IF(Table1[[#This Row],[Month]]&gt;Table7[Amortization period (yrs)]*12,0,IF(Table1[[#This Row],[Month]]&lt;Table7[mortgage term (yrs)]*12,0,IF(Table1[[#This Row],[Month]]=Table7[mortgage term (yrs)]*12,-H$5,Table1[[#This Row],[Payment amount]]+B157)))</f>
        <v>4377.9977174134756</v>
      </c>
      <c r="K157">
        <v>146</v>
      </c>
      <c r="L157">
        <f>Table7[Initial Monthly Deposit]*Table9[[#This Row],[Inflation Modifier]]</f>
        <v>507.29671782501811</v>
      </c>
      <c r="M157">
        <f xml:space="preserve"> (1+Table7[Inflation])^(QUOTIENT(Table9[[#This Row],[Month]]-1,12))</f>
        <v>1.2682417945625453</v>
      </c>
      <c r="N157">
        <f>N156*(1+Table7[Monthly SF Inter])+Table9[[#This Row],[Monthly Payment]]-O156*(1+Table7[Monthly SF Inter])</f>
        <v>1016.6854844300919</v>
      </c>
      <c r="O157">
        <f>IF(MOD(Table9[[#This Row],[Month]],12)=0,(IF(Table9[[#This Row],[Current Balance]]&lt;Table9[[#This Row],[Max Lump Sum ]],Table9[[#This Row],[Current Balance]],Table9[[#This Row],[Max Lump Sum ]])),0)</f>
        <v>0</v>
      </c>
      <c r="P157" s="21">
        <f>Table7[Max annual lump sum repayment]*SUM(C158:C169)</f>
        <v>7880.3958913442566</v>
      </c>
      <c r="Q157" s="25">
        <f>Q156*(1+Table7[Monthly SF Inter])+Table9[[#This Row],[Inflation Modifier]]-R156*(1+Table7[Monthly SF Inter])</f>
        <v>2.5417137110752313</v>
      </c>
      <c r="R157" s="25">
        <f>IF(MOD(Table9[[#This Row],[Month]],12)=0,Table9[[#This Row],[Q2 ACC FACTOR]],0)</f>
        <v>0</v>
      </c>
      <c r="S157" s="25">
        <f>S156*(1+D156)+Table9[[#This Row],[ACC FACTOR PAYMENTS]]</f>
        <v>225.69853072520658</v>
      </c>
    </row>
    <row r="158" spans="1:19" x14ac:dyDescent="0.25">
      <c r="A158" s="1">
        <v>146</v>
      </c>
      <c r="B158" s="1">
        <f t="shared" si="2"/>
        <v>0</v>
      </c>
      <c r="C158" s="7">
        <f>G$12/-PV(Table7[Monthly mortgage rate], (12*Table7[Amortization period (yrs)]),1 )</f>
        <v>4377.9977174134756</v>
      </c>
      <c r="D158" s="11">
        <f>IF(Table1[[#This Row],[Month]]&lt;=(12*Table7[mortgage term (yrs)]),Table7[Monthly mortgage rate],Table7[Monthly Exp Renewal Rate])</f>
        <v>4.9038466830562122E-3</v>
      </c>
      <c r="E158" s="21">
        <f>Table1[[#This Row],[Current mortgage rate]]*G157</f>
        <v>1830.1199309006035</v>
      </c>
      <c r="F158" s="5">
        <f>Table1[[#This Row],[Payment amount]]-Table1[[#This Row],[Interest paid]]</f>
        <v>2547.8777865128723</v>
      </c>
      <c r="G158" s="20">
        <f>G157-Table1[[#This Row],[Principal repaid]]-Table1[[#This Row],[Annual paym]]</f>
        <v>370653.00902425143</v>
      </c>
      <c r="H158" s="20">
        <f>H157-(Table1[[#This Row],[Payment amount]]-Table1[[#This Row],[Interest Paid W/O LSP]])</f>
        <v>461092.47378469759</v>
      </c>
      <c r="I158">
        <f>H157*Table1[[#This Row],[Current mortgage rate]]</f>
        <v>2271.4569511008776</v>
      </c>
      <c r="J158" s="25">
        <f>IF(Table1[[#This Row],[Month]]&gt;Table7[Amortization period (yrs)]*12,0,IF(Table1[[#This Row],[Month]]&lt;Table7[mortgage term (yrs)]*12,0,IF(Table1[[#This Row],[Month]]=Table7[mortgage term (yrs)]*12,-H$5,Table1[[#This Row],[Payment amount]]+B158)))</f>
        <v>4377.9977174134756</v>
      </c>
      <c r="K158">
        <v>147</v>
      </c>
      <c r="L158">
        <f>Table7[Initial Monthly Deposit]*Table9[[#This Row],[Inflation Modifier]]</f>
        <v>507.29671782501811</v>
      </c>
      <c r="M158">
        <f xml:space="preserve"> (1+Table7[Inflation])^(QUOTIENT(Table9[[#This Row],[Month]]-1,12))</f>
        <v>1.2682417945625453</v>
      </c>
      <c r="N158">
        <f>N157*(1+Table7[Monthly SF Inter])+Table9[[#This Row],[Monthly Payment]]-O157*(1+Table7[Monthly SF Inter])</f>
        <v>1528.174927247539</v>
      </c>
      <c r="O158">
        <f>IF(MOD(Table9[[#This Row],[Month]],12)=0,(IF(Table9[[#This Row],[Current Balance]]&lt;Table9[[#This Row],[Max Lump Sum ]],Table9[[#This Row],[Current Balance]],Table9[[#This Row],[Max Lump Sum ]])),0)</f>
        <v>0</v>
      </c>
      <c r="P158" s="21">
        <f>Table7[Max annual lump sum repayment]*SUM(C159:C170)</f>
        <v>7880.3958913442566</v>
      </c>
      <c r="Q158" s="25">
        <f>Q157*(1+Table7[Monthly SF Inter])+Table9[[#This Row],[Inflation Modifier]]-R157*(1+Table7[Monthly SF Inter])</f>
        <v>3.8204373181188487</v>
      </c>
      <c r="R158" s="25">
        <f>IF(MOD(Table9[[#This Row],[Month]],12)=0,Table9[[#This Row],[Q2 ACC FACTOR]],0)</f>
        <v>0</v>
      </c>
      <c r="S158" s="25">
        <f>S157*(1+D157)+Table9[[#This Row],[ACC FACTOR PAYMENTS]]</f>
        <v>226.80532171647405</v>
      </c>
    </row>
    <row r="159" spans="1:19" x14ac:dyDescent="0.25">
      <c r="A159" s="1">
        <v>147</v>
      </c>
      <c r="B159" s="1">
        <f t="shared" si="2"/>
        <v>0</v>
      </c>
      <c r="C159" s="7">
        <f>G$12/-PV(Table7[Monthly mortgage rate], (12*Table7[Amortization period (yrs)]),1 )</f>
        <v>4377.9977174134756</v>
      </c>
      <c r="D159" s="11">
        <f>IF(Table1[[#This Row],[Month]]&lt;=(12*Table7[mortgage term (yrs)]),Table7[Monthly mortgage rate],Table7[Monthly Exp Renewal Rate])</f>
        <v>4.9038466830562122E-3</v>
      </c>
      <c r="E159" s="21">
        <f>Table1[[#This Row],[Current mortgage rate]]*G158</f>
        <v>1817.6255288683797</v>
      </c>
      <c r="F159" s="5">
        <f>Table1[[#This Row],[Payment amount]]-Table1[[#This Row],[Interest paid]]</f>
        <v>2560.3721885450959</v>
      </c>
      <c r="G159" s="20">
        <f>G158-Table1[[#This Row],[Principal repaid]]-Table1[[#This Row],[Annual paym]]</f>
        <v>368092.6368357063</v>
      </c>
      <c r="H159" s="20">
        <f>H158-(Table1[[#This Row],[Payment amount]]-Table1[[#This Row],[Interest Paid W/O LSP]])</f>
        <v>458975.60286543542</v>
      </c>
      <c r="I159">
        <f>H158*Table1[[#This Row],[Current mortgage rate]]</f>
        <v>2261.1267981512729</v>
      </c>
      <c r="J159" s="25">
        <f>IF(Table1[[#This Row],[Month]]&gt;Table7[Amortization period (yrs)]*12,0,IF(Table1[[#This Row],[Month]]&lt;Table7[mortgage term (yrs)]*12,0,IF(Table1[[#This Row],[Month]]=Table7[mortgage term (yrs)]*12,-H$5,Table1[[#This Row],[Payment amount]]+B159)))</f>
        <v>4377.9977174134756</v>
      </c>
      <c r="K159">
        <v>148</v>
      </c>
      <c r="L159">
        <f>Table7[Initial Monthly Deposit]*Table9[[#This Row],[Inflation Modifier]]</f>
        <v>507.29671782501811</v>
      </c>
      <c r="M159">
        <f xml:space="preserve"> (1+Table7[Inflation])^(QUOTIENT(Table9[[#This Row],[Month]]-1,12))</f>
        <v>1.2682417945625453</v>
      </c>
      <c r="N159">
        <f>N158*(1+Table7[Monthly SF Inter])+Table9[[#This Row],[Monthly Payment]]-O158*(1+Table7[Monthly SF Inter])</f>
        <v>2041.7737092884788</v>
      </c>
      <c r="O159">
        <f>IF(MOD(Table9[[#This Row],[Month]],12)=0,(IF(Table9[[#This Row],[Current Balance]]&lt;Table9[[#This Row],[Max Lump Sum ]],Table9[[#This Row],[Current Balance]],Table9[[#This Row],[Max Lump Sum ]])),0)</f>
        <v>0</v>
      </c>
      <c r="P159" s="21">
        <f>Table7[Max annual lump sum repayment]*SUM(C160:C171)</f>
        <v>7880.3958913442566</v>
      </c>
      <c r="Q159" s="25">
        <f>Q158*(1+Table7[Monthly SF Inter])+Table9[[#This Row],[Inflation Modifier]]-R158*(1+Table7[Monthly SF Inter])</f>
        <v>5.104434273221198</v>
      </c>
      <c r="R159" s="25">
        <f>IF(MOD(Table9[[#This Row],[Month]],12)=0,Table9[[#This Row],[Q2 ACC FACTOR]],0)</f>
        <v>0</v>
      </c>
      <c r="S159" s="25">
        <f>S158*(1+D158)+Table9[[#This Row],[ACC FACTOR PAYMENTS]]</f>
        <v>227.91754024107289</v>
      </c>
    </row>
    <row r="160" spans="1:19" x14ac:dyDescent="0.25">
      <c r="A160" s="1">
        <v>148</v>
      </c>
      <c r="B160" s="1">
        <f t="shared" si="2"/>
        <v>0</v>
      </c>
      <c r="C160" s="7">
        <f>G$12/-PV(Table7[Monthly mortgage rate], (12*Table7[Amortization period (yrs)]),1 )</f>
        <v>4377.9977174134756</v>
      </c>
      <c r="D160" s="11">
        <f>IF(Table1[[#This Row],[Month]]&lt;=(12*Table7[mortgage term (yrs)]),Table7[Monthly mortgage rate],Table7[Monthly Exp Renewal Rate])</f>
        <v>4.9038466830562122E-3</v>
      </c>
      <c r="E160" s="21">
        <f>Table1[[#This Row],[Current mortgage rate]]*G159</f>
        <v>1805.0698562041932</v>
      </c>
      <c r="F160" s="5">
        <f>Table1[[#This Row],[Payment amount]]-Table1[[#This Row],[Interest paid]]</f>
        <v>2572.9278612092821</v>
      </c>
      <c r="G160" s="20">
        <f>G159-Table1[[#This Row],[Principal repaid]]-Table1[[#This Row],[Annual paym]]</f>
        <v>365519.70897449704</v>
      </c>
      <c r="H160" s="20">
        <f>H159-(Table1[[#This Row],[Payment amount]]-Table1[[#This Row],[Interest Paid W/O LSP]])</f>
        <v>456848.35113573732</v>
      </c>
      <c r="I160">
        <f>H159*Table1[[#This Row],[Current mortgage rate]]</f>
        <v>2250.7459877153906</v>
      </c>
      <c r="J160" s="25">
        <f>IF(Table1[[#This Row],[Month]]&gt;Table7[Amortization period (yrs)]*12,0,IF(Table1[[#This Row],[Month]]&lt;Table7[mortgage term (yrs)]*12,0,IF(Table1[[#This Row],[Month]]=Table7[mortgage term (yrs)]*12,-H$5,Table1[[#This Row],[Payment amount]]+B160)))</f>
        <v>4377.9977174134756</v>
      </c>
      <c r="K160">
        <v>149</v>
      </c>
      <c r="L160">
        <f>Table7[Initial Monthly Deposit]*Table9[[#This Row],[Inflation Modifier]]</f>
        <v>507.29671782501811</v>
      </c>
      <c r="M160">
        <f xml:space="preserve"> (1+Table7[Inflation])^(QUOTIENT(Table9[[#This Row],[Month]]-1,12))</f>
        <v>1.2682417945625453</v>
      </c>
      <c r="N160">
        <f>N159*(1+Table7[Monthly SF Inter])+Table9[[#This Row],[Monthly Payment]]-O159*(1+Table7[Monthly SF Inter])</f>
        <v>2557.4905292895569</v>
      </c>
      <c r="O160">
        <f>IF(MOD(Table9[[#This Row],[Month]],12)=0,(IF(Table9[[#This Row],[Current Balance]]&lt;Table9[[#This Row],[Max Lump Sum ]],Table9[[#This Row],[Current Balance]],Table9[[#This Row],[Max Lump Sum ]])),0)</f>
        <v>0</v>
      </c>
      <c r="P160" s="21">
        <f>Table7[Max annual lump sum repayment]*SUM(C161:C172)</f>
        <v>7880.3958913442566</v>
      </c>
      <c r="Q160" s="25">
        <f>Q159*(1+Table7[Monthly SF Inter])+Table9[[#This Row],[Inflation Modifier]]-R159*(1+Table7[Monthly SF Inter])</f>
        <v>6.3937263232238921</v>
      </c>
      <c r="R160" s="25">
        <f>IF(MOD(Table9[[#This Row],[Month]],12)=0,Table9[[#This Row],[Q2 ACC FACTOR]],0)</f>
        <v>0</v>
      </c>
      <c r="S160" s="25">
        <f>S159*(1+D159)+Table9[[#This Row],[ACC FACTOR PAYMENTS]]</f>
        <v>229.03521291479441</v>
      </c>
    </row>
    <row r="161" spans="1:19" x14ac:dyDescent="0.25">
      <c r="A161" s="1">
        <v>149</v>
      </c>
      <c r="B161" s="1">
        <f t="shared" si="2"/>
        <v>0</v>
      </c>
      <c r="C161" s="7">
        <f>G$12/-PV(Table7[Monthly mortgage rate], (12*Table7[Amortization period (yrs)]),1 )</f>
        <v>4377.9977174134756</v>
      </c>
      <c r="D161" s="11">
        <f>IF(Table1[[#This Row],[Month]]&lt;=(12*Table7[mortgage term (yrs)]),Table7[Monthly mortgage rate],Table7[Monthly Exp Renewal Rate])</f>
        <v>4.9038466830562122E-3</v>
      </c>
      <c r="E161" s="21">
        <f>Table1[[#This Row],[Current mortgage rate]]*G160</f>
        <v>1792.4526124462593</v>
      </c>
      <c r="F161" s="5">
        <f>Table1[[#This Row],[Payment amount]]-Table1[[#This Row],[Interest paid]]</f>
        <v>2585.5451049672165</v>
      </c>
      <c r="G161" s="20">
        <f>G160-Table1[[#This Row],[Principal repaid]]-Table1[[#This Row],[Annual paym]]</f>
        <v>362934.16386952985</v>
      </c>
      <c r="H161" s="20">
        <f>H160-(Table1[[#This Row],[Payment amount]]-Table1[[#This Row],[Interest Paid W/O LSP]])</f>
        <v>454710.66768970055</v>
      </c>
      <c r="I161">
        <f>H160*Table1[[#This Row],[Current mortgage rate]]</f>
        <v>2240.3142713766852</v>
      </c>
      <c r="J161" s="25">
        <f>IF(Table1[[#This Row],[Month]]&gt;Table7[Amortization period (yrs)]*12,0,IF(Table1[[#This Row],[Month]]&lt;Table7[mortgage term (yrs)]*12,0,IF(Table1[[#This Row],[Month]]=Table7[mortgage term (yrs)]*12,-H$5,Table1[[#This Row],[Payment amount]]+B161)))</f>
        <v>4377.9977174134756</v>
      </c>
      <c r="K161">
        <v>150</v>
      </c>
      <c r="L161">
        <f>Table7[Initial Monthly Deposit]*Table9[[#This Row],[Inflation Modifier]]</f>
        <v>507.29671782501811</v>
      </c>
      <c r="M161">
        <f xml:space="preserve"> (1+Table7[Inflation])^(QUOTIENT(Table9[[#This Row],[Month]]-1,12))</f>
        <v>1.2682417945625453</v>
      </c>
      <c r="N161">
        <f>N160*(1+Table7[Monthly SF Inter])+Table9[[#This Row],[Monthly Payment]]-O160*(1+Table7[Monthly SF Inter])</f>
        <v>3075.3341218602723</v>
      </c>
      <c r="O161">
        <f>IF(MOD(Table9[[#This Row],[Month]],12)=0,(IF(Table9[[#This Row],[Current Balance]]&lt;Table9[[#This Row],[Max Lump Sum ]],Table9[[#This Row],[Current Balance]],Table9[[#This Row],[Max Lump Sum ]])),0)</f>
        <v>0</v>
      </c>
      <c r="P161" s="21">
        <f>Table7[Max annual lump sum repayment]*SUM(C162:C173)</f>
        <v>7880.3958913442566</v>
      </c>
      <c r="Q161" s="25">
        <f>Q160*(1+Table7[Monthly SF Inter])+Table9[[#This Row],[Inflation Modifier]]-R160*(1+Table7[Monthly SF Inter])</f>
        <v>7.6883353046506802</v>
      </c>
      <c r="R161" s="25">
        <f>IF(MOD(Table9[[#This Row],[Month]],12)=0,Table9[[#This Row],[Q2 ACC FACTOR]],0)</f>
        <v>0</v>
      </c>
      <c r="S161" s="25">
        <f>S160*(1+D160)+Table9[[#This Row],[ACC FACTOR PAYMENTS]]</f>
        <v>230.15836648394969</v>
      </c>
    </row>
    <row r="162" spans="1:19" x14ac:dyDescent="0.25">
      <c r="A162" s="1">
        <v>150</v>
      </c>
      <c r="B162" s="1">
        <f t="shared" si="2"/>
        <v>0</v>
      </c>
      <c r="C162" s="7">
        <f>G$12/-PV(Table7[Monthly mortgage rate], (12*Table7[Amortization period (yrs)]),1 )</f>
        <v>4377.9977174134756</v>
      </c>
      <c r="D162" s="11">
        <f>IF(Table1[[#This Row],[Month]]&lt;=(12*Table7[mortgage term (yrs)]),Table7[Monthly mortgage rate],Table7[Monthly Exp Renewal Rate])</f>
        <v>4.9038466830562122E-3</v>
      </c>
      <c r="E162" s="21">
        <f>Table1[[#This Row],[Current mortgage rate]]*G161</f>
        <v>1779.7734956593738</v>
      </c>
      <c r="F162" s="5">
        <f>Table1[[#This Row],[Payment amount]]-Table1[[#This Row],[Interest paid]]</f>
        <v>2598.2242217541016</v>
      </c>
      <c r="G162" s="20">
        <f>G161-Table1[[#This Row],[Principal repaid]]-Table1[[#This Row],[Annual paym]]</f>
        <v>360335.93964777573</v>
      </c>
      <c r="H162" s="20">
        <f>H161-(Table1[[#This Row],[Payment amount]]-Table1[[#This Row],[Interest Paid W/O LSP]])</f>
        <v>452562.50137178751</v>
      </c>
      <c r="I162">
        <f>H161*Table1[[#This Row],[Current mortgage rate]]</f>
        <v>2229.8313995004137</v>
      </c>
      <c r="J162" s="25">
        <f>IF(Table1[[#This Row],[Month]]&gt;Table7[Amortization period (yrs)]*12,0,IF(Table1[[#This Row],[Month]]&lt;Table7[mortgage term (yrs)]*12,0,IF(Table1[[#This Row],[Month]]=Table7[mortgage term (yrs)]*12,-H$5,Table1[[#This Row],[Payment amount]]+B162)))</f>
        <v>4377.9977174134756</v>
      </c>
      <c r="K162">
        <v>151</v>
      </c>
      <c r="L162">
        <f>Table7[Initial Monthly Deposit]*Table9[[#This Row],[Inflation Modifier]]</f>
        <v>507.29671782501811</v>
      </c>
      <c r="M162">
        <f xml:space="preserve"> (1+Table7[Inflation])^(QUOTIENT(Table9[[#This Row],[Month]]-1,12))</f>
        <v>1.2682417945625453</v>
      </c>
      <c r="N162">
        <f>N161*(1+Table7[Monthly SF Inter])+Table9[[#This Row],[Monthly Payment]]-O161*(1+Table7[Monthly SF Inter])</f>
        <v>3595.3132576309158</v>
      </c>
      <c r="O162">
        <f>IF(MOD(Table9[[#This Row],[Month]],12)=0,(IF(Table9[[#This Row],[Current Balance]]&lt;Table9[[#This Row],[Max Lump Sum ]],Table9[[#This Row],[Current Balance]],Table9[[#This Row],[Max Lump Sum ]])),0)</f>
        <v>0</v>
      </c>
      <c r="P162" s="21">
        <f>Table7[Max annual lump sum repayment]*SUM(C163:C174)</f>
        <v>7880.3958913442566</v>
      </c>
      <c r="Q162" s="25">
        <f>Q161*(1+Table7[Monthly SF Inter])+Table9[[#This Row],[Inflation Modifier]]-R161*(1+Table7[Monthly SF Inter])</f>
        <v>8.9882831440772897</v>
      </c>
      <c r="R162" s="25">
        <f>IF(MOD(Table9[[#This Row],[Month]],12)=0,Table9[[#This Row],[Q2 ACC FACTOR]],0)</f>
        <v>0</v>
      </c>
      <c r="S162" s="25">
        <f>S161*(1+D161)+Table9[[#This Row],[ACC FACTOR PAYMENTS]]</f>
        <v>231.28702782600965</v>
      </c>
    </row>
    <row r="163" spans="1:19" x14ac:dyDescent="0.25">
      <c r="A163" s="1">
        <v>151</v>
      </c>
      <c r="B163" s="1">
        <f t="shared" si="2"/>
        <v>0</v>
      </c>
      <c r="C163" s="7">
        <f>G$12/-PV(Table7[Monthly mortgage rate], (12*Table7[Amortization period (yrs)]),1 )</f>
        <v>4377.9977174134756</v>
      </c>
      <c r="D163" s="11">
        <f>IF(Table1[[#This Row],[Month]]&lt;=(12*Table7[mortgage term (yrs)]),Table7[Monthly mortgage rate],Table7[Monthly Exp Renewal Rate])</f>
        <v>4.9038466830562122E-3</v>
      </c>
      <c r="E163" s="21">
        <f>Table1[[#This Row],[Current mortgage rate]]*G162</f>
        <v>1767.0322024276884</v>
      </c>
      <c r="F163" s="5">
        <f>Table1[[#This Row],[Payment amount]]-Table1[[#This Row],[Interest paid]]</f>
        <v>2610.9655149857872</v>
      </c>
      <c r="G163" s="20">
        <f>G162-Table1[[#This Row],[Principal repaid]]-Table1[[#This Row],[Annual paym]]</f>
        <v>357724.97413278994</v>
      </c>
      <c r="H163" s="20">
        <f>H162-(Table1[[#This Row],[Payment amount]]-Table1[[#This Row],[Interest Paid W/O LSP]])</f>
        <v>450403.8007756017</v>
      </c>
      <c r="I163">
        <f>H162*Table1[[#This Row],[Current mortgage rate]]</f>
        <v>2219.2971212276625</v>
      </c>
      <c r="J163" s="25">
        <f>IF(Table1[[#This Row],[Month]]&gt;Table7[Amortization period (yrs)]*12,0,IF(Table1[[#This Row],[Month]]&lt;Table7[mortgage term (yrs)]*12,0,IF(Table1[[#This Row],[Month]]=Table7[mortgage term (yrs)]*12,-H$5,Table1[[#This Row],[Payment amount]]+B163)))</f>
        <v>4377.9977174134756</v>
      </c>
      <c r="K163">
        <v>152</v>
      </c>
      <c r="L163">
        <f>Table7[Initial Monthly Deposit]*Table9[[#This Row],[Inflation Modifier]]</f>
        <v>507.29671782501811</v>
      </c>
      <c r="M163">
        <f xml:space="preserve"> (1+Table7[Inflation])^(QUOTIENT(Table9[[#This Row],[Month]]-1,12))</f>
        <v>1.2682417945625453</v>
      </c>
      <c r="N163">
        <f>N162*(1+Table7[Monthly SF Inter])+Table9[[#This Row],[Monthly Payment]]-O162*(1+Table7[Monthly SF Inter])</f>
        <v>4117.4367434011165</v>
      </c>
      <c r="O163">
        <f>IF(MOD(Table9[[#This Row],[Month]],12)=0,(IF(Table9[[#This Row],[Current Balance]]&lt;Table9[[#This Row],[Max Lump Sum ]],Table9[[#This Row],[Current Balance]],Table9[[#This Row],[Max Lump Sum ]])),0)</f>
        <v>0</v>
      </c>
      <c r="P163" s="21">
        <f>Table7[Max annual lump sum repayment]*SUM(C164:C175)</f>
        <v>7880.3958913442566</v>
      </c>
      <c r="Q163" s="25">
        <f>Q162*(1+Table7[Monthly SF Inter])+Table9[[#This Row],[Inflation Modifier]]-R162*(1+Table7[Monthly SF Inter])</f>
        <v>10.29359185850279</v>
      </c>
      <c r="R163" s="25">
        <f>IF(MOD(Table9[[#This Row],[Month]],12)=0,Table9[[#This Row],[Q2 ACC FACTOR]],0)</f>
        <v>0</v>
      </c>
      <c r="S163" s="25">
        <f>S162*(1+D162)+Table9[[#This Row],[ACC FACTOR PAYMENTS]]</f>
        <v>232.42122395024816</v>
      </c>
    </row>
    <row r="164" spans="1:19" x14ac:dyDescent="0.25">
      <c r="A164" s="1">
        <v>152</v>
      </c>
      <c r="B164" s="1">
        <f t="shared" si="2"/>
        <v>0</v>
      </c>
      <c r="C164" s="7">
        <f>G$12/-PV(Table7[Monthly mortgage rate], (12*Table7[Amortization period (yrs)]),1 )</f>
        <v>4377.9977174134756</v>
      </c>
      <c r="D164" s="11">
        <f>IF(Table1[[#This Row],[Month]]&lt;=(12*Table7[mortgage term (yrs)]),Table7[Monthly mortgage rate],Table7[Monthly Exp Renewal Rate])</f>
        <v>4.9038466830562122E-3</v>
      </c>
      <c r="E164" s="21">
        <f>Table1[[#This Row],[Current mortgage rate]]*G163</f>
        <v>1754.2284278474513</v>
      </c>
      <c r="F164" s="5">
        <f>Table1[[#This Row],[Payment amount]]-Table1[[#This Row],[Interest paid]]</f>
        <v>2623.7692895660243</v>
      </c>
      <c r="G164" s="20">
        <f>G163-Table1[[#This Row],[Principal repaid]]-Table1[[#This Row],[Annual paym]]</f>
        <v>355101.20484322391</v>
      </c>
      <c r="H164" s="20">
        <f>H163-(Table1[[#This Row],[Payment amount]]-Table1[[#This Row],[Interest Paid W/O LSP]])</f>
        <v>448234.51424265758</v>
      </c>
      <c r="I164">
        <f>H163*Table1[[#This Row],[Current mortgage rate]]</f>
        <v>2208.7111844693454</v>
      </c>
      <c r="J164" s="25">
        <f>IF(Table1[[#This Row],[Month]]&gt;Table7[Amortization period (yrs)]*12,0,IF(Table1[[#This Row],[Month]]&lt;Table7[mortgage term (yrs)]*12,0,IF(Table1[[#This Row],[Month]]=Table7[mortgage term (yrs)]*12,-H$5,Table1[[#This Row],[Payment amount]]+B164)))</f>
        <v>4377.9977174134756</v>
      </c>
      <c r="K164">
        <v>153</v>
      </c>
      <c r="L164">
        <f>Table7[Initial Monthly Deposit]*Table9[[#This Row],[Inflation Modifier]]</f>
        <v>507.29671782501811</v>
      </c>
      <c r="M164">
        <f xml:space="preserve"> (1+Table7[Inflation])^(QUOTIENT(Table9[[#This Row],[Month]]-1,12))</f>
        <v>1.2682417945625453</v>
      </c>
      <c r="N164">
        <f>N163*(1+Table7[Monthly SF Inter])+Table9[[#This Row],[Monthly Payment]]-O163*(1+Table7[Monthly SF Inter])</f>
        <v>4641.7134222889999</v>
      </c>
      <c r="O164">
        <f>IF(MOD(Table9[[#This Row],[Month]],12)=0,(IF(Table9[[#This Row],[Current Balance]]&lt;Table9[[#This Row],[Max Lump Sum ]],Table9[[#This Row],[Current Balance]],Table9[[#This Row],[Max Lump Sum ]])),0)</f>
        <v>0</v>
      </c>
      <c r="P164" s="21">
        <f>Table7[Max annual lump sum repayment]*SUM(C165:C176)</f>
        <v>7880.3958913442566</v>
      </c>
      <c r="Q164" s="25">
        <f>Q163*(1+Table7[Monthly SF Inter])+Table9[[#This Row],[Inflation Modifier]]-R163*(1+Table7[Monthly SF Inter])</f>
        <v>11.604283555722498</v>
      </c>
      <c r="R164" s="25">
        <f>IF(MOD(Table9[[#This Row],[Month]],12)=0,Table9[[#This Row],[Q2 ACC FACTOR]],0)</f>
        <v>0</v>
      </c>
      <c r="S164" s="25">
        <f>S163*(1+D163)+Table9[[#This Row],[ACC FACTOR PAYMENTS]]</f>
        <v>233.56098199838846</v>
      </c>
    </row>
    <row r="165" spans="1:19" x14ac:dyDescent="0.25">
      <c r="A165" s="1">
        <v>153</v>
      </c>
      <c r="B165" s="1">
        <f t="shared" si="2"/>
        <v>0</v>
      </c>
      <c r="C165" s="7">
        <f>G$12/-PV(Table7[Monthly mortgage rate], (12*Table7[Amortization period (yrs)]),1 )</f>
        <v>4377.9977174134756</v>
      </c>
      <c r="D165" s="11">
        <f>IF(Table1[[#This Row],[Month]]&lt;=(12*Table7[mortgage term (yrs)]),Table7[Monthly mortgage rate],Table7[Monthly Exp Renewal Rate])</f>
        <v>4.9038466830562122E-3</v>
      </c>
      <c r="E165" s="21">
        <f>Table1[[#This Row],[Current mortgage rate]]*G164</f>
        <v>1741.3618655197081</v>
      </c>
      <c r="F165" s="5">
        <f>Table1[[#This Row],[Payment amount]]-Table1[[#This Row],[Interest paid]]</f>
        <v>2636.6358518937677</v>
      </c>
      <c r="G165" s="20">
        <f>G164-Table1[[#This Row],[Principal repaid]]-Table1[[#This Row],[Annual paym]]</f>
        <v>352464.56899133016</v>
      </c>
      <c r="H165" s="20">
        <f>H164-(Table1[[#This Row],[Payment amount]]-Table1[[#This Row],[Interest Paid W/O LSP]])</f>
        <v>446054.58986114425</v>
      </c>
      <c r="I165">
        <f>H164*Table1[[#This Row],[Current mortgage rate]]</f>
        <v>2198.0733359001688</v>
      </c>
      <c r="J165" s="25">
        <f>IF(Table1[[#This Row],[Month]]&gt;Table7[Amortization period (yrs)]*12,0,IF(Table1[[#This Row],[Month]]&lt;Table7[mortgage term (yrs)]*12,0,IF(Table1[[#This Row],[Month]]=Table7[mortgage term (yrs)]*12,-H$5,Table1[[#This Row],[Payment amount]]+B165)))</f>
        <v>4377.9977174134756</v>
      </c>
      <c r="K165">
        <v>154</v>
      </c>
      <c r="L165">
        <f>Table7[Initial Monthly Deposit]*Table9[[#This Row],[Inflation Modifier]]</f>
        <v>507.29671782501811</v>
      </c>
      <c r="M165">
        <f xml:space="preserve"> (1+Table7[Inflation])^(QUOTIENT(Table9[[#This Row],[Month]]-1,12))</f>
        <v>1.2682417945625453</v>
      </c>
      <c r="N165">
        <f>N164*(1+Table7[Monthly SF Inter])+Table9[[#This Row],[Monthly Payment]]-O164*(1+Table7[Monthly SF Inter])</f>
        <v>5168.1521738809633</v>
      </c>
      <c r="O165">
        <f>IF(MOD(Table9[[#This Row],[Month]],12)=0,(IF(Table9[[#This Row],[Current Balance]]&lt;Table9[[#This Row],[Max Lump Sum ]],Table9[[#This Row],[Current Balance]],Table9[[#This Row],[Max Lump Sum ]])),0)</f>
        <v>0</v>
      </c>
      <c r="P165" s="21">
        <f>Table7[Max annual lump sum repayment]*SUM(C166:C177)</f>
        <v>7880.3958913442566</v>
      </c>
      <c r="Q165" s="25">
        <f>Q164*(1+Table7[Monthly SF Inter])+Table9[[#This Row],[Inflation Modifier]]-R164*(1+Table7[Monthly SF Inter])</f>
        <v>12.920380434702405</v>
      </c>
      <c r="R165" s="25">
        <f>IF(MOD(Table9[[#This Row],[Month]],12)=0,Table9[[#This Row],[Q2 ACC FACTOR]],0)</f>
        <v>0</v>
      </c>
      <c r="S165" s="25">
        <f>S164*(1+D164)+Table9[[#This Row],[ACC FACTOR PAYMENTS]]</f>
        <v>234.70632924525262</v>
      </c>
    </row>
    <row r="166" spans="1:19" x14ac:dyDescent="0.25">
      <c r="A166" s="1">
        <v>154</v>
      </c>
      <c r="B166" s="1">
        <f t="shared" si="2"/>
        <v>0</v>
      </c>
      <c r="C166" s="7">
        <f>G$12/-PV(Table7[Monthly mortgage rate], (12*Table7[Amortization period (yrs)]),1 )</f>
        <v>4377.9977174134756</v>
      </c>
      <c r="D166" s="11">
        <f>IF(Table1[[#This Row],[Month]]&lt;=(12*Table7[mortgage term (yrs)]),Table7[Monthly mortgage rate],Table7[Monthly Exp Renewal Rate])</f>
        <v>4.9038466830562122E-3</v>
      </c>
      <c r="E166" s="21">
        <f>Table1[[#This Row],[Current mortgage rate]]*G165</f>
        <v>1728.4322075429718</v>
      </c>
      <c r="F166" s="5">
        <f>Table1[[#This Row],[Payment amount]]-Table1[[#This Row],[Interest paid]]</f>
        <v>2649.5655098705038</v>
      </c>
      <c r="G166" s="20">
        <f>G165-Table1[[#This Row],[Principal repaid]]-Table1[[#This Row],[Annual paym]]</f>
        <v>349815.00348145963</v>
      </c>
      <c r="H166" s="20">
        <f>H165-(Table1[[#This Row],[Payment amount]]-Table1[[#This Row],[Interest Paid W/O LSP]])</f>
        <v>443863.97546468338</v>
      </c>
      <c r="I166">
        <f>H165*Table1[[#This Row],[Current mortgage rate]]</f>
        <v>2187.3833209525715</v>
      </c>
      <c r="J166" s="25">
        <f>IF(Table1[[#This Row],[Month]]&gt;Table7[Amortization period (yrs)]*12,0,IF(Table1[[#This Row],[Month]]&lt;Table7[mortgage term (yrs)]*12,0,IF(Table1[[#This Row],[Month]]=Table7[mortgage term (yrs)]*12,-H$5,Table1[[#This Row],[Payment amount]]+B166)))</f>
        <v>4377.9977174134756</v>
      </c>
      <c r="K166">
        <v>155</v>
      </c>
      <c r="L166">
        <f>Table7[Initial Monthly Deposit]*Table9[[#This Row],[Inflation Modifier]]</f>
        <v>507.29671782501811</v>
      </c>
      <c r="M166">
        <f xml:space="preserve"> (1+Table7[Inflation])^(QUOTIENT(Table9[[#This Row],[Month]]-1,12))</f>
        <v>1.2682417945625453</v>
      </c>
      <c r="N166">
        <f>N165*(1+Table7[Monthly SF Inter])+Table9[[#This Row],[Monthly Payment]]-O165*(1+Table7[Monthly SF Inter])</f>
        <v>5696.7619143820684</v>
      </c>
      <c r="O166">
        <f>IF(MOD(Table9[[#This Row],[Month]],12)=0,(IF(Table9[[#This Row],[Current Balance]]&lt;Table9[[#This Row],[Max Lump Sum ]],Table9[[#This Row],[Current Balance]],Table9[[#This Row],[Max Lump Sum ]])),0)</f>
        <v>0</v>
      </c>
      <c r="P166" s="21">
        <f>Table7[Max annual lump sum repayment]*SUM(C167:C178)</f>
        <v>7880.3958913442566</v>
      </c>
      <c r="Q166" s="25">
        <f>Q165*(1+Table7[Monthly SF Inter])+Table9[[#This Row],[Inflation Modifier]]-R165*(1+Table7[Monthly SF Inter])</f>
        <v>14.241904785955168</v>
      </c>
      <c r="R166" s="25">
        <f>IF(MOD(Table9[[#This Row],[Month]],12)=0,Table9[[#This Row],[Q2 ACC FACTOR]],0)</f>
        <v>0</v>
      </c>
      <c r="S166" s="25">
        <f>S165*(1+D165)+Table9[[#This Row],[ACC FACTOR PAYMENTS]]</f>
        <v>235.85729309941425</v>
      </c>
    </row>
    <row r="167" spans="1:19" x14ac:dyDescent="0.25">
      <c r="A167" s="1">
        <v>155</v>
      </c>
      <c r="B167" s="1">
        <f t="shared" si="2"/>
        <v>0</v>
      </c>
      <c r="C167" s="7">
        <f>G$12/-PV(Table7[Monthly mortgage rate], (12*Table7[Amortization period (yrs)]),1 )</f>
        <v>4377.9977174134756</v>
      </c>
      <c r="D167" s="11">
        <f>IF(Table1[[#This Row],[Month]]&lt;=(12*Table7[mortgage term (yrs)]),Table7[Monthly mortgage rate],Table7[Monthly Exp Renewal Rate])</f>
        <v>4.9038466830562122E-3</v>
      </c>
      <c r="E167" s="21">
        <f>Table1[[#This Row],[Current mortgage rate]]*G166</f>
        <v>1715.4391445058532</v>
      </c>
      <c r="F167" s="5">
        <f>Table1[[#This Row],[Payment amount]]-Table1[[#This Row],[Interest paid]]</f>
        <v>2662.5585729076224</v>
      </c>
      <c r="G167" s="20">
        <f>G166-Table1[[#This Row],[Principal repaid]]-Table1[[#This Row],[Annual paym]]</f>
        <v>347152.44490855199</v>
      </c>
      <c r="H167" s="20">
        <f>H166-(Table1[[#This Row],[Payment amount]]-Table1[[#This Row],[Interest Paid W/O LSP]])</f>
        <v>441662.61863108055</v>
      </c>
      <c r="I167">
        <f>H166*Table1[[#This Row],[Current mortgage rate]]</f>
        <v>2176.6408838106313</v>
      </c>
      <c r="J167" s="25">
        <f>IF(Table1[[#This Row],[Month]]&gt;Table7[Amortization period (yrs)]*12,0,IF(Table1[[#This Row],[Month]]&lt;Table7[mortgage term (yrs)]*12,0,IF(Table1[[#This Row],[Month]]=Table7[mortgage term (yrs)]*12,-H$5,Table1[[#This Row],[Payment amount]]+B167)))</f>
        <v>4377.9977174134756</v>
      </c>
      <c r="K167">
        <v>156</v>
      </c>
      <c r="L167">
        <f>Table7[Initial Monthly Deposit]*Table9[[#This Row],[Inflation Modifier]]</f>
        <v>507.29671782501811</v>
      </c>
      <c r="M167">
        <f xml:space="preserve"> (1+Table7[Inflation])^(QUOTIENT(Table9[[#This Row],[Month]]-1,12))</f>
        <v>1.2682417945625453</v>
      </c>
      <c r="N167">
        <f>N166*(1+Table7[Monthly SF Inter])+Table9[[#This Row],[Monthly Payment]]-O166*(1+Table7[Monthly SF Inter])</f>
        <v>6227.5515967670517</v>
      </c>
      <c r="O167">
        <f>IF(MOD(Table9[[#This Row],[Month]],12)=0,(IF(Table9[[#This Row],[Current Balance]]&lt;Table9[[#This Row],[Max Lump Sum ]],Table9[[#This Row],[Current Balance]],Table9[[#This Row],[Max Lump Sum ]])),0)</f>
        <v>6227.5515967670517</v>
      </c>
      <c r="P167" s="21">
        <f>Table7[Max annual lump sum repayment]*SUM(C168:C179)</f>
        <v>7880.3958913442566</v>
      </c>
      <c r="Q167" s="25">
        <f>Q166*(1+Table7[Monthly SF Inter])+Table9[[#This Row],[Inflation Modifier]]-R166*(1+Table7[Monthly SF Inter])</f>
        <v>15.568878991917625</v>
      </c>
      <c r="R167" s="25">
        <f>IF(MOD(Table9[[#This Row],[Month]],12)=0,Table9[[#This Row],[Q2 ACC FACTOR]],0)</f>
        <v>15.568878991917625</v>
      </c>
      <c r="S167" s="25">
        <f>S166*(1+D166)+Table9[[#This Row],[ACC FACTOR PAYMENTS]]</f>
        <v>252.58278009577205</v>
      </c>
    </row>
    <row r="168" spans="1:19" x14ac:dyDescent="0.25">
      <c r="A168" s="1">
        <v>156</v>
      </c>
      <c r="B168" s="1">
        <f t="shared" si="2"/>
        <v>6227.5515967670517</v>
      </c>
      <c r="C168" s="7">
        <f>G$12/-PV(Table7[Monthly mortgage rate], (12*Table7[Amortization period (yrs)]),1 )</f>
        <v>4377.9977174134756</v>
      </c>
      <c r="D168" s="11">
        <f>IF(Table1[[#This Row],[Month]]&lt;=(12*Table7[mortgage term (yrs)]),Table7[Monthly mortgage rate],Table7[Monthly Exp Renewal Rate])</f>
        <v>4.9038466830562122E-3</v>
      </c>
      <c r="E168" s="21">
        <f>Table1[[#This Row],[Current mortgage rate]]*G167</f>
        <v>1702.3823654796572</v>
      </c>
      <c r="F168" s="5">
        <f>Table1[[#This Row],[Payment amount]]-Table1[[#This Row],[Interest paid]]</f>
        <v>2675.6153519338186</v>
      </c>
      <c r="G168" s="20">
        <f>G167-Table1[[#This Row],[Principal repaid]]-Table1[[#This Row],[Annual paym]]</f>
        <v>338249.27795985114</v>
      </c>
      <c r="H168" s="20">
        <f>H167-(Table1[[#This Row],[Payment amount]]-Table1[[#This Row],[Interest Paid W/O LSP]])</f>
        <v>439450.46668107103</v>
      </c>
      <c r="I168">
        <f>H167*Table1[[#This Row],[Current mortgage rate]]</f>
        <v>2165.845767403945</v>
      </c>
      <c r="J168" s="25">
        <f>IF(Table1[[#This Row],[Month]]&gt;Table7[Amortization period (yrs)]*12,0,IF(Table1[[#This Row],[Month]]&lt;Table7[mortgage term (yrs)]*12,0,IF(Table1[[#This Row],[Month]]=Table7[mortgage term (yrs)]*12,-H$5,Table1[[#This Row],[Payment amount]]+B168)))</f>
        <v>10605.549314180527</v>
      </c>
      <c r="K168">
        <v>157</v>
      </c>
      <c r="L168">
        <f>Table7[Initial Monthly Deposit]*Table9[[#This Row],[Inflation Modifier]]</f>
        <v>517.44265218151838</v>
      </c>
      <c r="M168">
        <f xml:space="preserve"> (1+Table7[Inflation])^(QUOTIENT(Table9[[#This Row],[Month]]-1,12))</f>
        <v>1.2936066304537961</v>
      </c>
      <c r="N168">
        <f>N167*(1+Table7[Monthly SF Inter])+Table9[[#This Row],[Monthly Payment]]-O167*(1+Table7[Monthly SF Inter])</f>
        <v>517.4426521815185</v>
      </c>
      <c r="O168">
        <f>IF(MOD(Table9[[#This Row],[Month]],12)=0,(IF(Table9[[#This Row],[Current Balance]]&lt;Table9[[#This Row],[Max Lump Sum ]],Table9[[#This Row],[Current Balance]],Table9[[#This Row],[Max Lump Sum ]])),0)</f>
        <v>0</v>
      </c>
      <c r="P168" s="21">
        <f>Table7[Max annual lump sum repayment]*SUM(C169:C180)</f>
        <v>7880.3958913442566</v>
      </c>
      <c r="Q168" s="25">
        <f>Q167*(1+Table7[Monthly SF Inter])+Table9[[#This Row],[Inflation Modifier]]-R167*(1+Table7[Monthly SF Inter])</f>
        <v>1.2936066304537945</v>
      </c>
      <c r="R168" s="25">
        <f>IF(MOD(Table9[[#This Row],[Month]],12)=0,Table9[[#This Row],[Q2 ACC FACTOR]],0)</f>
        <v>0</v>
      </c>
      <c r="S168" s="25">
        <f>S167*(1+D167)+Table9[[#This Row],[ACC FACTOR PAYMENTS]]</f>
        <v>253.82140732414183</v>
      </c>
    </row>
    <row r="169" spans="1:19" x14ac:dyDescent="0.25">
      <c r="A169" s="1">
        <v>157</v>
      </c>
      <c r="B169" s="1">
        <f t="shared" si="2"/>
        <v>0</v>
      </c>
      <c r="C169" s="7">
        <f>G$12/-PV(Table7[Monthly mortgage rate], (12*Table7[Amortization period (yrs)]),1 )</f>
        <v>4377.9977174134756</v>
      </c>
      <c r="D169" s="11">
        <f>IF(Table1[[#This Row],[Month]]&lt;=(12*Table7[mortgage term (yrs)]),Table7[Monthly mortgage rate],Table7[Monthly Exp Renewal Rate])</f>
        <v>4.9038466830562122E-3</v>
      </c>
      <c r="E169" s="21">
        <f>Table1[[#This Row],[Current mortgage rate]]*G168</f>
        <v>1658.7225997695748</v>
      </c>
      <c r="F169" s="5">
        <f>Table1[[#This Row],[Payment amount]]-Table1[[#This Row],[Interest paid]]</f>
        <v>2719.2751176439006</v>
      </c>
      <c r="G169" s="20">
        <f>G168-Table1[[#This Row],[Principal repaid]]-Table1[[#This Row],[Annual paym]]</f>
        <v>335530.00284220726</v>
      </c>
      <c r="H169" s="20">
        <f>H168-(Table1[[#This Row],[Payment amount]]-Table1[[#This Row],[Interest Paid W/O LSP]])</f>
        <v>437227.46667705901</v>
      </c>
      <c r="I169">
        <f>H168*Table1[[#This Row],[Current mortgage rate]]</f>
        <v>2154.9977134014748</v>
      </c>
      <c r="J169" s="25">
        <f>IF(Table1[[#This Row],[Month]]&gt;Table7[Amortization period (yrs)]*12,0,IF(Table1[[#This Row],[Month]]&lt;Table7[mortgage term (yrs)]*12,0,IF(Table1[[#This Row],[Month]]=Table7[mortgage term (yrs)]*12,-H$5,Table1[[#This Row],[Payment amount]]+B169)))</f>
        <v>4377.9977174134756</v>
      </c>
      <c r="K169">
        <v>158</v>
      </c>
      <c r="L169">
        <f>Table7[Initial Monthly Deposit]*Table9[[#This Row],[Inflation Modifier]]</f>
        <v>517.44265218151838</v>
      </c>
      <c r="M169">
        <f xml:space="preserve"> (1+Table7[Inflation])^(QUOTIENT(Table9[[#This Row],[Month]]-1,12))</f>
        <v>1.2936066304537961</v>
      </c>
      <c r="N169">
        <f>N168*(1+Table7[Monthly SF Inter])+Table9[[#This Row],[Monthly Payment]]-O168*(1+Table7[Monthly SF Inter])</f>
        <v>1037.0191941186936</v>
      </c>
      <c r="O169">
        <f>IF(MOD(Table9[[#This Row],[Month]],12)=0,(IF(Table9[[#This Row],[Current Balance]]&lt;Table9[[#This Row],[Max Lump Sum ]],Table9[[#This Row],[Current Balance]],Table9[[#This Row],[Max Lump Sum ]])),0)</f>
        <v>0</v>
      </c>
      <c r="P169" s="21">
        <f>Table7[Max annual lump sum repayment]*SUM(C170:C181)</f>
        <v>7880.3958913442566</v>
      </c>
      <c r="Q169" s="25">
        <f>Q168*(1+Table7[Monthly SF Inter])+Table9[[#This Row],[Inflation Modifier]]-R168*(1+Table7[Monthly SF Inter])</f>
        <v>2.5925479852967319</v>
      </c>
      <c r="R169" s="25">
        <f>IF(MOD(Table9[[#This Row],[Month]],12)=0,Table9[[#This Row],[Q2 ACC FACTOR]],0)</f>
        <v>0</v>
      </c>
      <c r="S169" s="25">
        <f>S168*(1+D168)+Table9[[#This Row],[ACC FACTOR PAYMENTS]]</f>
        <v>255.06610859053697</v>
      </c>
    </row>
    <row r="170" spans="1:19" x14ac:dyDescent="0.25">
      <c r="A170" s="1">
        <v>158</v>
      </c>
      <c r="B170" s="1">
        <f t="shared" si="2"/>
        <v>0</v>
      </c>
      <c r="C170" s="7">
        <f>G$12/-PV(Table7[Monthly mortgage rate], (12*Table7[Amortization period (yrs)]),1 )</f>
        <v>4377.9977174134756</v>
      </c>
      <c r="D170" s="11">
        <f>IF(Table1[[#This Row],[Month]]&lt;=(12*Table7[mortgage term (yrs)]),Table7[Monthly mortgage rate],Table7[Monthly Exp Renewal Rate])</f>
        <v>4.9038466830562122E-3</v>
      </c>
      <c r="E170" s="21">
        <f>Table1[[#This Row],[Current mortgage rate]]*G169</f>
        <v>1645.3876915035996</v>
      </c>
      <c r="F170" s="5">
        <f>Table1[[#This Row],[Payment amount]]-Table1[[#This Row],[Interest paid]]</f>
        <v>2732.6100259098757</v>
      </c>
      <c r="G170" s="20">
        <f>G169-Table1[[#This Row],[Principal repaid]]-Table1[[#This Row],[Annual paym]]</f>
        <v>332797.39281629736</v>
      </c>
      <c r="H170" s="20">
        <f>H169-(Table1[[#This Row],[Payment amount]]-Table1[[#This Row],[Interest Paid W/O LSP]])</f>
        <v>434993.56542185089</v>
      </c>
      <c r="I170">
        <f>H169*Table1[[#This Row],[Current mortgage rate]]</f>
        <v>2144.0964622053666</v>
      </c>
      <c r="J170" s="25">
        <f>IF(Table1[[#This Row],[Month]]&gt;Table7[Amortization period (yrs)]*12,0,IF(Table1[[#This Row],[Month]]&lt;Table7[mortgage term (yrs)]*12,0,IF(Table1[[#This Row],[Month]]=Table7[mortgage term (yrs)]*12,-H$5,Table1[[#This Row],[Payment amount]]+B170)))</f>
        <v>4377.9977174134756</v>
      </c>
      <c r="K170">
        <v>159</v>
      </c>
      <c r="L170">
        <f>Table7[Initial Monthly Deposit]*Table9[[#This Row],[Inflation Modifier]]</f>
        <v>517.44265218151838</v>
      </c>
      <c r="M170">
        <f xml:space="preserve"> (1+Table7[Inflation])^(QUOTIENT(Table9[[#This Row],[Month]]-1,12))</f>
        <v>1.2936066304537961</v>
      </c>
      <c r="N170">
        <f>N169*(1+Table7[Monthly SF Inter])+Table9[[#This Row],[Monthly Payment]]-O169*(1+Table7[Monthly SF Inter])</f>
        <v>1558.7384257924896</v>
      </c>
      <c r="O170">
        <f>IF(MOD(Table9[[#This Row],[Month]],12)=0,(IF(Table9[[#This Row],[Current Balance]]&lt;Table9[[#This Row],[Max Lump Sum ]],Table9[[#This Row],[Current Balance]],Table9[[#This Row],[Max Lump Sum ]])),0)</f>
        <v>0</v>
      </c>
      <c r="P170" s="21">
        <f>Table7[Max annual lump sum repayment]*SUM(C171:C182)</f>
        <v>7880.3958913442566</v>
      </c>
      <c r="Q170" s="25">
        <f>Q169*(1+Table7[Monthly SF Inter])+Table9[[#This Row],[Inflation Modifier]]-R169*(1+Table7[Monthly SF Inter])</f>
        <v>3.8968460644812222</v>
      </c>
      <c r="R170" s="25">
        <f>IF(MOD(Table9[[#This Row],[Month]],12)=0,Table9[[#This Row],[Q2 ACC FACTOR]],0)</f>
        <v>0</v>
      </c>
      <c r="S170" s="25">
        <f>S169*(1+D169)+Table9[[#This Row],[ACC FACTOR PAYMENTS]]</f>
        <v>256.31691368110876</v>
      </c>
    </row>
    <row r="171" spans="1:19" x14ac:dyDescent="0.25">
      <c r="A171" s="1">
        <v>159</v>
      </c>
      <c r="B171" s="1">
        <f t="shared" si="2"/>
        <v>0</v>
      </c>
      <c r="C171" s="7">
        <f>G$12/-PV(Table7[Monthly mortgage rate], (12*Table7[Amortization period (yrs)]),1 )</f>
        <v>4377.9977174134756</v>
      </c>
      <c r="D171" s="11">
        <f>IF(Table1[[#This Row],[Month]]&lt;=(12*Table7[mortgage term (yrs)]),Table7[Monthly mortgage rate],Table7[Monthly Exp Renewal Rate])</f>
        <v>4.9038466830562122E-3</v>
      </c>
      <c r="E171" s="21">
        <f>Table1[[#This Row],[Current mortgage rate]]*G170</f>
        <v>1631.9873908919551</v>
      </c>
      <c r="F171" s="5">
        <f>Table1[[#This Row],[Payment amount]]-Table1[[#This Row],[Interest paid]]</f>
        <v>2746.0103265215203</v>
      </c>
      <c r="G171" s="20">
        <f>G170-Table1[[#This Row],[Principal repaid]]-Table1[[#This Row],[Annual paym]]</f>
        <v>330051.38248977583</v>
      </c>
      <c r="H171" s="20">
        <f>H170-(Table1[[#This Row],[Payment amount]]-Table1[[#This Row],[Interest Paid W/O LSP]])</f>
        <v>432748.70945738215</v>
      </c>
      <c r="I171">
        <f>H170*Table1[[#This Row],[Current mortgage rate]]</f>
        <v>2133.141752944739</v>
      </c>
      <c r="J171" s="25">
        <f>IF(Table1[[#This Row],[Month]]&gt;Table7[Amortization period (yrs)]*12,0,IF(Table1[[#This Row],[Month]]&lt;Table7[mortgage term (yrs)]*12,0,IF(Table1[[#This Row],[Month]]=Table7[mortgage term (yrs)]*12,-H$5,Table1[[#This Row],[Payment amount]]+B171)))</f>
        <v>4377.9977174134756</v>
      </c>
      <c r="K171">
        <v>160</v>
      </c>
      <c r="L171">
        <f>Table7[Initial Monthly Deposit]*Table9[[#This Row],[Inflation Modifier]]</f>
        <v>517.44265218151838</v>
      </c>
      <c r="M171">
        <f xml:space="preserve"> (1+Table7[Inflation])^(QUOTIENT(Table9[[#This Row],[Month]]-1,12))</f>
        <v>1.2936066304537961</v>
      </c>
      <c r="N171">
        <f>N170*(1+Table7[Monthly SF Inter])+Table9[[#This Row],[Monthly Payment]]-O170*(1+Table7[Monthly SF Inter])</f>
        <v>2082.6091834742483</v>
      </c>
      <c r="O171">
        <f>IF(MOD(Table9[[#This Row],[Month]],12)=0,(IF(Table9[[#This Row],[Current Balance]]&lt;Table9[[#This Row],[Max Lump Sum ]],Table9[[#This Row],[Current Balance]],Table9[[#This Row],[Max Lump Sum ]])),0)</f>
        <v>0</v>
      </c>
      <c r="P171" s="21">
        <f>Table7[Max annual lump sum repayment]*SUM(C172:C183)</f>
        <v>7880.3958913442566</v>
      </c>
      <c r="Q171" s="25">
        <f>Q170*(1+Table7[Monthly SF Inter])+Table9[[#This Row],[Inflation Modifier]]-R170*(1+Table7[Monthly SF Inter])</f>
        <v>5.2065229586856185</v>
      </c>
      <c r="R171" s="25">
        <f>IF(MOD(Table9[[#This Row],[Month]],12)=0,Table9[[#This Row],[Q2 ACC FACTOR]],0)</f>
        <v>0</v>
      </c>
      <c r="S171" s="25">
        <f>S170*(1+D170)+Table9[[#This Row],[ACC FACTOR PAYMENTS]]</f>
        <v>257.57385252807507</v>
      </c>
    </row>
    <row r="172" spans="1:19" x14ac:dyDescent="0.25">
      <c r="A172" s="1">
        <v>160</v>
      </c>
      <c r="B172" s="1">
        <f t="shared" si="2"/>
        <v>0</v>
      </c>
      <c r="C172" s="7">
        <f>G$12/-PV(Table7[Monthly mortgage rate], (12*Table7[Amortization period (yrs)]),1 )</f>
        <v>4377.9977174134756</v>
      </c>
      <c r="D172" s="11">
        <f>IF(Table1[[#This Row],[Month]]&lt;=(12*Table7[mortgage term (yrs)]),Table7[Monthly mortgage rate],Table7[Monthly Exp Renewal Rate])</f>
        <v>4.9038466830562122E-3</v>
      </c>
      <c r="E172" s="21">
        <f>Table1[[#This Row],[Current mortgage rate]]*G171</f>
        <v>1618.5213772606044</v>
      </c>
      <c r="F172" s="5">
        <f>Table1[[#This Row],[Payment amount]]-Table1[[#This Row],[Interest paid]]</f>
        <v>2759.4763401528712</v>
      </c>
      <c r="G172" s="20">
        <f>G171-Table1[[#This Row],[Principal repaid]]-Table1[[#This Row],[Annual paym]]</f>
        <v>327291.90614962298</v>
      </c>
      <c r="H172" s="20">
        <f>H171-(Table1[[#This Row],[Payment amount]]-Table1[[#This Row],[Interest Paid W/O LSP]])</f>
        <v>430492.84506343812</v>
      </c>
      <c r="I172">
        <f>H171*Table1[[#This Row],[Current mortgage rate]]</f>
        <v>2122.1333234694398</v>
      </c>
      <c r="J172" s="25">
        <f>IF(Table1[[#This Row],[Month]]&gt;Table7[Amortization period (yrs)]*12,0,IF(Table1[[#This Row],[Month]]&lt;Table7[mortgage term (yrs)]*12,0,IF(Table1[[#This Row],[Month]]=Table7[mortgage term (yrs)]*12,-H$5,Table1[[#This Row],[Payment amount]]+B172)))</f>
        <v>4377.9977174134756</v>
      </c>
      <c r="K172">
        <v>161</v>
      </c>
      <c r="L172">
        <f>Table7[Initial Monthly Deposit]*Table9[[#This Row],[Inflation Modifier]]</f>
        <v>517.44265218151838</v>
      </c>
      <c r="M172">
        <f xml:space="preserve"> (1+Table7[Inflation])^(QUOTIENT(Table9[[#This Row],[Month]]-1,12))</f>
        <v>1.2936066304537961</v>
      </c>
      <c r="N172">
        <f>N171*(1+Table7[Monthly SF Inter])+Table9[[#This Row],[Monthly Payment]]-O171*(1+Table7[Monthly SF Inter])</f>
        <v>2608.6403398753478</v>
      </c>
      <c r="O172">
        <f>IF(MOD(Table9[[#This Row],[Month]],12)=0,(IF(Table9[[#This Row],[Current Balance]]&lt;Table9[[#This Row],[Max Lump Sum ]],Table9[[#This Row],[Current Balance]],Table9[[#This Row],[Max Lump Sum ]])),0)</f>
        <v>0</v>
      </c>
      <c r="P172" s="21">
        <f>Table7[Max annual lump sum repayment]*SUM(C173:C184)</f>
        <v>7880.3958913442566</v>
      </c>
      <c r="Q172" s="25">
        <f>Q171*(1+Table7[Monthly SF Inter])+Table9[[#This Row],[Inflation Modifier]]-R171*(1+Table7[Monthly SF Inter])</f>
        <v>6.5216008496883671</v>
      </c>
      <c r="R172" s="25">
        <f>IF(MOD(Table9[[#This Row],[Month]],12)=0,Table9[[#This Row],[Q2 ACC FACTOR]],0)</f>
        <v>0</v>
      </c>
      <c r="S172" s="25">
        <f>S171*(1+D171)+Table9[[#This Row],[ACC FACTOR PAYMENTS]]</f>
        <v>258.83695521043688</v>
      </c>
    </row>
    <row r="173" spans="1:19" x14ac:dyDescent="0.25">
      <c r="A173" s="1">
        <v>161</v>
      </c>
      <c r="B173" s="1">
        <f t="shared" si="2"/>
        <v>0</v>
      </c>
      <c r="C173" s="7">
        <f>G$12/-PV(Table7[Monthly mortgage rate], (12*Table7[Amortization period (yrs)]),1 )</f>
        <v>4377.9977174134756</v>
      </c>
      <c r="D173" s="11">
        <f>IF(Table1[[#This Row],[Month]]&lt;=(12*Table7[mortgage term (yrs)]),Table7[Monthly mortgage rate],Table7[Monthly Exp Renewal Rate])</f>
        <v>4.9038466830562122E-3</v>
      </c>
      <c r="E173" s="21">
        <f>Table1[[#This Row],[Current mortgage rate]]*G172</f>
        <v>1604.9893283629738</v>
      </c>
      <c r="F173" s="5">
        <f>Table1[[#This Row],[Payment amount]]-Table1[[#This Row],[Interest paid]]</f>
        <v>2773.008389050502</v>
      </c>
      <c r="G173" s="20">
        <f>G172-Table1[[#This Row],[Principal repaid]]-Table1[[#This Row],[Annual paym]]</f>
        <v>324518.89776057249</v>
      </c>
      <c r="H173" s="20">
        <f>H172-(Table1[[#This Row],[Payment amount]]-Table1[[#This Row],[Interest Paid W/O LSP]])</f>
        <v>428225.91825636843</v>
      </c>
      <c r="I173">
        <f>H172*Table1[[#This Row],[Current mortgage rate]]</f>
        <v>2111.070910343773</v>
      </c>
      <c r="J173" s="25">
        <f>IF(Table1[[#This Row],[Month]]&gt;Table7[Amortization period (yrs)]*12,0,IF(Table1[[#This Row],[Month]]&lt;Table7[mortgage term (yrs)]*12,0,IF(Table1[[#This Row],[Month]]=Table7[mortgage term (yrs)]*12,-H$5,Table1[[#This Row],[Payment amount]]+B173)))</f>
        <v>4377.9977174134756</v>
      </c>
      <c r="K173">
        <v>162</v>
      </c>
      <c r="L173">
        <f>Table7[Initial Monthly Deposit]*Table9[[#This Row],[Inflation Modifier]]</f>
        <v>517.44265218151838</v>
      </c>
      <c r="M173">
        <f xml:space="preserve"> (1+Table7[Inflation])^(QUOTIENT(Table9[[#This Row],[Month]]-1,12))</f>
        <v>1.2936066304537961</v>
      </c>
      <c r="N173">
        <f>N172*(1+Table7[Monthly SF Inter])+Table9[[#This Row],[Monthly Payment]]-O172*(1+Table7[Monthly SF Inter])</f>
        <v>3136.8408042974775</v>
      </c>
      <c r="O173">
        <f>IF(MOD(Table9[[#This Row],[Month]],12)=0,(IF(Table9[[#This Row],[Current Balance]]&lt;Table9[[#This Row],[Max Lump Sum ]],Table9[[#This Row],[Current Balance]],Table9[[#This Row],[Max Lump Sum ]])),0)</f>
        <v>0</v>
      </c>
      <c r="P173" s="21">
        <f>Table7[Max annual lump sum repayment]*SUM(C174:C185)</f>
        <v>7880.3958913442566</v>
      </c>
      <c r="Q173" s="25">
        <f>Q172*(1+Table7[Monthly SF Inter])+Table9[[#This Row],[Inflation Modifier]]-R172*(1+Table7[Monthly SF Inter])</f>
        <v>7.842102010743691</v>
      </c>
      <c r="R173" s="25">
        <f>IF(MOD(Table9[[#This Row],[Month]],12)=0,Table9[[#This Row],[Q2 ACC FACTOR]],0)</f>
        <v>0</v>
      </c>
      <c r="S173" s="25">
        <f>S172*(1+D172)+Table9[[#This Row],[ACC FACTOR PAYMENTS]]</f>
        <v>260.10625195469794</v>
      </c>
    </row>
    <row r="174" spans="1:19" x14ac:dyDescent="0.25">
      <c r="A174" s="1">
        <v>162</v>
      </c>
      <c r="B174" s="1">
        <f t="shared" si="2"/>
        <v>0</v>
      </c>
      <c r="C174" s="7">
        <f>G$12/-PV(Table7[Monthly mortgage rate], (12*Table7[Amortization period (yrs)]),1 )</f>
        <v>4377.9977174134756</v>
      </c>
      <c r="D174" s="11">
        <f>IF(Table1[[#This Row],[Month]]&lt;=(12*Table7[mortgage term (yrs)]),Table7[Monthly mortgage rate],Table7[Monthly Exp Renewal Rate])</f>
        <v>4.9038466830562122E-3</v>
      </c>
      <c r="E174" s="21">
        <f>Table1[[#This Row],[Current mortgage rate]]*G173</f>
        <v>1591.3909203722415</v>
      </c>
      <c r="F174" s="5">
        <f>Table1[[#This Row],[Payment amount]]-Table1[[#This Row],[Interest paid]]</f>
        <v>2786.6067970412341</v>
      </c>
      <c r="G174" s="20">
        <f>G173-Table1[[#This Row],[Principal repaid]]-Table1[[#This Row],[Annual paym]]</f>
        <v>321732.29096353124</v>
      </c>
      <c r="H174" s="20">
        <f>H173-(Table1[[#This Row],[Payment amount]]-Table1[[#This Row],[Interest Paid W/O LSP]])</f>
        <v>425947.87478779512</v>
      </c>
      <c r="I174">
        <f>H173*Table1[[#This Row],[Current mortgage rate]]</f>
        <v>2099.954248840193</v>
      </c>
      <c r="J174" s="25">
        <f>IF(Table1[[#This Row],[Month]]&gt;Table7[Amortization period (yrs)]*12,0,IF(Table1[[#This Row],[Month]]&lt;Table7[mortgage term (yrs)]*12,0,IF(Table1[[#This Row],[Month]]=Table7[mortgage term (yrs)]*12,-H$5,Table1[[#This Row],[Payment amount]]+B174)))</f>
        <v>4377.9977174134756</v>
      </c>
      <c r="K174">
        <v>163</v>
      </c>
      <c r="L174">
        <f>Table7[Initial Monthly Deposit]*Table9[[#This Row],[Inflation Modifier]]</f>
        <v>517.44265218151838</v>
      </c>
      <c r="M174">
        <f xml:space="preserve"> (1+Table7[Inflation])^(QUOTIENT(Table9[[#This Row],[Month]]-1,12))</f>
        <v>1.2936066304537961</v>
      </c>
      <c r="N174">
        <f>N173*(1+Table7[Monthly SF Inter])+Table9[[#This Row],[Monthly Payment]]-O173*(1+Table7[Monthly SF Inter])</f>
        <v>3667.2195227835336</v>
      </c>
      <c r="O174">
        <f>IF(MOD(Table9[[#This Row],[Month]],12)=0,(IF(Table9[[#This Row],[Current Balance]]&lt;Table9[[#This Row],[Max Lump Sum ]],Table9[[#This Row],[Current Balance]],Table9[[#This Row],[Max Lump Sum ]])),0)</f>
        <v>0</v>
      </c>
      <c r="P174" s="21">
        <f>Table7[Max annual lump sum repayment]*SUM(C175:C186)</f>
        <v>7880.3958913442566</v>
      </c>
      <c r="Q174" s="25">
        <f>Q173*(1+Table7[Monthly SF Inter])+Table9[[#This Row],[Inflation Modifier]]-R173*(1+Table7[Monthly SF Inter])</f>
        <v>9.1680488069588311</v>
      </c>
      <c r="R174" s="25">
        <f>IF(MOD(Table9[[#This Row],[Month]],12)=0,Table9[[#This Row],[Q2 ACC FACTOR]],0)</f>
        <v>0</v>
      </c>
      <c r="S174" s="25">
        <f>S173*(1+D173)+Table9[[#This Row],[ACC FACTOR PAYMENTS]]</f>
        <v>261.38177313558816</v>
      </c>
    </row>
    <row r="175" spans="1:19" x14ac:dyDescent="0.25">
      <c r="A175" s="1">
        <v>163</v>
      </c>
      <c r="B175" s="1">
        <f t="shared" si="2"/>
        <v>0</v>
      </c>
      <c r="C175" s="7">
        <f>G$12/-PV(Table7[Monthly mortgage rate], (12*Table7[Amortization period (yrs)]),1 )</f>
        <v>4377.9977174134756</v>
      </c>
      <c r="D175" s="11">
        <f>IF(Table1[[#This Row],[Month]]&lt;=(12*Table7[mortgage term (yrs)]),Table7[Monthly mortgage rate],Table7[Monthly Exp Renewal Rate])</f>
        <v>4.9038466830562122E-3</v>
      </c>
      <c r="E175" s="21">
        <f>Table1[[#This Row],[Current mortgage rate]]*G174</f>
        <v>1577.7258278735887</v>
      </c>
      <c r="F175" s="5">
        <f>Table1[[#This Row],[Payment amount]]-Table1[[#This Row],[Interest paid]]</f>
        <v>2800.2718895398866</v>
      </c>
      <c r="G175" s="20">
        <f>G174-Table1[[#This Row],[Principal repaid]]-Table1[[#This Row],[Annual paym]]</f>
        <v>318932.01907399134</v>
      </c>
      <c r="H175" s="20">
        <f>H174-(Table1[[#This Row],[Payment amount]]-Table1[[#This Row],[Interest Paid W/O LSP]])</f>
        <v>423658.66014331463</v>
      </c>
      <c r="I175">
        <f>H174*Table1[[#This Row],[Current mortgage rate]]</f>
        <v>2088.7830729329721</v>
      </c>
      <c r="J175" s="25">
        <f>IF(Table1[[#This Row],[Month]]&gt;Table7[Amortization period (yrs)]*12,0,IF(Table1[[#This Row],[Month]]&lt;Table7[mortgage term (yrs)]*12,0,IF(Table1[[#This Row],[Month]]=Table7[mortgage term (yrs)]*12,-H$5,Table1[[#This Row],[Payment amount]]+B175)))</f>
        <v>4377.9977174134756</v>
      </c>
      <c r="K175">
        <v>164</v>
      </c>
      <c r="L175">
        <f>Table7[Initial Monthly Deposit]*Table9[[#This Row],[Inflation Modifier]]</f>
        <v>517.44265218151838</v>
      </c>
      <c r="M175">
        <f xml:space="preserve"> (1+Table7[Inflation])^(QUOTIENT(Table9[[#This Row],[Month]]-1,12))</f>
        <v>1.2936066304537961</v>
      </c>
      <c r="N175">
        <f>N174*(1+Table7[Monthly SF Inter])+Table9[[#This Row],[Monthly Payment]]-O174*(1+Table7[Monthly SF Inter])</f>
        <v>4199.7854782691375</v>
      </c>
      <c r="O175">
        <f>IF(MOD(Table9[[#This Row],[Month]],12)=0,(IF(Table9[[#This Row],[Current Balance]]&lt;Table9[[#This Row],[Max Lump Sum ]],Table9[[#This Row],[Current Balance]],Table9[[#This Row],[Max Lump Sum ]])),0)</f>
        <v>0</v>
      </c>
      <c r="P175" s="21">
        <f>Table7[Max annual lump sum repayment]*SUM(C176:C187)</f>
        <v>7880.3958913442566</v>
      </c>
      <c r="Q175" s="25">
        <f>Q174*(1+Table7[Monthly SF Inter])+Table9[[#This Row],[Inflation Modifier]]-R174*(1+Table7[Monthly SF Inter])</f>
        <v>10.499463695672842</v>
      </c>
      <c r="R175" s="25">
        <f>IF(MOD(Table9[[#This Row],[Month]],12)=0,Table9[[#This Row],[Q2 ACC FACTOR]],0)</f>
        <v>0</v>
      </c>
      <c r="S175" s="25">
        <f>S174*(1+D174)+Table9[[#This Row],[ACC FACTOR PAYMENTS]]</f>
        <v>262.66354927679049</v>
      </c>
    </row>
    <row r="176" spans="1:19" x14ac:dyDescent="0.25">
      <c r="A176" s="1">
        <v>164</v>
      </c>
      <c r="B176" s="1">
        <f t="shared" si="2"/>
        <v>0</v>
      </c>
      <c r="C176" s="7">
        <f>G$12/-PV(Table7[Monthly mortgage rate], (12*Table7[Amortization period (yrs)]),1 )</f>
        <v>4377.9977174134756</v>
      </c>
      <c r="D176" s="11">
        <f>IF(Table1[[#This Row],[Month]]&lt;=(12*Table7[mortgage term (yrs)]),Table7[Monthly mortgage rate],Table7[Monthly Exp Renewal Rate])</f>
        <v>4.9038466830562122E-3</v>
      </c>
      <c r="E176" s="21">
        <f>Table1[[#This Row],[Current mortgage rate]]*G175</f>
        <v>1563.993723856413</v>
      </c>
      <c r="F176" s="5">
        <f>Table1[[#This Row],[Payment amount]]-Table1[[#This Row],[Interest paid]]</f>
        <v>2814.0039935570626</v>
      </c>
      <c r="G176" s="20">
        <f>G175-Table1[[#This Row],[Principal repaid]]-Table1[[#This Row],[Annual paym]]</f>
        <v>316118.01508043427</v>
      </c>
      <c r="H176" s="20">
        <f>H175-(Table1[[#This Row],[Payment amount]]-Table1[[#This Row],[Interest Paid W/O LSP]])</f>
        <v>421358.21954119299</v>
      </c>
      <c r="I176">
        <f>H175*Table1[[#This Row],[Current mortgage rate]]</f>
        <v>2077.5571152918324</v>
      </c>
      <c r="J176" s="25">
        <f>IF(Table1[[#This Row],[Month]]&gt;Table7[Amortization period (yrs)]*12,0,IF(Table1[[#This Row],[Month]]&lt;Table7[mortgage term (yrs)]*12,0,IF(Table1[[#This Row],[Month]]=Table7[mortgage term (yrs)]*12,-H$5,Table1[[#This Row],[Payment amount]]+B176)))</f>
        <v>4377.9977174134756</v>
      </c>
      <c r="K176">
        <v>165</v>
      </c>
      <c r="L176">
        <f>Table7[Initial Monthly Deposit]*Table9[[#This Row],[Inflation Modifier]]</f>
        <v>517.44265218151838</v>
      </c>
      <c r="M176">
        <f xml:space="preserve"> (1+Table7[Inflation])^(QUOTIENT(Table9[[#This Row],[Month]]-1,12))</f>
        <v>1.2936066304537961</v>
      </c>
      <c r="N176">
        <f>N175*(1+Table7[Monthly SF Inter])+Table9[[#This Row],[Monthly Payment]]-O175*(1+Table7[Monthly SF Inter])</f>
        <v>4734.5476907347784</v>
      </c>
      <c r="O176">
        <f>IF(MOD(Table9[[#This Row],[Month]],12)=0,(IF(Table9[[#This Row],[Current Balance]]&lt;Table9[[#This Row],[Max Lump Sum ]],Table9[[#This Row],[Current Balance]],Table9[[#This Row],[Max Lump Sum ]])),0)</f>
        <v>0</v>
      </c>
      <c r="P176" s="21">
        <f>Table7[Max annual lump sum repayment]*SUM(C177:C188)</f>
        <v>7880.3958913442566</v>
      </c>
      <c r="Q176" s="25">
        <f>Q175*(1+Table7[Monthly SF Inter])+Table9[[#This Row],[Inflation Modifier]]-R175*(1+Table7[Monthly SF Inter])</f>
        <v>11.836369226836945</v>
      </c>
      <c r="R176" s="25">
        <f>IF(MOD(Table9[[#This Row],[Month]],12)=0,Table9[[#This Row],[Q2 ACC FACTOR]],0)</f>
        <v>0</v>
      </c>
      <c r="S176" s="25">
        <f>S175*(1+D175)+Table9[[#This Row],[ACC FACTOR PAYMENTS]]</f>
        <v>263.95161105167125</v>
      </c>
    </row>
    <row r="177" spans="1:19" x14ac:dyDescent="0.25">
      <c r="A177" s="1">
        <v>165</v>
      </c>
      <c r="B177" s="1">
        <f t="shared" si="2"/>
        <v>0</v>
      </c>
      <c r="C177" s="7">
        <f>G$12/-PV(Table7[Monthly mortgage rate], (12*Table7[Amortization period (yrs)]),1 )</f>
        <v>4377.9977174134756</v>
      </c>
      <c r="D177" s="11">
        <f>IF(Table1[[#This Row],[Month]]&lt;=(12*Table7[mortgage term (yrs)]),Table7[Monthly mortgage rate],Table7[Monthly Exp Renewal Rate])</f>
        <v>4.9038466830562122E-3</v>
      </c>
      <c r="E177" s="21">
        <f>Table1[[#This Row],[Current mortgage rate]]*G176</f>
        <v>1550.1942797065012</v>
      </c>
      <c r="F177" s="5">
        <f>Table1[[#This Row],[Payment amount]]-Table1[[#This Row],[Interest paid]]</f>
        <v>2827.8034377069744</v>
      </c>
      <c r="G177" s="20">
        <f>G176-Table1[[#This Row],[Principal repaid]]-Table1[[#This Row],[Annual paym]]</f>
        <v>313290.21164272731</v>
      </c>
      <c r="H177" s="20">
        <f>H176-(Table1[[#This Row],[Payment amount]]-Table1[[#This Row],[Interest Paid W/O LSP]])</f>
        <v>419046.49793105508</v>
      </c>
      <c r="I177">
        <f>H176*Table1[[#This Row],[Current mortgage rate]]</f>
        <v>2066.2761072755507</v>
      </c>
      <c r="J177" s="25">
        <f>IF(Table1[[#This Row],[Month]]&gt;Table7[Amortization period (yrs)]*12,0,IF(Table1[[#This Row],[Month]]&lt;Table7[mortgage term (yrs)]*12,0,IF(Table1[[#This Row],[Month]]=Table7[mortgage term (yrs)]*12,-H$5,Table1[[#This Row],[Payment amount]]+B177)))</f>
        <v>4377.9977174134756</v>
      </c>
      <c r="K177">
        <v>166</v>
      </c>
      <c r="L177">
        <f>Table7[Initial Monthly Deposit]*Table9[[#This Row],[Inflation Modifier]]</f>
        <v>517.44265218151838</v>
      </c>
      <c r="M177">
        <f xml:space="preserve"> (1+Table7[Inflation])^(QUOTIENT(Table9[[#This Row],[Month]]-1,12))</f>
        <v>1.2936066304537961</v>
      </c>
      <c r="N177">
        <f>N176*(1+Table7[Monthly SF Inter])+Table9[[#This Row],[Monthly Payment]]-O176*(1+Table7[Monthly SF Inter])</f>
        <v>5271.5152173585811</v>
      </c>
      <c r="O177">
        <f>IF(MOD(Table9[[#This Row],[Month]],12)=0,(IF(Table9[[#This Row],[Current Balance]]&lt;Table9[[#This Row],[Max Lump Sum ]],Table9[[#This Row],[Current Balance]],Table9[[#This Row],[Max Lump Sum ]])),0)</f>
        <v>0</v>
      </c>
      <c r="P177" s="21">
        <f>Table7[Max annual lump sum repayment]*SUM(C178:C189)</f>
        <v>7880.3958913442566</v>
      </c>
      <c r="Q177" s="25">
        <f>Q176*(1+Table7[Monthly SF Inter])+Table9[[#This Row],[Inflation Modifier]]-R176*(1+Table7[Monthly SF Inter])</f>
        <v>13.178788043396452</v>
      </c>
      <c r="R177" s="25">
        <f>IF(MOD(Table9[[#This Row],[Month]],12)=0,Table9[[#This Row],[Q2 ACC FACTOR]],0)</f>
        <v>0</v>
      </c>
      <c r="S177" s="25">
        <f>S176*(1+D176)+Table9[[#This Row],[ACC FACTOR PAYMENTS]]</f>
        <v>265.24598928401434</v>
      </c>
    </row>
    <row r="178" spans="1:19" x14ac:dyDescent="0.25">
      <c r="A178" s="1">
        <v>166</v>
      </c>
      <c r="B178" s="1">
        <f t="shared" si="2"/>
        <v>0</v>
      </c>
      <c r="C178" s="7">
        <f>G$12/-PV(Table7[Monthly mortgage rate], (12*Table7[Amortization period (yrs)]),1 )</f>
        <v>4377.9977174134756</v>
      </c>
      <c r="D178" s="11">
        <f>IF(Table1[[#This Row],[Month]]&lt;=(12*Table7[mortgage term (yrs)]),Table7[Monthly mortgage rate],Table7[Monthly Exp Renewal Rate])</f>
        <v>4.9038466830562122E-3</v>
      </c>
      <c r="E178" s="21">
        <f>Table1[[#This Row],[Current mortgage rate]]*G177</f>
        <v>1536.327165198167</v>
      </c>
      <c r="F178" s="5">
        <f>Table1[[#This Row],[Payment amount]]-Table1[[#This Row],[Interest paid]]</f>
        <v>2841.6705522153088</v>
      </c>
      <c r="G178" s="20">
        <f>G177-Table1[[#This Row],[Principal repaid]]-Table1[[#This Row],[Annual paym]]</f>
        <v>310448.54109051201</v>
      </c>
      <c r="H178" s="20">
        <f>H177-(Table1[[#This Row],[Payment amount]]-Table1[[#This Row],[Interest Paid W/O LSP]])</f>
        <v>416723.43999256712</v>
      </c>
      <c r="I178">
        <f>H177*Table1[[#This Row],[Current mortgage rate]]</f>
        <v>2054.9397789255263</v>
      </c>
      <c r="J178" s="25">
        <f>IF(Table1[[#This Row],[Month]]&gt;Table7[Amortization period (yrs)]*12,0,IF(Table1[[#This Row],[Month]]&lt;Table7[mortgage term (yrs)]*12,0,IF(Table1[[#This Row],[Month]]=Table7[mortgage term (yrs)]*12,-H$5,Table1[[#This Row],[Payment amount]]+B178)))</f>
        <v>4377.9977174134756</v>
      </c>
      <c r="K178">
        <v>167</v>
      </c>
      <c r="L178">
        <f>Table7[Initial Monthly Deposit]*Table9[[#This Row],[Inflation Modifier]]</f>
        <v>517.44265218151838</v>
      </c>
      <c r="M178">
        <f xml:space="preserve"> (1+Table7[Inflation])^(QUOTIENT(Table9[[#This Row],[Month]]-1,12))</f>
        <v>1.2936066304537961</v>
      </c>
      <c r="N178">
        <f>N177*(1+Table7[Monthly SF Inter])+Table9[[#This Row],[Monthly Payment]]-O177*(1+Table7[Monthly SF Inter])</f>
        <v>5810.697152669708</v>
      </c>
      <c r="O178">
        <f>IF(MOD(Table9[[#This Row],[Month]],12)=0,(IF(Table9[[#This Row],[Current Balance]]&lt;Table9[[#This Row],[Max Lump Sum ]],Table9[[#This Row],[Current Balance]],Table9[[#This Row],[Max Lump Sum ]])),0)</f>
        <v>0</v>
      </c>
      <c r="P178" s="21">
        <f>Table7[Max annual lump sum repayment]*SUM(C179:C190)</f>
        <v>7880.3958913442566</v>
      </c>
      <c r="Q178" s="25">
        <f>Q177*(1+Table7[Monthly SF Inter])+Table9[[#This Row],[Inflation Modifier]]-R177*(1+Table7[Monthly SF Inter])</f>
        <v>14.526742881674268</v>
      </c>
      <c r="R178" s="25">
        <f>IF(MOD(Table9[[#This Row],[Month]],12)=0,Table9[[#This Row],[Q2 ACC FACTOR]],0)</f>
        <v>0</v>
      </c>
      <c r="S178" s="25">
        <f>S177*(1+D177)+Table9[[#This Row],[ACC FACTOR PAYMENTS]]</f>
        <v>266.54671494875873</v>
      </c>
    </row>
    <row r="179" spans="1:19" x14ac:dyDescent="0.25">
      <c r="A179" s="1">
        <v>167</v>
      </c>
      <c r="B179" s="1">
        <f t="shared" si="2"/>
        <v>0</v>
      </c>
      <c r="C179" s="7">
        <f>G$12/-PV(Table7[Monthly mortgage rate], (12*Table7[Amortization period (yrs)]),1 )</f>
        <v>4377.9977174134756</v>
      </c>
      <c r="D179" s="11">
        <f>IF(Table1[[#This Row],[Month]]&lt;=(12*Table7[mortgage term (yrs)]),Table7[Monthly mortgage rate],Table7[Monthly Exp Renewal Rate])</f>
        <v>4.9038466830562122E-3</v>
      </c>
      <c r="E179" s="21">
        <f>Table1[[#This Row],[Current mortgage rate]]*G178</f>
        <v>1522.3920484863474</v>
      </c>
      <c r="F179" s="5">
        <f>Table1[[#This Row],[Payment amount]]-Table1[[#This Row],[Interest paid]]</f>
        <v>2855.6056689271281</v>
      </c>
      <c r="G179" s="20">
        <f>G178-Table1[[#This Row],[Principal repaid]]-Table1[[#This Row],[Annual paym]]</f>
        <v>307592.93542158487</v>
      </c>
      <c r="H179" s="20">
        <f>H178-(Table1[[#This Row],[Payment amount]]-Table1[[#This Row],[Interest Paid W/O LSP]])</f>
        <v>414388.99013411294</v>
      </c>
      <c r="I179">
        <f>H178*Table1[[#This Row],[Current mortgage rate]]</f>
        <v>2043.5478589593247</v>
      </c>
      <c r="J179" s="25">
        <f>IF(Table1[[#This Row],[Month]]&gt;Table7[Amortization period (yrs)]*12,0,IF(Table1[[#This Row],[Month]]&lt;Table7[mortgage term (yrs)]*12,0,IF(Table1[[#This Row],[Month]]=Table7[mortgage term (yrs)]*12,-H$5,Table1[[#This Row],[Payment amount]]+B179)))</f>
        <v>4377.9977174134756</v>
      </c>
      <c r="K179">
        <v>168</v>
      </c>
      <c r="L179">
        <f>Table7[Initial Monthly Deposit]*Table9[[#This Row],[Inflation Modifier]]</f>
        <v>517.44265218151838</v>
      </c>
      <c r="M179">
        <f xml:space="preserve"> (1+Table7[Inflation])^(QUOTIENT(Table9[[#This Row],[Month]]-1,12))</f>
        <v>1.2936066304537961</v>
      </c>
      <c r="N179">
        <f>N178*(1+Table7[Monthly SF Inter])+Table9[[#This Row],[Monthly Payment]]-O178*(1+Table7[Monthly SF Inter])</f>
        <v>6352.1026287023906</v>
      </c>
      <c r="O179">
        <f>IF(MOD(Table9[[#This Row],[Month]],12)=0,(IF(Table9[[#This Row],[Current Balance]]&lt;Table9[[#This Row],[Max Lump Sum ]],Table9[[#This Row],[Current Balance]],Table9[[#This Row],[Max Lump Sum ]])),0)</f>
        <v>6352.1026287023906</v>
      </c>
      <c r="P179" s="21">
        <f>Table7[Max annual lump sum repayment]*SUM(C180:C191)</f>
        <v>7880.3958913442566</v>
      </c>
      <c r="Q179" s="25">
        <f>Q178*(1+Table7[Monthly SF Inter])+Table9[[#This Row],[Inflation Modifier]]-R178*(1+Table7[Monthly SF Inter])</f>
        <v>15.880256571755975</v>
      </c>
      <c r="R179" s="25">
        <f>IF(MOD(Table9[[#This Row],[Month]],12)=0,Table9[[#This Row],[Q2 ACC FACTOR]],0)</f>
        <v>15.880256571755975</v>
      </c>
      <c r="S179" s="25">
        <f>S178*(1+D178)+Table9[[#This Row],[ACC FACTOR PAYMENTS]]</f>
        <v>283.73407574449573</v>
      </c>
    </row>
    <row r="180" spans="1:19" x14ac:dyDescent="0.25">
      <c r="A180" s="1">
        <v>168</v>
      </c>
      <c r="B180" s="1">
        <f t="shared" si="2"/>
        <v>6352.1026287023906</v>
      </c>
      <c r="C180" s="7">
        <f>G$12/-PV(Table7[Monthly mortgage rate], (12*Table7[Amortization period (yrs)]),1 )</f>
        <v>4377.9977174134756</v>
      </c>
      <c r="D180" s="11">
        <f>IF(Table1[[#This Row],[Month]]&lt;=(12*Table7[mortgage term (yrs)]),Table7[Monthly mortgage rate],Table7[Monthly Exp Renewal Rate])</f>
        <v>4.9038466830562122E-3</v>
      </c>
      <c r="E180" s="21">
        <f>Table1[[#This Row],[Current mortgage rate]]*G179</f>
        <v>1508.3885960986627</v>
      </c>
      <c r="F180" s="5">
        <f>Table1[[#This Row],[Payment amount]]-Table1[[#This Row],[Interest paid]]</f>
        <v>2869.6091213148129</v>
      </c>
      <c r="G180" s="20">
        <f>G179-Table1[[#This Row],[Principal repaid]]-Table1[[#This Row],[Annual paym]]</f>
        <v>298371.22367156763</v>
      </c>
      <c r="H180" s="20">
        <f>H179-(Table1[[#This Row],[Payment amount]]-Table1[[#This Row],[Interest Paid W/O LSP]])</f>
        <v>412043.09249146364</v>
      </c>
      <c r="I180">
        <f>H179*Table1[[#This Row],[Current mortgage rate]]</f>
        <v>2032.1000747641831</v>
      </c>
      <c r="J180" s="25">
        <f>IF(Table1[[#This Row],[Month]]&gt;Table7[Amortization period (yrs)]*12,0,IF(Table1[[#This Row],[Month]]&lt;Table7[mortgage term (yrs)]*12,0,IF(Table1[[#This Row],[Month]]=Table7[mortgage term (yrs)]*12,-H$5,Table1[[#This Row],[Payment amount]]+B180)))</f>
        <v>10730.100346115865</v>
      </c>
      <c r="K180">
        <v>169</v>
      </c>
      <c r="L180">
        <f>Table7[Initial Monthly Deposit]*Table9[[#This Row],[Inflation Modifier]]</f>
        <v>527.79150522514885</v>
      </c>
      <c r="M180">
        <f xml:space="preserve"> (1+Table7[Inflation])^(QUOTIENT(Table9[[#This Row],[Month]]-1,12))</f>
        <v>1.3194787630628722</v>
      </c>
      <c r="N180">
        <f>N179*(1+Table7[Monthly SF Inter])+Table9[[#This Row],[Monthly Payment]]-O179*(1+Table7[Monthly SF Inter])</f>
        <v>527.79150522514919</v>
      </c>
      <c r="O180">
        <f>IF(MOD(Table9[[#This Row],[Month]],12)=0,(IF(Table9[[#This Row],[Current Balance]]&lt;Table9[[#This Row],[Max Lump Sum ]],Table9[[#This Row],[Current Balance]],Table9[[#This Row],[Max Lump Sum ]])),0)</f>
        <v>0</v>
      </c>
      <c r="P180" s="21">
        <f>Table7[Max annual lump sum repayment]*SUM(C181:C192)</f>
        <v>7880.3958913442566</v>
      </c>
      <c r="Q180" s="25">
        <f>Q179*(1+Table7[Monthly SF Inter])+Table9[[#This Row],[Inflation Modifier]]-R179*(1+Table7[Monthly SF Inter])</f>
        <v>1.3194787630628717</v>
      </c>
      <c r="R180" s="25">
        <f>IF(MOD(Table9[[#This Row],[Month]],12)=0,Table9[[#This Row],[Q2 ACC FACTOR]],0)</f>
        <v>0</v>
      </c>
      <c r="S180" s="25">
        <f>S179*(1+D179)+Table9[[#This Row],[ACC FACTOR PAYMENTS]]</f>
        <v>285.1254641507054</v>
      </c>
    </row>
    <row r="181" spans="1:19" x14ac:dyDescent="0.25">
      <c r="A181" s="1">
        <v>169</v>
      </c>
      <c r="B181" s="1">
        <f t="shared" si="2"/>
        <v>0</v>
      </c>
      <c r="C181" s="7">
        <f>G$12/-PV(Table7[Monthly mortgage rate], (12*Table7[Amortization period (yrs)]),1 )</f>
        <v>4377.9977174134756</v>
      </c>
      <c r="D181" s="11">
        <f>IF(Table1[[#This Row],[Month]]&lt;=(12*Table7[mortgage term (yrs)]),Table7[Monthly mortgage rate],Table7[Monthly Exp Renewal Rate])</f>
        <v>4.9038466830562122E-3</v>
      </c>
      <c r="E181" s="21">
        <f>Table1[[#This Row],[Current mortgage rate]]*G180</f>
        <v>1463.1667355212401</v>
      </c>
      <c r="F181" s="5">
        <f>Table1[[#This Row],[Payment amount]]-Table1[[#This Row],[Interest paid]]</f>
        <v>2914.8309818922353</v>
      </c>
      <c r="G181" s="20">
        <f>G180-Table1[[#This Row],[Principal repaid]]-Table1[[#This Row],[Annual paym]]</f>
        <v>295456.39268967538</v>
      </c>
      <c r="H181" s="20">
        <f>H180-(Table1[[#This Row],[Payment amount]]-Table1[[#This Row],[Interest Paid W/O LSP]])</f>
        <v>409685.69092644064</v>
      </c>
      <c r="I181">
        <f>H180*Table1[[#This Row],[Current mortgage rate]]</f>
        <v>2020.596152390488</v>
      </c>
      <c r="J181" s="25">
        <f>IF(Table1[[#This Row],[Month]]&gt;Table7[Amortization period (yrs)]*12,0,IF(Table1[[#This Row],[Month]]&lt;Table7[mortgage term (yrs)]*12,0,IF(Table1[[#This Row],[Month]]=Table7[mortgage term (yrs)]*12,-H$5,Table1[[#This Row],[Payment amount]]+B181)))</f>
        <v>4377.9977174134756</v>
      </c>
      <c r="K181">
        <v>170</v>
      </c>
      <c r="L181">
        <f>Table7[Initial Monthly Deposit]*Table9[[#This Row],[Inflation Modifier]]</f>
        <v>527.79150522514885</v>
      </c>
      <c r="M181">
        <f xml:space="preserve"> (1+Table7[Inflation])^(QUOTIENT(Table9[[#This Row],[Month]]-1,12))</f>
        <v>1.3194787630628722</v>
      </c>
      <c r="N181">
        <f>N180*(1+Table7[Monthly SF Inter])+Table9[[#This Row],[Monthly Payment]]-O180*(1+Table7[Monthly SF Inter])</f>
        <v>1057.7595780010679</v>
      </c>
      <c r="O181">
        <f>IF(MOD(Table9[[#This Row],[Month]],12)=0,(IF(Table9[[#This Row],[Current Balance]]&lt;Table9[[#This Row],[Max Lump Sum ]],Table9[[#This Row],[Current Balance]],Table9[[#This Row],[Max Lump Sum ]])),0)</f>
        <v>0</v>
      </c>
      <c r="P181" s="21">
        <f>Table7[Max annual lump sum repayment]*SUM(C182:C193)</f>
        <v>7880.3958913442566</v>
      </c>
      <c r="Q181" s="25">
        <f>Q180*(1+Table7[Monthly SF Inter])+Table9[[#This Row],[Inflation Modifier]]-R180*(1+Table7[Monthly SF Inter])</f>
        <v>2.6443989450026679</v>
      </c>
      <c r="R181" s="25">
        <f>IF(MOD(Table9[[#This Row],[Month]],12)=0,Table9[[#This Row],[Q2 ACC FACTOR]],0)</f>
        <v>0</v>
      </c>
      <c r="S181" s="25">
        <f>S180*(1+D180)+Table9[[#This Row],[ACC FACTOR PAYMENTS]]</f>
        <v>286.52367571233572</v>
      </c>
    </row>
    <row r="182" spans="1:19" x14ac:dyDescent="0.25">
      <c r="A182" s="1">
        <v>170</v>
      </c>
      <c r="B182" s="1">
        <f t="shared" si="2"/>
        <v>0</v>
      </c>
      <c r="C182" s="7">
        <f>G$12/-PV(Table7[Monthly mortgage rate], (12*Table7[Amortization period (yrs)]),1 )</f>
        <v>4377.9977174134756</v>
      </c>
      <c r="D182" s="11">
        <f>IF(Table1[[#This Row],[Month]]&lt;=(12*Table7[mortgage term (yrs)]),Table7[Monthly mortgage rate],Table7[Monthly Exp Renewal Rate])</f>
        <v>4.9038466830562122E-3</v>
      </c>
      <c r="E182" s="21">
        <f>Table1[[#This Row],[Current mortgage rate]]*G181</f>
        <v>1448.8728512790183</v>
      </c>
      <c r="F182" s="5">
        <f>Table1[[#This Row],[Payment amount]]-Table1[[#This Row],[Interest paid]]</f>
        <v>2929.1248661344571</v>
      </c>
      <c r="G182" s="20">
        <f>G181-Table1[[#This Row],[Principal repaid]]-Table1[[#This Row],[Annual paym]]</f>
        <v>292527.26782354095</v>
      </c>
      <c r="H182" s="20">
        <f>H181-(Table1[[#This Row],[Payment amount]]-Table1[[#This Row],[Interest Paid W/O LSP]])</f>
        <v>407316.72902557236</v>
      </c>
      <c r="I182">
        <f>H181*Table1[[#This Row],[Current mortgage rate]]</f>
        <v>2009.0358165452185</v>
      </c>
      <c r="J182" s="25">
        <f>IF(Table1[[#This Row],[Month]]&gt;Table7[Amortization period (yrs)]*12,0,IF(Table1[[#This Row],[Month]]&lt;Table7[mortgage term (yrs)]*12,0,IF(Table1[[#This Row],[Month]]=Table7[mortgage term (yrs)]*12,-H$5,Table1[[#This Row],[Payment amount]]+B182)))</f>
        <v>4377.9977174134756</v>
      </c>
      <c r="K182">
        <v>171</v>
      </c>
      <c r="L182">
        <f>Table7[Initial Monthly Deposit]*Table9[[#This Row],[Inflation Modifier]]</f>
        <v>527.79150522514885</v>
      </c>
      <c r="M182">
        <f xml:space="preserve"> (1+Table7[Inflation])^(QUOTIENT(Table9[[#This Row],[Month]]-1,12))</f>
        <v>1.3194787630628722</v>
      </c>
      <c r="N182">
        <f>N181*(1+Table7[Monthly SF Inter])+Table9[[#This Row],[Monthly Payment]]-O181*(1+Table7[Monthly SF Inter])</f>
        <v>1589.9131943083398</v>
      </c>
      <c r="O182">
        <f>IF(MOD(Table9[[#This Row],[Month]],12)=0,(IF(Table9[[#This Row],[Current Balance]]&lt;Table9[[#This Row],[Max Lump Sum ]],Table9[[#This Row],[Current Balance]],Table9[[#This Row],[Max Lump Sum ]])),0)</f>
        <v>0</v>
      </c>
      <c r="P182" s="21">
        <f>Table7[Max annual lump sum repayment]*SUM(C183:C194)</f>
        <v>7880.3958913442566</v>
      </c>
      <c r="Q182" s="25">
        <f>Q181*(1+Table7[Monthly SF Inter])+Table9[[#This Row],[Inflation Modifier]]-R181*(1+Table7[Monthly SF Inter])</f>
        <v>3.9747829857708479</v>
      </c>
      <c r="R182" s="25">
        <f>IF(MOD(Table9[[#This Row],[Month]],12)=0,Table9[[#This Row],[Q2 ACC FACTOR]],0)</f>
        <v>0</v>
      </c>
      <c r="S182" s="25">
        <f>S181*(1+D181)+Table9[[#This Row],[ACC FACTOR PAYMENTS]]</f>
        <v>287.92874388909473</v>
      </c>
    </row>
    <row r="183" spans="1:19" x14ac:dyDescent="0.25">
      <c r="A183" s="1">
        <v>171</v>
      </c>
      <c r="B183" s="1">
        <f t="shared" si="2"/>
        <v>0</v>
      </c>
      <c r="C183" s="7">
        <f>G$12/-PV(Table7[Monthly mortgage rate], (12*Table7[Amortization period (yrs)]),1 )</f>
        <v>4377.9977174134756</v>
      </c>
      <c r="D183" s="11">
        <f>IF(Table1[[#This Row],[Month]]&lt;=(12*Table7[mortgage term (yrs)]),Table7[Monthly mortgage rate],Table7[Monthly Exp Renewal Rate])</f>
        <v>4.9038466830562122E-3</v>
      </c>
      <c r="E183" s="21">
        <f>Table1[[#This Row],[Current mortgage rate]]*G182</f>
        <v>1434.5088720199676</v>
      </c>
      <c r="F183" s="5">
        <f>Table1[[#This Row],[Payment amount]]-Table1[[#This Row],[Interest paid]]</f>
        <v>2943.4888453935082</v>
      </c>
      <c r="G183" s="20">
        <f>G182-Table1[[#This Row],[Principal repaid]]-Table1[[#This Row],[Annual paym]]</f>
        <v>289583.77897814743</v>
      </c>
      <c r="H183" s="20">
        <f>H182-(Table1[[#This Row],[Payment amount]]-Table1[[#This Row],[Interest Paid W/O LSP]])</f>
        <v>404936.15009874426</v>
      </c>
      <c r="I183">
        <f>H182*Table1[[#This Row],[Current mortgage rate]]</f>
        <v>1997.4187905853589</v>
      </c>
      <c r="J183" s="25">
        <f>IF(Table1[[#This Row],[Month]]&gt;Table7[Amortization period (yrs)]*12,0,IF(Table1[[#This Row],[Month]]&lt;Table7[mortgage term (yrs)]*12,0,IF(Table1[[#This Row],[Month]]=Table7[mortgage term (yrs)]*12,-H$5,Table1[[#This Row],[Payment amount]]+B183)))</f>
        <v>4377.9977174134756</v>
      </c>
      <c r="K183">
        <v>172</v>
      </c>
      <c r="L183">
        <f>Table7[Initial Monthly Deposit]*Table9[[#This Row],[Inflation Modifier]]</f>
        <v>527.79150522514885</v>
      </c>
      <c r="M183">
        <f xml:space="preserve"> (1+Table7[Inflation])^(QUOTIENT(Table9[[#This Row],[Month]]-1,12))</f>
        <v>1.3194787630628722</v>
      </c>
      <c r="N183">
        <f>N182*(1+Table7[Monthly SF Inter])+Table9[[#This Row],[Monthly Payment]]-O182*(1+Table7[Monthly SF Inter])</f>
        <v>2124.2613671437339</v>
      </c>
      <c r="O183">
        <f>IF(MOD(Table9[[#This Row],[Month]],12)=0,(IF(Table9[[#This Row],[Current Balance]]&lt;Table9[[#This Row],[Max Lump Sum ]],Table9[[#This Row],[Current Balance]],Table9[[#This Row],[Max Lump Sum ]])),0)</f>
        <v>0</v>
      </c>
      <c r="P183" s="21">
        <f>Table7[Max annual lump sum repayment]*SUM(C184:C195)</f>
        <v>7880.3958913442566</v>
      </c>
      <c r="Q183" s="25">
        <f>Q182*(1+Table7[Monthly SF Inter])+Table9[[#This Row],[Inflation Modifier]]-R182*(1+Table7[Monthly SF Inter])</f>
        <v>5.3106534178593332</v>
      </c>
      <c r="R183" s="25">
        <f>IF(MOD(Table9[[#This Row],[Month]],12)=0,Table9[[#This Row],[Q2 ACC FACTOR]],0)</f>
        <v>0</v>
      </c>
      <c r="S183" s="25">
        <f>S182*(1+D182)+Table9[[#This Row],[ACC FACTOR PAYMENTS]]</f>
        <v>289.34070230477181</v>
      </c>
    </row>
    <row r="184" spans="1:19" x14ac:dyDescent="0.25">
      <c r="A184" s="1">
        <v>172</v>
      </c>
      <c r="B184" s="1">
        <f t="shared" si="2"/>
        <v>0</v>
      </c>
      <c r="C184" s="7">
        <f>G$12/-PV(Table7[Monthly mortgage rate], (12*Table7[Amortization period (yrs)]),1 )</f>
        <v>4377.9977174134756</v>
      </c>
      <c r="D184" s="11">
        <f>IF(Table1[[#This Row],[Month]]&lt;=(12*Table7[mortgage term (yrs)]),Table7[Monthly mortgage rate],Table7[Monthly Exp Renewal Rate])</f>
        <v>4.9038466830562122E-3</v>
      </c>
      <c r="E184" s="21">
        <f>Table1[[#This Row],[Current mortgage rate]]*G183</f>
        <v>1420.0744540088715</v>
      </c>
      <c r="F184" s="5">
        <f>Table1[[#This Row],[Payment amount]]-Table1[[#This Row],[Interest paid]]</f>
        <v>2957.9232634046039</v>
      </c>
      <c r="G184" s="20">
        <f>G183-Table1[[#This Row],[Principal repaid]]-Table1[[#This Row],[Annual paym]]</f>
        <v>286625.85571474285</v>
      </c>
      <c r="H184" s="20">
        <f>H183-(Table1[[#This Row],[Payment amount]]-Table1[[#This Row],[Interest Paid W/O LSP]])</f>
        <v>402543.89717784204</v>
      </c>
      <c r="I184">
        <f>H183*Table1[[#This Row],[Current mortgage rate]]</f>
        <v>1985.7447965112794</v>
      </c>
      <c r="J184" s="25">
        <f>IF(Table1[[#This Row],[Month]]&gt;Table7[Amortization period (yrs)]*12,0,IF(Table1[[#This Row],[Month]]&lt;Table7[mortgage term (yrs)]*12,0,IF(Table1[[#This Row],[Month]]=Table7[mortgage term (yrs)]*12,-H$5,Table1[[#This Row],[Payment amount]]+B184)))</f>
        <v>4377.9977174134756</v>
      </c>
      <c r="K184">
        <v>173</v>
      </c>
      <c r="L184">
        <f>Table7[Initial Monthly Deposit]*Table9[[#This Row],[Inflation Modifier]]</f>
        <v>527.79150522514885</v>
      </c>
      <c r="M184">
        <f xml:space="preserve"> (1+Table7[Inflation])^(QUOTIENT(Table9[[#This Row],[Month]]-1,12))</f>
        <v>1.3194787630628722</v>
      </c>
      <c r="N184">
        <f>N183*(1+Table7[Monthly SF Inter])+Table9[[#This Row],[Monthly Payment]]-O183*(1+Table7[Monthly SF Inter])</f>
        <v>2660.8131466728551</v>
      </c>
      <c r="O184">
        <f>IF(MOD(Table9[[#This Row],[Month]],12)=0,(IF(Table9[[#This Row],[Current Balance]]&lt;Table9[[#This Row],[Max Lump Sum ]],Table9[[#This Row],[Current Balance]],Table9[[#This Row],[Max Lump Sum ]])),0)</f>
        <v>0</v>
      </c>
      <c r="P184" s="21">
        <f>Table7[Max annual lump sum repayment]*SUM(C185:C196)</f>
        <v>7880.3958913442566</v>
      </c>
      <c r="Q184" s="25">
        <f>Q183*(1+Table7[Monthly SF Inter])+Table9[[#This Row],[Inflation Modifier]]-R183*(1+Table7[Monthly SF Inter])</f>
        <v>6.652032866682136</v>
      </c>
      <c r="R184" s="25">
        <f>IF(MOD(Table9[[#This Row],[Month]],12)=0,Table9[[#This Row],[Q2 ACC FACTOR]],0)</f>
        <v>0</v>
      </c>
      <c r="S184" s="25">
        <f>S183*(1+D183)+Table9[[#This Row],[ACC FACTOR PAYMENTS]]</f>
        <v>290.75958474804224</v>
      </c>
    </row>
    <row r="185" spans="1:19" x14ac:dyDescent="0.25">
      <c r="A185" s="1">
        <v>173</v>
      </c>
      <c r="B185" s="1">
        <f t="shared" si="2"/>
        <v>0</v>
      </c>
      <c r="C185" s="7">
        <f>G$12/-PV(Table7[Monthly mortgage rate], (12*Table7[Amortization period (yrs)]),1 )</f>
        <v>4377.9977174134756</v>
      </c>
      <c r="D185" s="11">
        <f>IF(Table1[[#This Row],[Month]]&lt;=(12*Table7[mortgage term (yrs)]),Table7[Monthly mortgage rate],Table7[Monthly Exp Renewal Rate])</f>
        <v>4.9038466830562122E-3</v>
      </c>
      <c r="E185" s="21">
        <f>Table1[[#This Row],[Current mortgage rate]]*G184</f>
        <v>1405.5692518248902</v>
      </c>
      <c r="F185" s="5">
        <f>Table1[[#This Row],[Payment amount]]-Table1[[#This Row],[Interest paid]]</f>
        <v>2972.4284655885854</v>
      </c>
      <c r="G185" s="20">
        <f>G184-Table1[[#This Row],[Principal repaid]]-Table1[[#This Row],[Annual paym]]</f>
        <v>283653.42724915425</v>
      </c>
      <c r="H185" s="20">
        <f>H184-(Table1[[#This Row],[Payment amount]]-Table1[[#This Row],[Interest Paid W/O LSP]])</f>
        <v>400139.91301538865</v>
      </c>
      <c r="I185">
        <f>H184*Table1[[#This Row],[Current mortgage rate]]</f>
        <v>1974.0135549600816</v>
      </c>
      <c r="J185" s="25">
        <f>IF(Table1[[#This Row],[Month]]&gt;Table7[Amortization period (yrs)]*12,0,IF(Table1[[#This Row],[Month]]&lt;Table7[mortgage term (yrs)]*12,0,IF(Table1[[#This Row],[Month]]=Table7[mortgage term (yrs)]*12,-H$5,Table1[[#This Row],[Payment amount]]+B185)))</f>
        <v>4377.9977174134756</v>
      </c>
      <c r="K185">
        <v>174</v>
      </c>
      <c r="L185">
        <f>Table7[Initial Monthly Deposit]*Table9[[#This Row],[Inflation Modifier]]</f>
        <v>527.79150522514885</v>
      </c>
      <c r="M185">
        <f xml:space="preserve"> (1+Table7[Inflation])^(QUOTIENT(Table9[[#This Row],[Month]]-1,12))</f>
        <v>1.3194787630628722</v>
      </c>
      <c r="N185">
        <f>N184*(1+Table7[Monthly SF Inter])+Table9[[#This Row],[Monthly Payment]]-O184*(1+Table7[Monthly SF Inter])</f>
        <v>3199.5776203834271</v>
      </c>
      <c r="O185">
        <f>IF(MOD(Table9[[#This Row],[Month]],12)=0,(IF(Table9[[#This Row],[Current Balance]]&lt;Table9[[#This Row],[Max Lump Sum ]],Table9[[#This Row],[Current Balance]],Table9[[#This Row],[Max Lump Sum ]])),0)</f>
        <v>0</v>
      </c>
      <c r="P185" s="21">
        <f>Table7[Max annual lump sum repayment]*SUM(C186:C197)</f>
        <v>7880.3958913442566</v>
      </c>
      <c r="Q185" s="25">
        <f>Q184*(1+Table7[Monthly SF Inter])+Table9[[#This Row],[Inflation Modifier]]-R184*(1+Table7[Monthly SF Inter])</f>
        <v>7.998944050958567</v>
      </c>
      <c r="R185" s="25">
        <f>IF(MOD(Table9[[#This Row],[Month]],12)=0,Table9[[#This Row],[Q2 ACC FACTOR]],0)</f>
        <v>0</v>
      </c>
      <c r="S185" s="25">
        <f>S184*(1+D184)+Table9[[#This Row],[ACC FACTOR PAYMENTS]]</f>
        <v>292.18542517327575</v>
      </c>
    </row>
    <row r="186" spans="1:19" x14ac:dyDescent="0.25">
      <c r="A186" s="1">
        <v>174</v>
      </c>
      <c r="B186" s="1">
        <f t="shared" si="2"/>
        <v>0</v>
      </c>
      <c r="C186" s="7">
        <f>G$12/-PV(Table7[Monthly mortgage rate], (12*Table7[Amortization period (yrs)]),1 )</f>
        <v>4377.9977174134756</v>
      </c>
      <c r="D186" s="11">
        <f>IF(Table1[[#This Row],[Month]]&lt;=(12*Table7[mortgage term (yrs)]),Table7[Monthly mortgage rate],Table7[Monthly Exp Renewal Rate])</f>
        <v>4.9038466830562122E-3</v>
      </c>
      <c r="E186" s="21">
        <f>Table1[[#This Row],[Current mortgage rate]]*G185</f>
        <v>1390.9929183532918</v>
      </c>
      <c r="F186" s="5">
        <f>Table1[[#This Row],[Payment amount]]-Table1[[#This Row],[Interest paid]]</f>
        <v>2987.0047990601838</v>
      </c>
      <c r="G186" s="20">
        <f>G185-Table1[[#This Row],[Principal repaid]]-Table1[[#This Row],[Annual paym]]</f>
        <v>280666.42245009408</v>
      </c>
      <c r="H186" s="20">
        <f>H185-(Table1[[#This Row],[Payment amount]]-Table1[[#This Row],[Interest Paid W/O LSP]])</f>
        <v>397724.1400831741</v>
      </c>
      <c r="I186">
        <f>H185*Table1[[#This Row],[Current mortgage rate]]</f>
        <v>1962.224785198915</v>
      </c>
      <c r="J186" s="25">
        <f>IF(Table1[[#This Row],[Month]]&gt;Table7[Amortization period (yrs)]*12,0,IF(Table1[[#This Row],[Month]]&lt;Table7[mortgage term (yrs)]*12,0,IF(Table1[[#This Row],[Month]]=Table7[mortgage term (yrs)]*12,-H$5,Table1[[#This Row],[Payment amount]]+B186)))</f>
        <v>4377.9977174134756</v>
      </c>
      <c r="K186">
        <v>175</v>
      </c>
      <c r="L186">
        <f>Table7[Initial Monthly Deposit]*Table9[[#This Row],[Inflation Modifier]]</f>
        <v>527.79150522514885</v>
      </c>
      <c r="M186">
        <f xml:space="preserve"> (1+Table7[Inflation])^(QUOTIENT(Table9[[#This Row],[Month]]-1,12))</f>
        <v>1.3194787630628722</v>
      </c>
      <c r="N186">
        <f>N185*(1+Table7[Monthly SF Inter])+Table9[[#This Row],[Monthly Payment]]-O185*(1+Table7[Monthly SF Inter])</f>
        <v>3740.5639132392043</v>
      </c>
      <c r="O186">
        <f>IF(MOD(Table9[[#This Row],[Month]],12)=0,(IF(Table9[[#This Row],[Current Balance]]&lt;Table9[[#This Row],[Max Lump Sum ]],Table9[[#This Row],[Current Balance]],Table9[[#This Row],[Max Lump Sum ]])),0)</f>
        <v>0</v>
      </c>
      <c r="P186" s="21">
        <f>Table7[Max annual lump sum repayment]*SUM(C187:C198)</f>
        <v>7880.3958913442566</v>
      </c>
      <c r="Q186" s="25">
        <f>Q185*(1+Table7[Monthly SF Inter])+Table9[[#This Row],[Inflation Modifier]]-R185*(1+Table7[Monthly SF Inter])</f>
        <v>9.3514097830980099</v>
      </c>
      <c r="R186" s="25">
        <f>IF(MOD(Table9[[#This Row],[Month]],12)=0,Table9[[#This Row],[Q2 ACC FACTOR]],0)</f>
        <v>0</v>
      </c>
      <c r="S186" s="25">
        <f>S185*(1+D185)+Table9[[#This Row],[ACC FACTOR PAYMENTS]]</f>
        <v>293.61825770134908</v>
      </c>
    </row>
    <row r="187" spans="1:19" x14ac:dyDescent="0.25">
      <c r="A187" s="1">
        <v>175</v>
      </c>
      <c r="B187" s="1">
        <f t="shared" si="2"/>
        <v>0</v>
      </c>
      <c r="C187" s="7">
        <f>G$12/-PV(Table7[Monthly mortgage rate], (12*Table7[Amortization period (yrs)]),1 )</f>
        <v>4377.9977174134756</v>
      </c>
      <c r="D187" s="11">
        <f>IF(Table1[[#This Row],[Month]]&lt;=(12*Table7[mortgage term (yrs)]),Table7[Monthly mortgage rate],Table7[Monthly Exp Renewal Rate])</f>
        <v>4.9038466830562122E-3</v>
      </c>
      <c r="E187" s="21">
        <f>Table1[[#This Row],[Current mortgage rate]]*G186</f>
        <v>1376.3451047771475</v>
      </c>
      <c r="F187" s="5">
        <f>Table1[[#This Row],[Payment amount]]-Table1[[#This Row],[Interest paid]]</f>
        <v>3001.6526126363278</v>
      </c>
      <c r="G187" s="20">
        <f>G186-Table1[[#This Row],[Principal repaid]]-Table1[[#This Row],[Annual paym]]</f>
        <v>277664.76983745774</v>
      </c>
      <c r="H187" s="20">
        <f>H186-(Table1[[#This Row],[Payment amount]]-Table1[[#This Row],[Interest Paid W/O LSP]])</f>
        <v>395296.52057087887</v>
      </c>
      <c r="I187">
        <f>H186*Table1[[#This Row],[Current mortgage rate]]</f>
        <v>1950.3782051182577</v>
      </c>
      <c r="J187" s="25">
        <f>IF(Table1[[#This Row],[Month]]&gt;Table7[Amortization period (yrs)]*12,0,IF(Table1[[#This Row],[Month]]&lt;Table7[mortgage term (yrs)]*12,0,IF(Table1[[#This Row],[Month]]=Table7[mortgage term (yrs)]*12,-H$5,Table1[[#This Row],[Payment amount]]+B187)))</f>
        <v>4377.9977174134756</v>
      </c>
      <c r="K187">
        <v>176</v>
      </c>
      <c r="L187">
        <f>Table7[Initial Monthly Deposit]*Table9[[#This Row],[Inflation Modifier]]</f>
        <v>527.79150522514885</v>
      </c>
      <c r="M187">
        <f xml:space="preserve"> (1+Table7[Inflation])^(QUOTIENT(Table9[[#This Row],[Month]]-1,12))</f>
        <v>1.3194787630628722</v>
      </c>
      <c r="N187">
        <f>N186*(1+Table7[Monthly SF Inter])+Table9[[#This Row],[Monthly Payment]]-O186*(1+Table7[Monthly SF Inter])</f>
        <v>4283.781187834521</v>
      </c>
      <c r="O187">
        <f>IF(MOD(Table9[[#This Row],[Month]],12)=0,(IF(Table9[[#This Row],[Current Balance]]&lt;Table9[[#This Row],[Max Lump Sum ]],Table9[[#This Row],[Current Balance]],Table9[[#This Row],[Max Lump Sum ]])),0)</f>
        <v>0</v>
      </c>
      <c r="P187" s="21">
        <f>Table7[Max annual lump sum repayment]*SUM(C188:C199)</f>
        <v>7880.3958913442566</v>
      </c>
      <c r="Q187" s="25">
        <f>Q186*(1+Table7[Monthly SF Inter])+Table9[[#This Row],[Inflation Modifier]]-R186*(1+Table7[Monthly SF Inter])</f>
        <v>10.7094529695863</v>
      </c>
      <c r="R187" s="25">
        <f>IF(MOD(Table9[[#This Row],[Month]],12)=0,Table9[[#This Row],[Q2 ACC FACTOR]],0)</f>
        <v>0</v>
      </c>
      <c r="S187" s="25">
        <f>S186*(1+D186)+Table9[[#This Row],[ACC FACTOR PAYMENTS]]</f>
        <v>295.05811662046261</v>
      </c>
    </row>
    <row r="188" spans="1:19" x14ac:dyDescent="0.25">
      <c r="A188" s="1">
        <v>176</v>
      </c>
      <c r="B188" s="1">
        <f t="shared" si="2"/>
        <v>0</v>
      </c>
      <c r="C188" s="7">
        <f>G$12/-PV(Table7[Monthly mortgage rate], (12*Table7[Amortization period (yrs)]),1 )</f>
        <v>4377.9977174134756</v>
      </c>
      <c r="D188" s="11">
        <f>IF(Table1[[#This Row],[Month]]&lt;=(12*Table7[mortgage term (yrs)]),Table7[Monthly mortgage rate],Table7[Monthly Exp Renewal Rate])</f>
        <v>4.9038466830562122E-3</v>
      </c>
      <c r="E188" s="21">
        <f>Table1[[#This Row],[Current mortgage rate]]*G187</f>
        <v>1361.6254605689837</v>
      </c>
      <c r="F188" s="5">
        <f>Table1[[#This Row],[Payment amount]]-Table1[[#This Row],[Interest paid]]</f>
        <v>3016.3722568444919</v>
      </c>
      <c r="G188" s="20">
        <f>G187-Table1[[#This Row],[Principal repaid]]-Table1[[#This Row],[Annual paym]]</f>
        <v>274648.39758061327</v>
      </c>
      <c r="H188" s="20">
        <f>H187-(Table1[[#This Row],[Payment amount]]-Table1[[#This Row],[Interest Paid W/O LSP]])</f>
        <v>392856.99638469057</v>
      </c>
      <c r="I188">
        <f>H187*Table1[[#This Row],[Current mortgage rate]]</f>
        <v>1938.4735312251662</v>
      </c>
      <c r="J188" s="25">
        <f>IF(Table1[[#This Row],[Month]]&gt;Table7[Amortization period (yrs)]*12,0,IF(Table1[[#This Row],[Month]]&lt;Table7[mortgage term (yrs)]*12,0,IF(Table1[[#This Row],[Month]]=Table7[mortgage term (yrs)]*12,-H$5,Table1[[#This Row],[Payment amount]]+B188)))</f>
        <v>4377.9977174134756</v>
      </c>
      <c r="K188">
        <v>177</v>
      </c>
      <c r="L188">
        <f>Table7[Initial Monthly Deposit]*Table9[[#This Row],[Inflation Modifier]]</f>
        <v>527.79150522514885</v>
      </c>
      <c r="M188">
        <f xml:space="preserve"> (1+Table7[Inflation])^(QUOTIENT(Table9[[#This Row],[Month]]-1,12))</f>
        <v>1.3194787630628722</v>
      </c>
      <c r="N188">
        <f>N187*(1+Table7[Monthly SF Inter])+Table9[[#This Row],[Monthly Payment]]-O187*(1+Table7[Monthly SF Inter])</f>
        <v>4829.2386445494749</v>
      </c>
      <c r="O188">
        <f>IF(MOD(Table9[[#This Row],[Month]],12)=0,(IF(Table9[[#This Row],[Current Balance]]&lt;Table9[[#This Row],[Max Lump Sum ]],Table9[[#This Row],[Current Balance]],Table9[[#This Row],[Max Lump Sum ]])),0)</f>
        <v>0</v>
      </c>
      <c r="P188" s="21">
        <f>Table7[Max annual lump sum repayment]*SUM(C189:C200)</f>
        <v>7880.3958913442566</v>
      </c>
      <c r="Q188" s="25">
        <f>Q187*(1+Table7[Monthly SF Inter])+Table9[[#This Row],[Inflation Modifier]]-R187*(1+Table7[Monthly SF Inter])</f>
        <v>12.073096611373684</v>
      </c>
      <c r="R188" s="25">
        <f>IF(MOD(Table9[[#This Row],[Month]],12)=0,Table9[[#This Row],[Q2 ACC FACTOR]],0)</f>
        <v>0</v>
      </c>
      <c r="S188" s="25">
        <f>S187*(1+D187)+Table9[[#This Row],[ACC FACTOR PAYMENTS]]</f>
        <v>296.50503638696068</v>
      </c>
    </row>
    <row r="189" spans="1:19" x14ac:dyDescent="0.25">
      <c r="A189" s="1">
        <v>177</v>
      </c>
      <c r="B189" s="1">
        <f t="shared" si="2"/>
        <v>0</v>
      </c>
      <c r="C189" s="7">
        <f>G$12/-PV(Table7[Monthly mortgage rate], (12*Table7[Amortization period (yrs)]),1 )</f>
        <v>4377.9977174134756</v>
      </c>
      <c r="D189" s="11">
        <f>IF(Table1[[#This Row],[Month]]&lt;=(12*Table7[mortgage term (yrs)]),Table7[Monthly mortgage rate],Table7[Monthly Exp Renewal Rate])</f>
        <v>4.9038466830562122E-3</v>
      </c>
      <c r="E189" s="21">
        <f>Table1[[#This Row],[Current mortgage rate]]*G188</f>
        <v>1346.8336334823941</v>
      </c>
      <c r="F189" s="5">
        <f>Table1[[#This Row],[Payment amount]]-Table1[[#This Row],[Interest paid]]</f>
        <v>3031.1640839310812</v>
      </c>
      <c r="G189" s="20">
        <f>G188-Table1[[#This Row],[Principal repaid]]-Table1[[#This Row],[Annual paym]]</f>
        <v>271617.23349668219</v>
      </c>
      <c r="H189" s="20">
        <f>H188-(Table1[[#This Row],[Payment amount]]-Table1[[#This Row],[Interest Paid W/O LSP]])</f>
        <v>390405.50914591359</v>
      </c>
      <c r="I189">
        <f>H188*Table1[[#This Row],[Current mortgage rate]]</f>
        <v>1926.5104786364911</v>
      </c>
      <c r="J189" s="25">
        <f>IF(Table1[[#This Row],[Month]]&gt;Table7[Amortization period (yrs)]*12,0,IF(Table1[[#This Row],[Month]]&lt;Table7[mortgage term (yrs)]*12,0,IF(Table1[[#This Row],[Month]]=Table7[mortgage term (yrs)]*12,-H$5,Table1[[#This Row],[Payment amount]]+B189)))</f>
        <v>4377.9977174134756</v>
      </c>
      <c r="K189">
        <v>178</v>
      </c>
      <c r="L189">
        <f>Table7[Initial Monthly Deposit]*Table9[[#This Row],[Inflation Modifier]]</f>
        <v>527.79150522514885</v>
      </c>
      <c r="M189">
        <f xml:space="preserve"> (1+Table7[Inflation])^(QUOTIENT(Table9[[#This Row],[Month]]-1,12))</f>
        <v>1.3194787630628722</v>
      </c>
      <c r="N189">
        <f>N188*(1+Table7[Monthly SF Inter])+Table9[[#This Row],[Monthly Payment]]-O188*(1+Table7[Monthly SF Inter])</f>
        <v>5376.9455217057539</v>
      </c>
      <c r="O189">
        <f>IF(MOD(Table9[[#This Row],[Month]],12)=0,(IF(Table9[[#This Row],[Current Balance]]&lt;Table9[[#This Row],[Max Lump Sum ]],Table9[[#This Row],[Current Balance]],Table9[[#This Row],[Max Lump Sum ]])),0)</f>
        <v>0</v>
      </c>
      <c r="P189" s="21">
        <f>Table7[Max annual lump sum repayment]*SUM(C190:C201)</f>
        <v>7880.3958913442566</v>
      </c>
      <c r="Q189" s="25">
        <f>Q188*(1+Table7[Monthly SF Inter])+Table9[[#This Row],[Inflation Modifier]]-R188*(1+Table7[Monthly SF Inter])</f>
        <v>13.44236380426438</v>
      </c>
      <c r="R189" s="25">
        <f>IF(MOD(Table9[[#This Row],[Month]],12)=0,Table9[[#This Row],[Q2 ACC FACTOR]],0)</f>
        <v>0</v>
      </c>
      <c r="S189" s="25">
        <f>S188*(1+D188)+Table9[[#This Row],[ACC FACTOR PAYMENTS]]</f>
        <v>297.95905162615634</v>
      </c>
    </row>
    <row r="190" spans="1:19" x14ac:dyDescent="0.25">
      <c r="A190" s="1">
        <v>178</v>
      </c>
      <c r="B190" s="1">
        <f t="shared" si="2"/>
        <v>0</v>
      </c>
      <c r="C190" s="7">
        <f>G$12/-PV(Table7[Monthly mortgage rate], (12*Table7[Amortization period (yrs)]),1 )</f>
        <v>4377.9977174134756</v>
      </c>
      <c r="D190" s="11">
        <f>IF(Table1[[#This Row],[Month]]&lt;=(12*Table7[mortgage term (yrs)]),Table7[Monthly mortgage rate],Table7[Monthly Exp Renewal Rate])</f>
        <v>4.9038466830562122E-3</v>
      </c>
      <c r="E190" s="21">
        <f>Table1[[#This Row],[Current mortgage rate]]*G189</f>
        <v>1331.9692695436097</v>
      </c>
      <c r="F190" s="5">
        <f>Table1[[#This Row],[Payment amount]]-Table1[[#This Row],[Interest paid]]</f>
        <v>3046.0284478698659</v>
      </c>
      <c r="G190" s="20">
        <f>G189-Table1[[#This Row],[Principal repaid]]-Table1[[#This Row],[Annual paym]]</f>
        <v>268571.20504881232</v>
      </c>
      <c r="H190" s="20">
        <f>H189-(Table1[[#This Row],[Payment amount]]-Table1[[#This Row],[Interest Paid W/O LSP]])</f>
        <v>387942.00018957217</v>
      </c>
      <c r="I190">
        <f>H189*Table1[[#This Row],[Current mortgage rate]]</f>
        <v>1914.48876107206</v>
      </c>
      <c r="J190" s="25">
        <f>IF(Table1[[#This Row],[Month]]&gt;Table7[Amortization period (yrs)]*12,0,IF(Table1[[#This Row],[Month]]&lt;Table7[mortgage term (yrs)]*12,0,IF(Table1[[#This Row],[Month]]=Table7[mortgage term (yrs)]*12,-H$5,Table1[[#This Row],[Payment amount]]+B190)))</f>
        <v>4377.9977174134756</v>
      </c>
      <c r="K190">
        <v>179</v>
      </c>
      <c r="L190">
        <f>Table7[Initial Monthly Deposit]*Table9[[#This Row],[Inflation Modifier]]</f>
        <v>527.79150522514885</v>
      </c>
      <c r="M190">
        <f xml:space="preserve"> (1+Table7[Inflation])^(QUOTIENT(Table9[[#This Row],[Month]]-1,12))</f>
        <v>1.3194787630628722</v>
      </c>
      <c r="N190">
        <f>N189*(1+Table7[Monthly SF Inter])+Table9[[#This Row],[Monthly Payment]]-O189*(1+Table7[Monthly SF Inter])</f>
        <v>5926.9110957231032</v>
      </c>
      <c r="O190">
        <f>IF(MOD(Table9[[#This Row],[Month]],12)=0,(IF(Table9[[#This Row],[Current Balance]]&lt;Table9[[#This Row],[Max Lump Sum ]],Table9[[#This Row],[Current Balance]],Table9[[#This Row],[Max Lump Sum ]])),0)</f>
        <v>0</v>
      </c>
      <c r="P190" s="21">
        <f>Table7[Max annual lump sum repayment]*SUM(C191:C202)</f>
        <v>7880.3958913442566</v>
      </c>
      <c r="Q190" s="25">
        <f>Q189*(1+Table7[Monthly SF Inter])+Table9[[#This Row],[Inflation Modifier]]-R189*(1+Table7[Monthly SF Inter])</f>
        <v>14.817277739307752</v>
      </c>
      <c r="R190" s="25">
        <f>IF(MOD(Table9[[#This Row],[Month]],12)=0,Table9[[#This Row],[Q2 ACC FACTOR]],0)</f>
        <v>0</v>
      </c>
      <c r="S190" s="25">
        <f>S189*(1+D189)+Table9[[#This Row],[ACC FACTOR PAYMENTS]]</f>
        <v>299.42019713315983</v>
      </c>
    </row>
    <row r="191" spans="1:19" x14ac:dyDescent="0.25">
      <c r="A191" s="1">
        <v>179</v>
      </c>
      <c r="B191" s="1">
        <f t="shared" si="2"/>
        <v>0</v>
      </c>
      <c r="C191" s="7">
        <f>G$12/-PV(Table7[Monthly mortgage rate], (12*Table7[Amortization period (yrs)]),1 )</f>
        <v>4377.9977174134756</v>
      </c>
      <c r="D191" s="11">
        <f>IF(Table1[[#This Row],[Month]]&lt;=(12*Table7[mortgage term (yrs)]),Table7[Monthly mortgage rate],Table7[Monthly Exp Renewal Rate])</f>
        <v>4.9038466830562122E-3</v>
      </c>
      <c r="E191" s="21">
        <f>Table1[[#This Row],[Current mortgage rate]]*G190</f>
        <v>1317.0320130430282</v>
      </c>
      <c r="F191" s="5">
        <f>Table1[[#This Row],[Payment amount]]-Table1[[#This Row],[Interest paid]]</f>
        <v>3060.9657043704474</v>
      </c>
      <c r="G191" s="20">
        <f>G190-Table1[[#This Row],[Principal repaid]]-Table1[[#This Row],[Annual paym]]</f>
        <v>265510.23934444186</v>
      </c>
      <c r="H191" s="20">
        <f>H190-(Table1[[#This Row],[Payment amount]]-Table1[[#This Row],[Interest Paid W/O LSP]])</f>
        <v>385466.41056300653</v>
      </c>
      <c r="I191">
        <f>H190*Table1[[#This Row],[Current mortgage rate]]</f>
        <v>1902.4080908478259</v>
      </c>
      <c r="J191" s="25">
        <f>IF(Table1[[#This Row],[Month]]&gt;Table7[Amortization period (yrs)]*12,0,IF(Table1[[#This Row],[Month]]&lt;Table7[mortgage term (yrs)]*12,0,IF(Table1[[#This Row],[Month]]=Table7[mortgage term (yrs)]*12,-H$5,Table1[[#This Row],[Payment amount]]+B191)))</f>
        <v>4377.9977174134756</v>
      </c>
      <c r="K191">
        <v>180</v>
      </c>
      <c r="L191">
        <f>Table7[Initial Monthly Deposit]*Table9[[#This Row],[Inflation Modifier]]</f>
        <v>527.79150522514885</v>
      </c>
      <c r="M191">
        <f xml:space="preserve"> (1+Table7[Inflation])^(QUOTIENT(Table9[[#This Row],[Month]]-1,12))</f>
        <v>1.3194787630628722</v>
      </c>
      <c r="N191">
        <f>N190*(1+Table7[Monthly SF Inter])+Table9[[#This Row],[Monthly Payment]]-O190*(1+Table7[Monthly SF Inter])</f>
        <v>6479.1446812764398</v>
      </c>
      <c r="O191">
        <f>IF(MOD(Table9[[#This Row],[Month]],12)=0,(IF(Table9[[#This Row],[Current Balance]]&lt;Table9[[#This Row],[Max Lump Sum ]],Table9[[#This Row],[Current Balance]],Table9[[#This Row],[Max Lump Sum ]])),0)</f>
        <v>6479.1446812764398</v>
      </c>
      <c r="P191" s="21">
        <f>Table7[Max annual lump sum repayment]*SUM(C192:C203)</f>
        <v>7880.3958913442566</v>
      </c>
      <c r="Q191" s="25">
        <f>Q190*(1+Table7[Monthly SF Inter])+Table9[[#This Row],[Inflation Modifier]]-R190*(1+Table7[Monthly SF Inter])</f>
        <v>16.197861703191094</v>
      </c>
      <c r="R191" s="25">
        <f>IF(MOD(Table9[[#This Row],[Month]],12)=0,Table9[[#This Row],[Q2 ACC FACTOR]],0)</f>
        <v>16.197861703191094</v>
      </c>
      <c r="S191" s="25">
        <f>S190*(1+D190)+Table9[[#This Row],[ACC FACTOR PAYMENTS]]</f>
        <v>317.08636957690243</v>
      </c>
    </row>
    <row r="192" spans="1:19" x14ac:dyDescent="0.25">
      <c r="A192" s="1">
        <v>180</v>
      </c>
      <c r="B192" s="1">
        <f t="shared" si="2"/>
        <v>6479.1446812764398</v>
      </c>
      <c r="C192" s="7">
        <f>G$12/-PV(Table7[Monthly mortgage rate], (12*Table7[Amortization period (yrs)]),1 )</f>
        <v>4377.9977174134756</v>
      </c>
      <c r="D192" s="11">
        <f>IF(Table1[[#This Row],[Month]]&lt;=(12*Table7[mortgage term (yrs)]),Table7[Monthly mortgage rate],Table7[Monthly Exp Renewal Rate])</f>
        <v>4.9038466830562122E-3</v>
      </c>
      <c r="E192" s="21">
        <f>Table1[[#This Row],[Current mortgage rate]]*G191</f>
        <v>1302.0215065267023</v>
      </c>
      <c r="F192" s="5">
        <f>Table1[[#This Row],[Payment amount]]-Table1[[#This Row],[Interest paid]]</f>
        <v>3075.9762108867735</v>
      </c>
      <c r="G192" s="20">
        <f>G191-Table1[[#This Row],[Principal repaid]]-Table1[[#This Row],[Annual paym]]</f>
        <v>255955.11845227864</v>
      </c>
      <c r="H192" s="20">
        <f>H191-(Table1[[#This Row],[Payment amount]]-Table1[[#This Row],[Interest Paid W/O LSP]])</f>
        <v>382978.68102446204</v>
      </c>
      <c r="I192">
        <f>H191*Table1[[#This Row],[Current mortgage rate]]</f>
        <v>1890.2681788689836</v>
      </c>
      <c r="J192" s="25">
        <f>IF(Table1[[#This Row],[Month]]&gt;Table7[Amortization period (yrs)]*12,0,IF(Table1[[#This Row],[Month]]&lt;Table7[mortgage term (yrs)]*12,0,IF(Table1[[#This Row],[Month]]=Table7[mortgage term (yrs)]*12,-H$5,Table1[[#This Row],[Payment amount]]+B192)))</f>
        <v>10857.142398689915</v>
      </c>
      <c r="K192">
        <v>181</v>
      </c>
      <c r="L192">
        <f>Table7[Initial Monthly Deposit]*Table9[[#This Row],[Inflation Modifier]]</f>
        <v>538.34733532965174</v>
      </c>
      <c r="M192">
        <f xml:space="preserve"> (1+Table7[Inflation])^(QUOTIENT(Table9[[#This Row],[Month]]-1,12))</f>
        <v>1.3458683383241292</v>
      </c>
      <c r="N192">
        <f>N191*(1+Table7[Monthly SF Inter])+Table9[[#This Row],[Monthly Payment]]-O191*(1+Table7[Monthly SF Inter])</f>
        <v>538.34733532965129</v>
      </c>
      <c r="O192">
        <f>IF(MOD(Table9[[#This Row],[Month]],12)=0,(IF(Table9[[#This Row],[Current Balance]]&lt;Table9[[#This Row],[Max Lump Sum ]],Table9[[#This Row],[Current Balance]],Table9[[#This Row],[Max Lump Sum ]])),0)</f>
        <v>0</v>
      </c>
      <c r="P192" s="21">
        <f>Table7[Max annual lump sum repayment]*SUM(C193:C204)</f>
        <v>7880.3958913442566</v>
      </c>
      <c r="Q192" s="25">
        <f>Q191*(1+Table7[Monthly SF Inter])+Table9[[#This Row],[Inflation Modifier]]-R191*(1+Table7[Monthly SF Inter])</f>
        <v>1.3458683383241308</v>
      </c>
      <c r="R192" s="25">
        <f>IF(MOD(Table9[[#This Row],[Month]],12)=0,Table9[[#This Row],[Q2 ACC FACTOR]],0)</f>
        <v>0</v>
      </c>
      <c r="S192" s="25">
        <f>S191*(1+D191)+Table9[[#This Row],[ACC FACTOR PAYMENTS]]</f>
        <v>318.64131251859448</v>
      </c>
    </row>
    <row r="193" spans="1:19" x14ac:dyDescent="0.25">
      <c r="A193" s="1">
        <v>181</v>
      </c>
      <c r="B193" s="1">
        <f t="shared" si="2"/>
        <v>0</v>
      </c>
      <c r="C193" s="7">
        <f>G$12/-PV(Table7[Monthly mortgage rate], (12*Table7[Amortization period (yrs)]),1 )</f>
        <v>4377.9977174134756</v>
      </c>
      <c r="D193" s="11">
        <f>IF(Table1[[#This Row],[Month]]&lt;=(12*Table7[mortgage term (yrs)]),Table7[Monthly mortgage rate],Table7[Monthly Exp Renewal Rate])</f>
        <v>4.9038466830562122E-3</v>
      </c>
      <c r="E193" s="21">
        <f>Table1[[#This Row],[Current mortgage rate]]*G192</f>
        <v>1255.1646586334664</v>
      </c>
      <c r="F193" s="5">
        <f>Table1[[#This Row],[Payment amount]]-Table1[[#This Row],[Interest paid]]</f>
        <v>3122.8330587800092</v>
      </c>
      <c r="G193" s="20">
        <f>G192-Table1[[#This Row],[Principal repaid]]-Table1[[#This Row],[Annual paym]]</f>
        <v>252832.28539349863</v>
      </c>
      <c r="H193" s="20">
        <f>H192-(Table1[[#This Row],[Payment amount]]-Table1[[#This Row],[Interest Paid W/O LSP]])</f>
        <v>380478.7520416716</v>
      </c>
      <c r="I193">
        <f>H192*Table1[[#This Row],[Current mortgage rate]]</f>
        <v>1878.0687346230513</v>
      </c>
      <c r="J193" s="25">
        <f>IF(Table1[[#This Row],[Month]]&gt;Table7[Amortization period (yrs)]*12,0,IF(Table1[[#This Row],[Month]]&lt;Table7[mortgage term (yrs)]*12,0,IF(Table1[[#This Row],[Month]]=Table7[mortgage term (yrs)]*12,-H$5,Table1[[#This Row],[Payment amount]]+B193)))</f>
        <v>4377.9977174134756</v>
      </c>
      <c r="K193">
        <v>182</v>
      </c>
      <c r="L193">
        <f>Table7[Initial Monthly Deposit]*Table9[[#This Row],[Inflation Modifier]]</f>
        <v>538.34733532965174</v>
      </c>
      <c r="M193">
        <f xml:space="preserve"> (1+Table7[Inflation])^(QUOTIENT(Table9[[#This Row],[Month]]-1,12))</f>
        <v>1.3458683383241292</v>
      </c>
      <c r="N193">
        <f>N192*(1+Table7[Monthly SF Inter])+Table9[[#This Row],[Monthly Payment]]-O192*(1+Table7[Monthly SF Inter])</f>
        <v>1078.9147695610882</v>
      </c>
      <c r="O193">
        <f>IF(MOD(Table9[[#This Row],[Month]],12)=0,(IF(Table9[[#This Row],[Current Balance]]&lt;Table9[[#This Row],[Max Lump Sum ]],Table9[[#This Row],[Current Balance]],Table9[[#This Row],[Max Lump Sum ]])),0)</f>
        <v>0</v>
      </c>
      <c r="P193" s="21">
        <f>Table7[Max annual lump sum repayment]*SUM(C194:C205)</f>
        <v>7880.3958913442566</v>
      </c>
      <c r="Q193" s="25">
        <f>Q192*(1+Table7[Monthly SF Inter])+Table9[[#This Row],[Inflation Modifier]]-R192*(1+Table7[Monthly SF Inter])</f>
        <v>2.6972869239027228</v>
      </c>
      <c r="R193" s="25">
        <f>IF(MOD(Table9[[#This Row],[Month]],12)=0,Table9[[#This Row],[Q2 ACC FACTOR]],0)</f>
        <v>0</v>
      </c>
      <c r="S193" s="25">
        <f>S192*(1+D192)+Table9[[#This Row],[ACC FACTOR PAYMENTS]]</f>
        <v>320.20388066207346</v>
      </c>
    </row>
    <row r="194" spans="1:19" x14ac:dyDescent="0.25">
      <c r="A194" s="1">
        <v>182</v>
      </c>
      <c r="B194" s="1">
        <f t="shared" si="2"/>
        <v>0</v>
      </c>
      <c r="C194" s="7">
        <f>G$12/-PV(Table7[Monthly mortgage rate], (12*Table7[Amortization period (yrs)]),1 )</f>
        <v>4377.9977174134756</v>
      </c>
      <c r="D194" s="11">
        <f>IF(Table1[[#This Row],[Month]]&lt;=(12*Table7[mortgage term (yrs)]),Table7[Monthly mortgage rate],Table7[Monthly Exp Renewal Rate])</f>
        <v>4.9038466830562122E-3</v>
      </c>
      <c r="E194" s="21">
        <f>Table1[[#This Row],[Current mortgage rate]]*G193</f>
        <v>1239.8507640964299</v>
      </c>
      <c r="F194" s="5">
        <f>Table1[[#This Row],[Payment amount]]-Table1[[#This Row],[Interest paid]]</f>
        <v>3138.1469533170457</v>
      </c>
      <c r="G194" s="20">
        <f>G193-Table1[[#This Row],[Principal repaid]]-Table1[[#This Row],[Annual paym]]</f>
        <v>249694.13844018159</v>
      </c>
      <c r="H194" s="20">
        <f>H193-(Table1[[#This Row],[Payment amount]]-Table1[[#This Row],[Interest Paid W/O LSP]])</f>
        <v>377966.56379043101</v>
      </c>
      <c r="I194">
        <f>H193*Table1[[#This Row],[Current mortgage rate]]</f>
        <v>1865.8094661729183</v>
      </c>
      <c r="J194" s="25">
        <f>IF(Table1[[#This Row],[Month]]&gt;Table7[Amortization period (yrs)]*12,0,IF(Table1[[#This Row],[Month]]&lt;Table7[mortgage term (yrs)]*12,0,IF(Table1[[#This Row],[Month]]=Table7[mortgage term (yrs)]*12,-H$5,Table1[[#This Row],[Payment amount]]+B194)))</f>
        <v>4377.9977174134756</v>
      </c>
      <c r="K194">
        <v>183</v>
      </c>
      <c r="L194">
        <f>Table7[Initial Monthly Deposit]*Table9[[#This Row],[Inflation Modifier]]</f>
        <v>538.34733532965174</v>
      </c>
      <c r="M194">
        <f xml:space="preserve"> (1+Table7[Inflation])^(QUOTIENT(Table9[[#This Row],[Month]]-1,12))</f>
        <v>1.3458683383241292</v>
      </c>
      <c r="N194">
        <f>N193*(1+Table7[Monthly SF Inter])+Table9[[#This Row],[Monthly Payment]]-O193*(1+Table7[Monthly SF Inter])</f>
        <v>1621.7114581945054</v>
      </c>
      <c r="O194">
        <f>IF(MOD(Table9[[#This Row],[Month]],12)=0,(IF(Table9[[#This Row],[Current Balance]]&lt;Table9[[#This Row],[Max Lump Sum ]],Table9[[#This Row],[Current Balance]],Table9[[#This Row],[Max Lump Sum ]])),0)</f>
        <v>0</v>
      </c>
      <c r="P194" s="21">
        <f>Table7[Max annual lump sum repayment]*SUM(C195:C206)</f>
        <v>7880.3958913442566</v>
      </c>
      <c r="Q194" s="25">
        <f>Q193*(1+Table7[Monthly SF Inter])+Table9[[#This Row],[Inflation Modifier]]-R193*(1+Table7[Monthly SF Inter])</f>
        <v>4.0542786454862663</v>
      </c>
      <c r="R194" s="25">
        <f>IF(MOD(Table9[[#This Row],[Month]],12)=0,Table9[[#This Row],[Q2 ACC FACTOR]],0)</f>
        <v>0</v>
      </c>
      <c r="S194" s="25">
        <f>S193*(1+D193)+Table9[[#This Row],[ACC FACTOR PAYMENTS]]</f>
        <v>321.77411140015988</v>
      </c>
    </row>
    <row r="195" spans="1:19" x14ac:dyDescent="0.25">
      <c r="A195" s="1">
        <v>183</v>
      </c>
      <c r="B195" s="1">
        <f t="shared" si="2"/>
        <v>0</v>
      </c>
      <c r="C195" s="7">
        <f>G$12/-PV(Table7[Monthly mortgage rate], (12*Table7[Amortization period (yrs)]),1 )</f>
        <v>4377.9977174134756</v>
      </c>
      <c r="D195" s="11">
        <f>IF(Table1[[#This Row],[Month]]&lt;=(12*Table7[mortgage term (yrs)]),Table7[Monthly mortgage rate],Table7[Monthly Exp Renewal Rate])</f>
        <v>4.9038466830562122E-3</v>
      </c>
      <c r="E195" s="21">
        <f>Table1[[#This Row],[Current mortgage rate]]*G194</f>
        <v>1224.4617725684632</v>
      </c>
      <c r="F195" s="5">
        <f>Table1[[#This Row],[Payment amount]]-Table1[[#This Row],[Interest paid]]</f>
        <v>3153.5359448450126</v>
      </c>
      <c r="G195" s="20">
        <f>G194-Table1[[#This Row],[Principal repaid]]-Table1[[#This Row],[Annual paym]]</f>
        <v>246540.60249533658</v>
      </c>
      <c r="H195" s="20">
        <f>H194-(Table1[[#This Row],[Payment amount]]-Table1[[#This Row],[Interest Paid W/O LSP]])</f>
        <v>375442.05615316739</v>
      </c>
      <c r="I195">
        <f>H194*Table1[[#This Row],[Current mortgage rate]]</f>
        <v>1853.4900801498593</v>
      </c>
      <c r="J195" s="25">
        <f>IF(Table1[[#This Row],[Month]]&gt;Table7[Amortization period (yrs)]*12,0,IF(Table1[[#This Row],[Month]]&lt;Table7[mortgage term (yrs)]*12,0,IF(Table1[[#This Row],[Month]]=Table7[mortgage term (yrs)]*12,-H$5,Table1[[#This Row],[Payment amount]]+B195)))</f>
        <v>4377.9977174134756</v>
      </c>
      <c r="K195">
        <v>184</v>
      </c>
      <c r="L195">
        <f>Table7[Initial Monthly Deposit]*Table9[[#This Row],[Inflation Modifier]]</f>
        <v>538.34733532965174</v>
      </c>
      <c r="M195">
        <f xml:space="preserve"> (1+Table7[Inflation])^(QUOTIENT(Table9[[#This Row],[Month]]-1,12))</f>
        <v>1.3458683383241292</v>
      </c>
      <c r="N195">
        <f>N194*(1+Table7[Monthly SF Inter])+Table9[[#This Row],[Monthly Payment]]-O194*(1+Table7[Monthly SF Inter])</f>
        <v>2166.7465944866071</v>
      </c>
      <c r="O195">
        <f>IF(MOD(Table9[[#This Row],[Month]],12)=0,(IF(Table9[[#This Row],[Current Balance]]&lt;Table9[[#This Row],[Max Lump Sum ]],Table9[[#This Row],[Current Balance]],Table9[[#This Row],[Max Lump Sum ]])),0)</f>
        <v>0</v>
      </c>
      <c r="P195" s="21">
        <f>Table7[Max annual lump sum repayment]*SUM(C196:C207)</f>
        <v>7880.3958913442566</v>
      </c>
      <c r="Q195" s="25">
        <f>Q194*(1+Table7[Monthly SF Inter])+Table9[[#This Row],[Inflation Modifier]]-R194*(1+Table7[Monthly SF Inter])</f>
        <v>5.4168664862165201</v>
      </c>
      <c r="R195" s="25">
        <f>IF(MOD(Table9[[#This Row],[Month]],12)=0,Table9[[#This Row],[Q2 ACC FACTOR]],0)</f>
        <v>0</v>
      </c>
      <c r="S195" s="25">
        <f>S194*(1+D194)+Table9[[#This Row],[ACC FACTOR PAYMENTS]]</f>
        <v>323.35204230904293</v>
      </c>
    </row>
    <row r="196" spans="1:19" x14ac:dyDescent="0.25">
      <c r="A196" s="1">
        <v>184</v>
      </c>
      <c r="B196" s="1">
        <f t="shared" si="2"/>
        <v>0</v>
      </c>
      <c r="C196" s="7">
        <f>G$12/-PV(Table7[Monthly mortgage rate], (12*Table7[Amortization period (yrs)]),1 )</f>
        <v>4377.9977174134756</v>
      </c>
      <c r="D196" s="11">
        <f>IF(Table1[[#This Row],[Month]]&lt;=(12*Table7[mortgage term (yrs)]),Table7[Monthly mortgage rate],Table7[Monthly Exp Renewal Rate])</f>
        <v>4.9038466830562122E-3</v>
      </c>
      <c r="E196" s="21">
        <f>Table1[[#This Row],[Current mortgage rate]]*G195</f>
        <v>1208.9973157854365</v>
      </c>
      <c r="F196" s="5">
        <f>Table1[[#This Row],[Payment amount]]-Table1[[#This Row],[Interest paid]]</f>
        <v>3169.0004016280391</v>
      </c>
      <c r="G196" s="20">
        <f>G195-Table1[[#This Row],[Principal repaid]]-Table1[[#This Row],[Annual paym]]</f>
        <v>243371.60209370856</v>
      </c>
      <c r="H196" s="20">
        <f>H195-(Table1[[#This Row],[Payment amount]]-Table1[[#This Row],[Interest Paid W/O LSP]])</f>
        <v>372905.1687175004</v>
      </c>
      <c r="I196">
        <f>H195*Table1[[#This Row],[Current mortgage rate]]</f>
        <v>1841.1102817465141</v>
      </c>
      <c r="J196" s="25">
        <f>IF(Table1[[#This Row],[Month]]&gt;Table7[Amortization period (yrs)]*12,0,IF(Table1[[#This Row],[Month]]&lt;Table7[mortgage term (yrs)]*12,0,IF(Table1[[#This Row],[Month]]=Table7[mortgage term (yrs)]*12,-H$5,Table1[[#This Row],[Payment amount]]+B196)))</f>
        <v>4377.9977174134756</v>
      </c>
      <c r="K196">
        <v>185</v>
      </c>
      <c r="L196">
        <f>Table7[Initial Monthly Deposit]*Table9[[#This Row],[Inflation Modifier]]</f>
        <v>538.34733532965174</v>
      </c>
      <c r="M196">
        <f xml:space="preserve"> (1+Table7[Inflation])^(QUOTIENT(Table9[[#This Row],[Month]]-1,12))</f>
        <v>1.3458683383241292</v>
      </c>
      <c r="N196">
        <f>N195*(1+Table7[Monthly SF Inter])+Table9[[#This Row],[Monthly Payment]]-O195*(1+Table7[Monthly SF Inter])</f>
        <v>2714.0294096063108</v>
      </c>
      <c r="O196">
        <f>IF(MOD(Table9[[#This Row],[Month]],12)=0,(IF(Table9[[#This Row],[Current Balance]]&lt;Table9[[#This Row],[Max Lump Sum ]],Table9[[#This Row],[Current Balance]],Table9[[#This Row],[Max Lump Sum ]])),0)</f>
        <v>0</v>
      </c>
      <c r="P196" s="21">
        <f>Table7[Max annual lump sum repayment]*SUM(C197:C208)</f>
        <v>7880.3958913442566</v>
      </c>
      <c r="Q196" s="25">
        <f>Q195*(1+Table7[Monthly SF Inter])+Table9[[#This Row],[Inflation Modifier]]-R195*(1+Table7[Monthly SF Inter])</f>
        <v>6.7850735240157789</v>
      </c>
      <c r="R196" s="25">
        <f>IF(MOD(Table9[[#This Row],[Month]],12)=0,Table9[[#This Row],[Q2 ACC FACTOR]],0)</f>
        <v>0</v>
      </c>
      <c r="S196" s="25">
        <f>S195*(1+D195)+Table9[[#This Row],[ACC FACTOR PAYMENTS]]</f>
        <v>324.93771114917956</v>
      </c>
    </row>
    <row r="197" spans="1:19" x14ac:dyDescent="0.25">
      <c r="A197" s="1">
        <v>185</v>
      </c>
      <c r="B197" s="1">
        <f t="shared" si="2"/>
        <v>0</v>
      </c>
      <c r="C197" s="7">
        <f>G$12/-PV(Table7[Monthly mortgage rate], (12*Table7[Amortization period (yrs)]),1 )</f>
        <v>4377.9977174134756</v>
      </c>
      <c r="D197" s="11">
        <f>IF(Table1[[#This Row],[Month]]&lt;=(12*Table7[mortgage term (yrs)]),Table7[Monthly mortgage rate],Table7[Monthly Exp Renewal Rate])</f>
        <v>4.9038466830562122E-3</v>
      </c>
      <c r="E197" s="21">
        <f>Table1[[#This Row],[Current mortgage rate]]*G196</f>
        <v>1193.4570236773091</v>
      </c>
      <c r="F197" s="5">
        <f>Table1[[#This Row],[Payment amount]]-Table1[[#This Row],[Interest paid]]</f>
        <v>3184.5406937361668</v>
      </c>
      <c r="G197" s="20">
        <f>G196-Table1[[#This Row],[Principal repaid]]-Table1[[#This Row],[Annual paym]]</f>
        <v>240187.06139997239</v>
      </c>
      <c r="H197" s="20">
        <f>H196-(Table1[[#This Row],[Payment amount]]-Table1[[#This Row],[Interest Paid W/O LSP]])</f>
        <v>370355.84077479679</v>
      </c>
      <c r="I197">
        <f>H196*Table1[[#This Row],[Current mortgage rate]]</f>
        <v>1828.6697747098315</v>
      </c>
      <c r="J197" s="25">
        <f>IF(Table1[[#This Row],[Month]]&gt;Table7[Amortization period (yrs)]*12,0,IF(Table1[[#This Row],[Month]]&lt;Table7[mortgage term (yrs)]*12,0,IF(Table1[[#This Row],[Month]]=Table7[mortgage term (yrs)]*12,-H$5,Table1[[#This Row],[Payment amount]]+B197)))</f>
        <v>4377.9977174134756</v>
      </c>
      <c r="K197">
        <v>186</v>
      </c>
      <c r="L197">
        <f>Table7[Initial Monthly Deposit]*Table9[[#This Row],[Inflation Modifier]]</f>
        <v>538.34733532965174</v>
      </c>
      <c r="M197">
        <f xml:space="preserve"> (1+Table7[Inflation])^(QUOTIENT(Table9[[#This Row],[Month]]-1,12))</f>
        <v>1.3458683383241292</v>
      </c>
      <c r="N197">
        <f>N196*(1+Table7[Monthly SF Inter])+Table9[[#This Row],[Monthly Payment]]-O196*(1+Table7[Monthly SF Inter])</f>
        <v>3263.5691727910944</v>
      </c>
      <c r="O197">
        <f>IF(MOD(Table9[[#This Row],[Month]],12)=0,(IF(Table9[[#This Row],[Current Balance]]&lt;Table9[[#This Row],[Max Lump Sum ]],Table9[[#This Row],[Current Balance]],Table9[[#This Row],[Max Lump Sum ]])),0)</f>
        <v>0</v>
      </c>
      <c r="P197" s="21">
        <f>Table7[Max annual lump sum repayment]*SUM(C198:C209)</f>
        <v>7880.3958913442566</v>
      </c>
      <c r="Q197" s="25">
        <f>Q196*(1+Table7[Monthly SF Inter])+Table9[[#This Row],[Inflation Modifier]]-R196*(1+Table7[Monthly SF Inter])</f>
        <v>8.1589229319777381</v>
      </c>
      <c r="R197" s="25">
        <f>IF(MOD(Table9[[#This Row],[Month]],12)=0,Table9[[#This Row],[Q2 ACC FACTOR]],0)</f>
        <v>0</v>
      </c>
      <c r="S197" s="25">
        <f>S196*(1+D196)+Table9[[#This Row],[ACC FACTOR PAYMENTS]]</f>
        <v>326.53115586619833</v>
      </c>
    </row>
    <row r="198" spans="1:19" x14ac:dyDescent="0.25">
      <c r="A198" s="1">
        <v>186</v>
      </c>
      <c r="B198" s="1">
        <f t="shared" si="2"/>
        <v>0</v>
      </c>
      <c r="C198" s="7">
        <f>G$12/-PV(Table7[Monthly mortgage rate], (12*Table7[Amortization period (yrs)]),1 )</f>
        <v>4377.9977174134756</v>
      </c>
      <c r="D198" s="11">
        <f>IF(Table1[[#This Row],[Month]]&lt;=(12*Table7[mortgage term (yrs)]),Table7[Monthly mortgage rate],Table7[Monthly Exp Renewal Rate])</f>
        <v>4.9038466830562122E-3</v>
      </c>
      <c r="E198" s="21">
        <f>Table1[[#This Row],[Current mortgage rate]]*G197</f>
        <v>1177.8405243592733</v>
      </c>
      <c r="F198" s="5">
        <f>Table1[[#This Row],[Payment amount]]-Table1[[#This Row],[Interest paid]]</f>
        <v>3200.1571930542023</v>
      </c>
      <c r="G198" s="20">
        <f>G197-Table1[[#This Row],[Principal repaid]]-Table1[[#This Row],[Annual paym]]</f>
        <v>236986.90420691817</v>
      </c>
      <c r="H198" s="20">
        <f>H197-(Table1[[#This Row],[Payment amount]]-Table1[[#This Row],[Interest Paid W/O LSP]])</f>
        <v>367794.01131871727</v>
      </c>
      <c r="I198">
        <f>H197*Table1[[#This Row],[Current mortgage rate]]</f>
        <v>1816.1682613339819</v>
      </c>
      <c r="J198" s="25">
        <f>IF(Table1[[#This Row],[Month]]&gt;Table7[Amortization period (yrs)]*12,0,IF(Table1[[#This Row],[Month]]&lt;Table7[mortgage term (yrs)]*12,0,IF(Table1[[#This Row],[Month]]=Table7[mortgage term (yrs)]*12,-H$5,Table1[[#This Row],[Payment amount]]+B198)))</f>
        <v>4377.9977174134756</v>
      </c>
      <c r="K198">
        <v>187</v>
      </c>
      <c r="L198">
        <f>Table7[Initial Monthly Deposit]*Table9[[#This Row],[Inflation Modifier]]</f>
        <v>538.34733532965174</v>
      </c>
      <c r="M198">
        <f xml:space="preserve"> (1+Table7[Inflation])^(QUOTIENT(Table9[[#This Row],[Month]]-1,12))</f>
        <v>1.3458683383241292</v>
      </c>
      <c r="N198">
        <f>N197*(1+Table7[Monthly SF Inter])+Table9[[#This Row],[Monthly Payment]]-O197*(1+Table7[Monthly SF Inter])</f>
        <v>3815.3751915039875</v>
      </c>
      <c r="O198">
        <f>IF(MOD(Table9[[#This Row],[Month]],12)=0,(IF(Table9[[#This Row],[Current Balance]]&lt;Table9[[#This Row],[Max Lump Sum ]],Table9[[#This Row],[Current Balance]],Table9[[#This Row],[Max Lump Sum ]])),0)</f>
        <v>0</v>
      </c>
      <c r="P198" s="21">
        <f>Table7[Max annual lump sum repayment]*SUM(C199:C210)</f>
        <v>7880.3958913442566</v>
      </c>
      <c r="Q198" s="25">
        <f>Q197*(1+Table7[Monthly SF Inter])+Table9[[#This Row],[Inflation Modifier]]-R197*(1+Table7[Monthly SF Inter])</f>
        <v>9.5384379787599709</v>
      </c>
      <c r="R198" s="25">
        <f>IF(MOD(Table9[[#This Row],[Month]],12)=0,Table9[[#This Row],[Q2 ACC FACTOR]],0)</f>
        <v>0</v>
      </c>
      <c r="S198" s="25">
        <f>S197*(1+D197)+Table9[[#This Row],[ACC FACTOR PAYMENTS]]</f>
        <v>328.13241459180728</v>
      </c>
    </row>
    <row r="199" spans="1:19" x14ac:dyDescent="0.25">
      <c r="A199" s="1">
        <v>187</v>
      </c>
      <c r="B199" s="1">
        <f t="shared" si="2"/>
        <v>0</v>
      </c>
      <c r="C199" s="7">
        <f>G$12/-PV(Table7[Monthly mortgage rate], (12*Table7[Amortization period (yrs)]),1 )</f>
        <v>4377.9977174134756</v>
      </c>
      <c r="D199" s="11">
        <f>IF(Table1[[#This Row],[Month]]&lt;=(12*Table7[mortgage term (yrs)]),Table7[Monthly mortgage rate],Table7[Monthly Exp Renewal Rate])</f>
        <v>4.9038466830562122E-3</v>
      </c>
      <c r="E199" s="21">
        <f>Table1[[#This Row],[Current mortgage rate]]*G198</f>
        <v>1162.1474441228561</v>
      </c>
      <c r="F199" s="5">
        <f>Table1[[#This Row],[Payment amount]]-Table1[[#This Row],[Interest paid]]</f>
        <v>3215.8502732906195</v>
      </c>
      <c r="G199" s="20">
        <f>G198-Table1[[#This Row],[Principal repaid]]-Table1[[#This Row],[Annual paym]]</f>
        <v>233771.05393362755</v>
      </c>
      <c r="H199" s="20">
        <f>H198-(Table1[[#This Row],[Payment amount]]-Table1[[#This Row],[Interest Paid W/O LSP]])</f>
        <v>365219.61904375703</v>
      </c>
      <c r="I199">
        <f>H198*Table1[[#This Row],[Current mortgage rate]]</f>
        <v>1803.6054424532306</v>
      </c>
      <c r="J199" s="25">
        <f>IF(Table1[[#This Row],[Month]]&gt;Table7[Amortization period (yrs)]*12,0,IF(Table1[[#This Row],[Month]]&lt;Table7[mortgage term (yrs)]*12,0,IF(Table1[[#This Row],[Month]]=Table7[mortgage term (yrs)]*12,-H$5,Table1[[#This Row],[Payment amount]]+B199)))</f>
        <v>4377.9977174134756</v>
      </c>
      <c r="K199">
        <v>188</v>
      </c>
      <c r="L199">
        <f>Table7[Initial Monthly Deposit]*Table9[[#This Row],[Inflation Modifier]]</f>
        <v>538.34733532965174</v>
      </c>
      <c r="M199">
        <f xml:space="preserve"> (1+Table7[Inflation])^(QUOTIENT(Table9[[#This Row],[Month]]-1,12))</f>
        <v>1.3458683383241292</v>
      </c>
      <c r="N199">
        <f>N198*(1+Table7[Monthly SF Inter])+Table9[[#This Row],[Monthly Payment]]-O198*(1+Table7[Monthly SF Inter])</f>
        <v>4369.4568115912098</v>
      </c>
      <c r="O199">
        <f>IF(MOD(Table9[[#This Row],[Month]],12)=0,(IF(Table9[[#This Row],[Current Balance]]&lt;Table9[[#This Row],[Max Lump Sum ]],Table9[[#This Row],[Current Balance]],Table9[[#This Row],[Max Lump Sum ]])),0)</f>
        <v>0</v>
      </c>
      <c r="P199" s="21">
        <f>Table7[Max annual lump sum repayment]*SUM(C200:C211)</f>
        <v>7880.3958913442566</v>
      </c>
      <c r="Q199" s="25">
        <f>Q198*(1+Table7[Monthly SF Inter])+Table9[[#This Row],[Inflation Modifier]]-R198*(1+Table7[Monthly SF Inter])</f>
        <v>10.923642028978028</v>
      </c>
      <c r="R199" s="25">
        <f>IF(MOD(Table9[[#This Row],[Month]],12)=0,Table9[[#This Row],[Q2 ACC FACTOR]],0)</f>
        <v>0</v>
      </c>
      <c r="S199" s="25">
        <f>S198*(1+D198)+Table9[[#This Row],[ACC FACTOR PAYMENTS]]</f>
        <v>329.74152564470654</v>
      </c>
    </row>
    <row r="200" spans="1:19" x14ac:dyDescent="0.25">
      <c r="A200" s="1">
        <v>188</v>
      </c>
      <c r="B200" s="1">
        <f t="shared" si="2"/>
        <v>0</v>
      </c>
      <c r="C200" s="7">
        <f>G$12/-PV(Table7[Monthly mortgage rate], (12*Table7[Amortization period (yrs)]),1 )</f>
        <v>4377.9977174134756</v>
      </c>
      <c r="D200" s="11">
        <f>IF(Table1[[#This Row],[Month]]&lt;=(12*Table7[mortgage term (yrs)]),Table7[Monthly mortgage rate],Table7[Monthly Exp Renewal Rate])</f>
        <v>4.9038466830562122E-3</v>
      </c>
      <c r="E200" s="21">
        <f>Table1[[#This Row],[Current mortgage rate]]*G199</f>
        <v>1146.3774074269743</v>
      </c>
      <c r="F200" s="5">
        <f>Table1[[#This Row],[Payment amount]]-Table1[[#This Row],[Interest paid]]</f>
        <v>3231.6203099865015</v>
      </c>
      <c r="G200" s="20">
        <f>G199-Table1[[#This Row],[Principal repaid]]-Table1[[#This Row],[Annual paym]]</f>
        <v>230539.43362364106</v>
      </c>
      <c r="H200" s="20">
        <f>H199-(Table1[[#This Row],[Payment amount]]-Table1[[#This Row],[Interest Paid W/O LSP]])</f>
        <v>362632.60234377836</v>
      </c>
      <c r="I200">
        <f>H199*Table1[[#This Row],[Current mortgage rate]]</f>
        <v>1790.9810174347813</v>
      </c>
      <c r="J200" s="25">
        <f>IF(Table1[[#This Row],[Month]]&gt;Table7[Amortization period (yrs)]*12,0,IF(Table1[[#This Row],[Month]]&lt;Table7[mortgage term (yrs)]*12,0,IF(Table1[[#This Row],[Month]]=Table7[mortgage term (yrs)]*12,-H$5,Table1[[#This Row],[Payment amount]]+B200)))</f>
        <v>4377.9977174134756</v>
      </c>
      <c r="K200">
        <v>189</v>
      </c>
      <c r="L200">
        <f>Table7[Initial Monthly Deposit]*Table9[[#This Row],[Inflation Modifier]]</f>
        <v>538.34733532965174</v>
      </c>
      <c r="M200">
        <f xml:space="preserve"> (1+Table7[Inflation])^(QUOTIENT(Table9[[#This Row],[Month]]-1,12))</f>
        <v>1.3458683383241292</v>
      </c>
      <c r="N200">
        <f>N199*(1+Table7[Monthly SF Inter])+Table9[[#This Row],[Monthly Payment]]-O199*(1+Table7[Monthly SF Inter])</f>
        <v>4925.8234174404624</v>
      </c>
      <c r="O200">
        <f>IF(MOD(Table9[[#This Row],[Month]],12)=0,(IF(Table9[[#This Row],[Current Balance]]&lt;Table9[[#This Row],[Max Lump Sum ]],Table9[[#This Row],[Current Balance]],Table9[[#This Row],[Max Lump Sum ]])),0)</f>
        <v>0</v>
      </c>
      <c r="P200" s="21">
        <f>Table7[Max annual lump sum repayment]*SUM(C201:C212)</f>
        <v>7880.3958913442566</v>
      </c>
      <c r="Q200" s="25">
        <f>Q199*(1+Table7[Monthly SF Inter])+Table9[[#This Row],[Inflation Modifier]]-R199*(1+Table7[Monthly SF Inter])</f>
        <v>12.314558543601159</v>
      </c>
      <c r="R200" s="25">
        <f>IF(MOD(Table9[[#This Row],[Month]],12)=0,Table9[[#This Row],[Q2 ACC FACTOR]],0)</f>
        <v>0</v>
      </c>
      <c r="S200" s="25">
        <f>S199*(1+D199)+Table9[[#This Row],[ACC FACTOR PAYMENTS]]</f>
        <v>331.35852753150522</v>
      </c>
    </row>
    <row r="201" spans="1:19" x14ac:dyDescent="0.25">
      <c r="A201" s="1">
        <v>189</v>
      </c>
      <c r="B201" s="1">
        <f t="shared" si="2"/>
        <v>0</v>
      </c>
      <c r="C201" s="7">
        <f>G$12/-PV(Table7[Monthly mortgage rate], (12*Table7[Amortization period (yrs)]),1 )</f>
        <v>4377.9977174134756</v>
      </c>
      <c r="D201" s="11">
        <f>IF(Table1[[#This Row],[Month]]&lt;=(12*Table7[mortgage term (yrs)]),Table7[Monthly mortgage rate],Table7[Monthly Exp Renewal Rate])</f>
        <v>4.9038466830562122E-3</v>
      </c>
      <c r="E201" s="21">
        <f>Table1[[#This Row],[Current mortgage rate]]*G200</f>
        <v>1130.53003688895</v>
      </c>
      <c r="F201" s="5">
        <f>Table1[[#This Row],[Payment amount]]-Table1[[#This Row],[Interest paid]]</f>
        <v>3247.4676805245253</v>
      </c>
      <c r="G201" s="20">
        <f>G200-Table1[[#This Row],[Principal repaid]]-Table1[[#This Row],[Annual paym]]</f>
        <v>227291.96594311652</v>
      </c>
      <c r="H201" s="20">
        <f>H200-(Table1[[#This Row],[Payment amount]]-Table1[[#This Row],[Interest Paid W/O LSP]])</f>
        <v>360032.89931053645</v>
      </c>
      <c r="I201">
        <f>H200*Table1[[#This Row],[Current mortgage rate]]</f>
        <v>1778.29468417158</v>
      </c>
      <c r="J201" s="25">
        <f>IF(Table1[[#This Row],[Month]]&gt;Table7[Amortization period (yrs)]*12,0,IF(Table1[[#This Row],[Month]]&lt;Table7[mortgage term (yrs)]*12,0,IF(Table1[[#This Row],[Month]]=Table7[mortgage term (yrs)]*12,-H$5,Table1[[#This Row],[Payment amount]]+B201)))</f>
        <v>4377.9977174134756</v>
      </c>
      <c r="K201">
        <v>190</v>
      </c>
      <c r="L201">
        <f>Table7[Initial Monthly Deposit]*Table9[[#This Row],[Inflation Modifier]]</f>
        <v>538.34733532965174</v>
      </c>
      <c r="M201">
        <f xml:space="preserve"> (1+Table7[Inflation])^(QUOTIENT(Table9[[#This Row],[Month]]-1,12))</f>
        <v>1.3458683383241292</v>
      </c>
      <c r="N201">
        <f>N200*(1+Table7[Monthly SF Inter])+Table9[[#This Row],[Monthly Payment]]-O200*(1+Table7[Monthly SF Inter])</f>
        <v>5484.4844321398668</v>
      </c>
      <c r="O201">
        <f>IF(MOD(Table9[[#This Row],[Month]],12)=0,(IF(Table9[[#This Row],[Current Balance]]&lt;Table9[[#This Row],[Max Lump Sum ]],Table9[[#This Row],[Current Balance]],Table9[[#This Row],[Max Lump Sum ]])),0)</f>
        <v>0</v>
      </c>
      <c r="P201" s="21">
        <f>Table7[Max annual lump sum repayment]*SUM(C202:C213)</f>
        <v>7880.3958913442566</v>
      </c>
      <c r="Q201" s="25">
        <f>Q200*(1+Table7[Monthly SF Inter])+Table9[[#This Row],[Inflation Modifier]]-R200*(1+Table7[Monthly SF Inter])</f>
        <v>13.711211080349669</v>
      </c>
      <c r="R201" s="25">
        <f>IF(MOD(Table9[[#This Row],[Month]],12)=0,Table9[[#This Row],[Q2 ACC FACTOR]],0)</f>
        <v>0</v>
      </c>
      <c r="S201" s="25">
        <f>S200*(1+D200)+Table9[[#This Row],[ACC FACTOR PAYMENTS]]</f>
        <v>332.98345894764299</v>
      </c>
    </row>
    <row r="202" spans="1:19" x14ac:dyDescent="0.25">
      <c r="A202" s="1">
        <v>190</v>
      </c>
      <c r="B202" s="1">
        <f t="shared" si="2"/>
        <v>0</v>
      </c>
      <c r="C202" s="7">
        <f>G$12/-PV(Table7[Monthly mortgage rate], (12*Table7[Amortization period (yrs)]),1 )</f>
        <v>4377.9977174134756</v>
      </c>
      <c r="D202" s="11">
        <f>IF(Table1[[#This Row],[Month]]&lt;=(12*Table7[mortgage term (yrs)]),Table7[Monthly mortgage rate],Table7[Monthly Exp Renewal Rate])</f>
        <v>4.9038466830562122E-3</v>
      </c>
      <c r="E202" s="21">
        <f>Table1[[#This Row],[Current mortgage rate]]*G201</f>
        <v>1114.6049532754776</v>
      </c>
      <c r="F202" s="5">
        <f>Table1[[#This Row],[Payment amount]]-Table1[[#This Row],[Interest paid]]</f>
        <v>3263.3927641379978</v>
      </c>
      <c r="G202" s="20">
        <f>G201-Table1[[#This Row],[Principal repaid]]-Table1[[#This Row],[Annual paym]]</f>
        <v>224028.57317897852</v>
      </c>
      <c r="H202" s="20">
        <f>H201-(Table1[[#This Row],[Payment amount]]-Table1[[#This Row],[Interest Paid W/O LSP]])</f>
        <v>357420.44773219805</v>
      </c>
      <c r="I202">
        <f>H201*Table1[[#This Row],[Current mortgage rate]]</f>
        <v>1765.5461390750854</v>
      </c>
      <c r="J202" s="25">
        <f>IF(Table1[[#This Row],[Month]]&gt;Table7[Amortization period (yrs)]*12,0,IF(Table1[[#This Row],[Month]]&lt;Table7[mortgage term (yrs)]*12,0,IF(Table1[[#This Row],[Month]]=Table7[mortgage term (yrs)]*12,-H$5,Table1[[#This Row],[Payment amount]]+B202)))</f>
        <v>4377.9977174134756</v>
      </c>
      <c r="K202">
        <v>191</v>
      </c>
      <c r="L202">
        <f>Table7[Initial Monthly Deposit]*Table9[[#This Row],[Inflation Modifier]]</f>
        <v>538.34733532965174</v>
      </c>
      <c r="M202">
        <f xml:space="preserve"> (1+Table7[Inflation])^(QUOTIENT(Table9[[#This Row],[Month]]-1,12))</f>
        <v>1.3458683383241292</v>
      </c>
      <c r="N202">
        <f>N201*(1+Table7[Monthly SF Inter])+Table9[[#This Row],[Monthly Payment]]-O201*(1+Table7[Monthly SF Inter])</f>
        <v>6045.4493176375636</v>
      </c>
      <c r="O202">
        <f>IF(MOD(Table9[[#This Row],[Month]],12)=0,(IF(Table9[[#This Row],[Current Balance]]&lt;Table9[[#This Row],[Max Lump Sum ]],Table9[[#This Row],[Current Balance]],Table9[[#This Row],[Max Lump Sum ]])),0)</f>
        <v>0</v>
      </c>
      <c r="P202" s="21">
        <f>Table7[Max annual lump sum repayment]*SUM(C203:C214)</f>
        <v>7880.3958913442566</v>
      </c>
      <c r="Q202" s="25">
        <f>Q201*(1+Table7[Monthly SF Inter])+Table9[[#This Row],[Inflation Modifier]]-R201*(1+Table7[Monthly SF Inter])</f>
        <v>15.113623294093909</v>
      </c>
      <c r="R202" s="25">
        <f>IF(MOD(Table9[[#This Row],[Month]],12)=0,Table9[[#This Row],[Q2 ACC FACTOR]],0)</f>
        <v>0</v>
      </c>
      <c r="S202" s="25">
        <f>S201*(1+D201)+Table9[[#This Row],[ACC FACTOR PAYMENTS]]</f>
        <v>334.616358778316</v>
      </c>
    </row>
    <row r="203" spans="1:19" x14ac:dyDescent="0.25">
      <c r="A203" s="1">
        <v>191</v>
      </c>
      <c r="B203" s="1">
        <f t="shared" si="2"/>
        <v>0</v>
      </c>
      <c r="C203" s="7">
        <f>G$12/-PV(Table7[Monthly mortgage rate], (12*Table7[Amortization period (yrs)]),1 )</f>
        <v>4377.9977174134756</v>
      </c>
      <c r="D203" s="11">
        <f>IF(Table1[[#This Row],[Month]]&lt;=(12*Table7[mortgage term (yrs)]),Table7[Monthly mortgage rate],Table7[Monthly Exp Renewal Rate])</f>
        <v>4.9038466830562122E-3</v>
      </c>
      <c r="E203" s="21">
        <f>Table1[[#This Row],[Current mortgage rate]]*G202</f>
        <v>1098.6017754935497</v>
      </c>
      <c r="F203" s="5">
        <f>Table1[[#This Row],[Payment amount]]-Table1[[#This Row],[Interest paid]]</f>
        <v>3279.3959419199259</v>
      </c>
      <c r="G203" s="20">
        <f>G202-Table1[[#This Row],[Principal repaid]]-Table1[[#This Row],[Annual paym]]</f>
        <v>220749.17723705858</v>
      </c>
      <c r="H203" s="20">
        <f>H202-(Table1[[#This Row],[Payment amount]]-Table1[[#This Row],[Interest Paid W/O LSP]])</f>
        <v>354795.18509185256</v>
      </c>
      <c r="I203">
        <f>H202*Table1[[#This Row],[Current mortgage rate]]</f>
        <v>1752.7350770680057</v>
      </c>
      <c r="J203" s="25">
        <f>IF(Table1[[#This Row],[Month]]&gt;Table7[Amortization period (yrs)]*12,0,IF(Table1[[#This Row],[Month]]&lt;Table7[mortgage term (yrs)]*12,0,IF(Table1[[#This Row],[Month]]=Table7[mortgage term (yrs)]*12,-H$5,Table1[[#This Row],[Payment amount]]+B203)))</f>
        <v>4377.9977174134756</v>
      </c>
      <c r="K203">
        <v>192</v>
      </c>
      <c r="L203">
        <f>Table7[Initial Monthly Deposit]*Table9[[#This Row],[Inflation Modifier]]</f>
        <v>538.34733532965174</v>
      </c>
      <c r="M203">
        <f xml:space="preserve"> (1+Table7[Inflation])^(QUOTIENT(Table9[[#This Row],[Month]]-1,12))</f>
        <v>1.3458683383241292</v>
      </c>
      <c r="N203">
        <f>N202*(1+Table7[Monthly SF Inter])+Table9[[#This Row],[Monthly Payment]]-O202*(1+Table7[Monthly SF Inter])</f>
        <v>6608.7275749019664</v>
      </c>
      <c r="O203">
        <f>IF(MOD(Table9[[#This Row],[Month]],12)=0,(IF(Table9[[#This Row],[Current Balance]]&lt;Table9[[#This Row],[Max Lump Sum ]],Table9[[#This Row],[Current Balance]],Table9[[#This Row],[Max Lump Sum ]])),0)</f>
        <v>6608.7275749019664</v>
      </c>
      <c r="P203" s="21">
        <f>Table7[Max annual lump sum repayment]*SUM(C204:C215)</f>
        <v>7880.3958913442566</v>
      </c>
      <c r="Q203" s="25">
        <f>Q202*(1+Table7[Monthly SF Inter])+Table9[[#This Row],[Inflation Modifier]]-R202*(1+Table7[Monthly SF Inter])</f>
        <v>16.521818937254917</v>
      </c>
      <c r="R203" s="25">
        <f>IF(MOD(Table9[[#This Row],[Month]],12)=0,Table9[[#This Row],[Q2 ACC FACTOR]],0)</f>
        <v>16.521818937254917</v>
      </c>
      <c r="S203" s="25">
        <f>S202*(1+D202)+Table9[[#This Row],[ACC FACTOR PAYMENTS]]</f>
        <v>352.77908503666231</v>
      </c>
    </row>
    <row r="204" spans="1:19" x14ac:dyDescent="0.25">
      <c r="A204" s="1">
        <v>192</v>
      </c>
      <c r="B204" s="1">
        <f t="shared" si="2"/>
        <v>6608.7275749019664</v>
      </c>
      <c r="C204" s="7">
        <f>G$12/-PV(Table7[Monthly mortgage rate], (12*Table7[Amortization period (yrs)]),1 )</f>
        <v>4377.9977174134756</v>
      </c>
      <c r="D204" s="11">
        <f>IF(Table1[[#This Row],[Month]]&lt;=(12*Table7[mortgage term (yrs)]),Table7[Monthly mortgage rate],Table7[Monthly Exp Renewal Rate])</f>
        <v>4.9038466830562122E-3</v>
      </c>
      <c r="E204" s="21">
        <f>Table1[[#This Row],[Current mortgage rate]]*G203</f>
        <v>1082.5201205813376</v>
      </c>
      <c r="F204" s="5">
        <f>Table1[[#This Row],[Payment amount]]-Table1[[#This Row],[Interest paid]]</f>
        <v>3295.4775968321383</v>
      </c>
      <c r="G204" s="20">
        <f>G203-Table1[[#This Row],[Principal repaid]]-Table1[[#This Row],[Annual paym]]</f>
        <v>210844.97206532446</v>
      </c>
      <c r="H204" s="20">
        <f>H203-(Table1[[#This Row],[Payment amount]]-Table1[[#This Row],[Interest Paid W/O LSP]])</f>
        <v>352157.04856601608</v>
      </c>
      <c r="I204">
        <f>H203*Table1[[#This Row],[Current mortgage rate]]</f>
        <v>1739.8611915769961</v>
      </c>
      <c r="J204" s="25">
        <f>IF(Table1[[#This Row],[Month]]&gt;Table7[Amortization period (yrs)]*12,0,IF(Table1[[#This Row],[Month]]&lt;Table7[mortgage term (yrs)]*12,0,IF(Table1[[#This Row],[Month]]=Table7[mortgage term (yrs)]*12,-H$5,Table1[[#This Row],[Payment amount]]+B204)))</f>
        <v>10986.725292315441</v>
      </c>
      <c r="K204">
        <v>193</v>
      </c>
      <c r="L204">
        <f>Table7[Initial Monthly Deposit]*Table9[[#This Row],[Inflation Modifier]]</f>
        <v>549.11428203624484</v>
      </c>
      <c r="M204">
        <f xml:space="preserve"> (1+Table7[Inflation])^(QUOTIENT(Table9[[#This Row],[Month]]-1,12))</f>
        <v>1.372785705090612</v>
      </c>
      <c r="N204">
        <f>N203*(1+Table7[Monthly SF Inter])+Table9[[#This Row],[Monthly Payment]]-O203*(1+Table7[Monthly SF Inter])</f>
        <v>549.11428203624473</v>
      </c>
      <c r="O204">
        <f>IF(MOD(Table9[[#This Row],[Month]],12)=0,(IF(Table9[[#This Row],[Current Balance]]&lt;Table9[[#This Row],[Max Lump Sum ]],Table9[[#This Row],[Current Balance]],Table9[[#This Row],[Max Lump Sum ]])),0)</f>
        <v>0</v>
      </c>
      <c r="P204" s="21">
        <f>Table7[Max annual lump sum repayment]*SUM(C205:C216)</f>
        <v>7880.3958913442566</v>
      </c>
      <c r="Q204" s="25">
        <f>Q203*(1+Table7[Monthly SF Inter])+Table9[[#This Row],[Inflation Modifier]]-R203*(1+Table7[Monthly SF Inter])</f>
        <v>1.3727857050906103</v>
      </c>
      <c r="R204" s="25">
        <f>IF(MOD(Table9[[#This Row],[Month]],12)=0,Table9[[#This Row],[Q2 ACC FACTOR]],0)</f>
        <v>0</v>
      </c>
      <c r="S204" s="25">
        <f>S203*(1+D203)+Table9[[#This Row],[ACC FACTOR PAYMENTS]]</f>
        <v>354.50905958267094</v>
      </c>
    </row>
    <row r="205" spans="1:19" x14ac:dyDescent="0.25">
      <c r="A205" s="1">
        <v>193</v>
      </c>
      <c r="B205" s="1">
        <f t="shared" ref="B205:B268" si="3">O204</f>
        <v>0</v>
      </c>
      <c r="C205" s="7">
        <f>G$12/-PV(Table7[Monthly mortgage rate], (12*Table7[Amortization period (yrs)]),1 )</f>
        <v>4377.9977174134756</v>
      </c>
      <c r="D205" s="11">
        <f>IF(Table1[[#This Row],[Month]]&lt;=(12*Table7[mortgage term (yrs)]),Table7[Monthly mortgage rate],Table7[Monthly Exp Renewal Rate])</f>
        <v>4.9038466830562122E-3</v>
      </c>
      <c r="E205" s="21">
        <f>Table1[[#This Row],[Current mortgage rate]]*G204</f>
        <v>1033.9514169016211</v>
      </c>
      <c r="F205" s="5">
        <f>Table1[[#This Row],[Payment amount]]-Table1[[#This Row],[Interest paid]]</f>
        <v>3344.0463005118545</v>
      </c>
      <c r="G205" s="20">
        <f>G204-Table1[[#This Row],[Principal repaid]]-Table1[[#This Row],[Annual paym]]</f>
        <v>207500.92576481259</v>
      </c>
      <c r="H205" s="20">
        <f>H204-(Table1[[#This Row],[Payment amount]]-Table1[[#This Row],[Interest Paid W/O LSP]])</f>
        <v>349505.97502312792</v>
      </c>
      <c r="I205">
        <f>H204*Table1[[#This Row],[Current mortgage rate]]</f>
        <v>1726.9241745253235</v>
      </c>
      <c r="J205" s="25">
        <f>IF(Table1[[#This Row],[Month]]&gt;Table7[Amortization period (yrs)]*12,0,IF(Table1[[#This Row],[Month]]&lt;Table7[mortgage term (yrs)]*12,0,IF(Table1[[#This Row],[Month]]=Table7[mortgage term (yrs)]*12,-H$5,Table1[[#This Row],[Payment amount]]+B205)))</f>
        <v>4377.9977174134756</v>
      </c>
      <c r="K205">
        <v>194</v>
      </c>
      <c r="L205">
        <f>Table7[Initial Monthly Deposit]*Table9[[#This Row],[Inflation Modifier]]</f>
        <v>549.11428203624484</v>
      </c>
      <c r="M205">
        <f xml:space="preserve"> (1+Table7[Inflation])^(QUOTIENT(Table9[[#This Row],[Month]]-1,12))</f>
        <v>1.372785705090612</v>
      </c>
      <c r="N205">
        <f>N204*(1+Table7[Monthly SF Inter])+Table9[[#This Row],[Monthly Payment]]-O204*(1+Table7[Monthly SF Inter])</f>
        <v>1100.4930649523103</v>
      </c>
      <c r="O205">
        <f>IF(MOD(Table9[[#This Row],[Month]],12)=0,(IF(Table9[[#This Row],[Current Balance]]&lt;Table9[[#This Row],[Max Lump Sum ]],Table9[[#This Row],[Current Balance]],Table9[[#This Row],[Max Lump Sum ]])),0)</f>
        <v>0</v>
      </c>
      <c r="P205" s="21">
        <f>Table7[Max annual lump sum repayment]*SUM(C206:C217)</f>
        <v>7880.3958913442566</v>
      </c>
      <c r="Q205" s="25">
        <f>Q204*(1+Table7[Monthly SF Inter])+Table9[[#This Row],[Inflation Modifier]]-R204*(1+Table7[Monthly SF Inter])</f>
        <v>2.7512326623807741</v>
      </c>
      <c r="R205" s="25">
        <f>IF(MOD(Table9[[#This Row],[Month]],12)=0,Table9[[#This Row],[Q2 ACC FACTOR]],0)</f>
        <v>0</v>
      </c>
      <c r="S205" s="25">
        <f>S204*(1+D204)+Table9[[#This Row],[ACC FACTOR PAYMENTS]]</f>
        <v>356.24751765861879</v>
      </c>
    </row>
    <row r="206" spans="1:19" x14ac:dyDescent="0.25">
      <c r="A206" s="1">
        <v>194</v>
      </c>
      <c r="B206" s="1">
        <f t="shared" si="3"/>
        <v>0</v>
      </c>
      <c r="C206" s="7">
        <f>G$12/-PV(Table7[Monthly mortgage rate], (12*Table7[Amortization period (yrs)]),1 )</f>
        <v>4377.9977174134756</v>
      </c>
      <c r="D206" s="11">
        <f>IF(Table1[[#This Row],[Month]]&lt;=(12*Table7[mortgage term (yrs)]),Table7[Monthly mortgage rate],Table7[Monthly Exp Renewal Rate])</f>
        <v>4.9038466830562122E-3</v>
      </c>
      <c r="E206" s="21">
        <f>Table1[[#This Row],[Current mortgage rate]]*G205</f>
        <v>1017.5527265428696</v>
      </c>
      <c r="F206" s="5">
        <f>Table1[[#This Row],[Payment amount]]-Table1[[#This Row],[Interest paid]]</f>
        <v>3360.444990870606</v>
      </c>
      <c r="G206" s="20">
        <f>G205-Table1[[#This Row],[Principal repaid]]-Table1[[#This Row],[Annual paym]]</f>
        <v>204140.48077394199</v>
      </c>
      <c r="H206" s="20">
        <f>H205-(Table1[[#This Row],[Payment amount]]-Table1[[#This Row],[Interest Paid W/O LSP]])</f>
        <v>346841.90102203994</v>
      </c>
      <c r="I206">
        <f>H205*Table1[[#This Row],[Current mortgage rate]]</f>
        <v>1713.9237163254932</v>
      </c>
      <c r="J206" s="25">
        <f>IF(Table1[[#This Row],[Month]]&gt;Table7[Amortization period (yrs)]*12,0,IF(Table1[[#This Row],[Month]]&lt;Table7[mortgage term (yrs)]*12,0,IF(Table1[[#This Row],[Month]]=Table7[mortgage term (yrs)]*12,-H$5,Table1[[#This Row],[Payment amount]]+B206)))</f>
        <v>4377.9977174134756</v>
      </c>
      <c r="K206">
        <v>195</v>
      </c>
      <c r="L206">
        <f>Table7[Initial Monthly Deposit]*Table9[[#This Row],[Inflation Modifier]]</f>
        <v>549.11428203624484</v>
      </c>
      <c r="M206">
        <f xml:space="preserve"> (1+Table7[Inflation])^(QUOTIENT(Table9[[#This Row],[Month]]-1,12))</f>
        <v>1.372785705090612</v>
      </c>
      <c r="N206">
        <f>N205*(1+Table7[Monthly SF Inter])+Table9[[#This Row],[Monthly Payment]]-O205*(1+Table7[Monthly SF Inter])</f>
        <v>1654.1456873583961</v>
      </c>
      <c r="O206">
        <f>IF(MOD(Table9[[#This Row],[Month]],12)=0,(IF(Table9[[#This Row],[Current Balance]]&lt;Table9[[#This Row],[Max Lump Sum ]],Table9[[#This Row],[Current Balance]],Table9[[#This Row],[Max Lump Sum ]])),0)</f>
        <v>0</v>
      </c>
      <c r="P206" s="21">
        <f>Table7[Max annual lump sum repayment]*SUM(C207:C218)</f>
        <v>7880.3958913442566</v>
      </c>
      <c r="Q206" s="25">
        <f>Q205*(1+Table7[Monthly SF Inter])+Table9[[#This Row],[Inflation Modifier]]-R205*(1+Table7[Monthly SF Inter])</f>
        <v>4.1353642183959884</v>
      </c>
      <c r="R206" s="25">
        <f>IF(MOD(Table9[[#This Row],[Month]],12)=0,Table9[[#This Row],[Q2 ACC FACTOR]],0)</f>
        <v>0</v>
      </c>
      <c r="S206" s="25">
        <f>S205*(1+D205)+Table9[[#This Row],[ACC FACTOR PAYMENTS]]</f>
        <v>357.994500866436</v>
      </c>
    </row>
    <row r="207" spans="1:19" x14ac:dyDescent="0.25">
      <c r="A207" s="1">
        <v>195</v>
      </c>
      <c r="B207" s="1">
        <f t="shared" si="3"/>
        <v>0</v>
      </c>
      <c r="C207" s="7">
        <f>G$12/-PV(Table7[Monthly mortgage rate], (12*Table7[Amortization period (yrs)]),1 )</f>
        <v>4377.9977174134756</v>
      </c>
      <c r="D207" s="11">
        <f>IF(Table1[[#This Row],[Month]]&lt;=(12*Table7[mortgage term (yrs)]),Table7[Monthly mortgage rate],Table7[Monthly Exp Renewal Rate])</f>
        <v>4.9038466830562122E-3</v>
      </c>
      <c r="E207" s="21">
        <f>Table1[[#This Row],[Current mortgage rate]]*G206</f>
        <v>1001.0736195207959</v>
      </c>
      <c r="F207" s="5">
        <f>Table1[[#This Row],[Payment amount]]-Table1[[#This Row],[Interest paid]]</f>
        <v>3376.9240978926796</v>
      </c>
      <c r="G207" s="20">
        <f>G206-Table1[[#This Row],[Principal repaid]]-Table1[[#This Row],[Annual paym]]</f>
        <v>200763.55667604931</v>
      </c>
      <c r="H207" s="20">
        <f>H206-(Table1[[#This Row],[Payment amount]]-Table1[[#This Row],[Interest Paid W/O LSP]])</f>
        <v>344164.7628104983</v>
      </c>
      <c r="I207">
        <f>H206*Table1[[#This Row],[Current mortgage rate]]</f>
        <v>1700.8595058718415</v>
      </c>
      <c r="J207" s="25">
        <f>IF(Table1[[#This Row],[Month]]&gt;Table7[Amortization period (yrs)]*12,0,IF(Table1[[#This Row],[Month]]&lt;Table7[mortgage term (yrs)]*12,0,IF(Table1[[#This Row],[Month]]=Table7[mortgage term (yrs)]*12,-H$5,Table1[[#This Row],[Payment amount]]+B207)))</f>
        <v>4377.9977174134756</v>
      </c>
      <c r="K207">
        <v>196</v>
      </c>
      <c r="L207">
        <f>Table7[Initial Monthly Deposit]*Table9[[#This Row],[Inflation Modifier]]</f>
        <v>549.11428203624484</v>
      </c>
      <c r="M207">
        <f xml:space="preserve"> (1+Table7[Inflation])^(QUOTIENT(Table9[[#This Row],[Month]]-1,12))</f>
        <v>1.372785705090612</v>
      </c>
      <c r="N207">
        <f>N206*(1+Table7[Monthly SF Inter])+Table9[[#This Row],[Monthly Payment]]-O206*(1+Table7[Monthly SF Inter])</f>
        <v>2210.0815263763398</v>
      </c>
      <c r="O207">
        <f>IF(MOD(Table9[[#This Row],[Month]],12)=0,(IF(Table9[[#This Row],[Current Balance]]&lt;Table9[[#This Row],[Max Lump Sum ]],Table9[[#This Row],[Current Balance]],Table9[[#This Row],[Max Lump Sum ]])),0)</f>
        <v>0</v>
      </c>
      <c r="P207" s="21">
        <f>Table7[Max annual lump sum repayment]*SUM(C208:C219)</f>
        <v>7880.3958913442566</v>
      </c>
      <c r="Q207" s="25">
        <f>Q206*(1+Table7[Monthly SF Inter])+Table9[[#This Row],[Inflation Modifier]]-R206*(1+Table7[Monthly SF Inter])</f>
        <v>5.5252038159408476</v>
      </c>
      <c r="R207" s="25">
        <f>IF(MOD(Table9[[#This Row],[Month]],12)=0,Table9[[#This Row],[Q2 ACC FACTOR]],0)</f>
        <v>0</v>
      </c>
      <c r="S207" s="25">
        <f>S206*(1+D206)+Table9[[#This Row],[ACC FACTOR PAYMENTS]]</f>
        <v>359.75005101206222</v>
      </c>
    </row>
    <row r="208" spans="1:19" x14ac:dyDescent="0.25">
      <c r="A208" s="1">
        <v>196</v>
      </c>
      <c r="B208" s="1">
        <f t="shared" si="3"/>
        <v>0</v>
      </c>
      <c r="C208" s="7">
        <f>G$12/-PV(Table7[Monthly mortgage rate], (12*Table7[Amortization period (yrs)]),1 )</f>
        <v>4377.9977174134756</v>
      </c>
      <c r="D208" s="11">
        <f>IF(Table1[[#This Row],[Month]]&lt;=(12*Table7[mortgage term (yrs)]),Table7[Monthly mortgage rate],Table7[Monthly Exp Renewal Rate])</f>
        <v>4.9038466830562122E-3</v>
      </c>
      <c r="E208" s="21">
        <f>Table1[[#This Row],[Current mortgage rate]]*G207</f>
        <v>984.51370148441231</v>
      </c>
      <c r="F208" s="5">
        <f>Table1[[#This Row],[Payment amount]]-Table1[[#This Row],[Interest paid]]</f>
        <v>3393.4840159290634</v>
      </c>
      <c r="G208" s="20">
        <f>G207-Table1[[#This Row],[Principal repaid]]-Table1[[#This Row],[Annual paym]]</f>
        <v>197370.07266012023</v>
      </c>
      <c r="H208" s="20">
        <f>H207-(Table1[[#This Row],[Payment amount]]-Table1[[#This Row],[Interest Paid W/O LSP]])</f>
        <v>341474.49632361793</v>
      </c>
      <c r="I208">
        <f>H207*Table1[[#This Row],[Current mortgage rate]]</f>
        <v>1687.7312305330902</v>
      </c>
      <c r="J208" s="25">
        <f>IF(Table1[[#This Row],[Month]]&gt;Table7[Amortization period (yrs)]*12,0,IF(Table1[[#This Row],[Month]]&lt;Table7[mortgage term (yrs)]*12,0,IF(Table1[[#This Row],[Month]]=Table7[mortgage term (yrs)]*12,-H$5,Table1[[#This Row],[Payment amount]]+B208)))</f>
        <v>4377.9977174134756</v>
      </c>
      <c r="K208">
        <v>197</v>
      </c>
      <c r="L208">
        <f>Table7[Initial Monthly Deposit]*Table9[[#This Row],[Inflation Modifier]]</f>
        <v>549.11428203624484</v>
      </c>
      <c r="M208">
        <f xml:space="preserve"> (1+Table7[Inflation])^(QUOTIENT(Table9[[#This Row],[Month]]-1,12))</f>
        <v>1.372785705090612</v>
      </c>
      <c r="N208">
        <f>N207*(1+Table7[Monthly SF Inter])+Table9[[#This Row],[Monthly Payment]]-O207*(1+Table7[Monthly SF Inter])</f>
        <v>2768.3099977984375</v>
      </c>
      <c r="O208">
        <f>IF(MOD(Table9[[#This Row],[Month]],12)=0,(IF(Table9[[#This Row],[Current Balance]]&lt;Table9[[#This Row],[Max Lump Sum ]],Table9[[#This Row],[Current Balance]],Table9[[#This Row],[Max Lump Sum ]])),0)</f>
        <v>0</v>
      </c>
      <c r="P208" s="21">
        <f>Table7[Max annual lump sum repayment]*SUM(C209:C220)</f>
        <v>7880.3958913442566</v>
      </c>
      <c r="Q208" s="25">
        <f>Q207*(1+Table7[Monthly SF Inter])+Table9[[#This Row],[Inflation Modifier]]-R207*(1+Table7[Monthly SF Inter])</f>
        <v>6.9207749944960923</v>
      </c>
      <c r="R208" s="25">
        <f>IF(MOD(Table9[[#This Row],[Month]],12)=0,Table9[[#This Row],[Q2 ACC FACTOR]],0)</f>
        <v>0</v>
      </c>
      <c r="S208" s="25">
        <f>S207*(1+D207)+Table9[[#This Row],[ACC FACTOR PAYMENTS]]</f>
        <v>361.51421010644702</v>
      </c>
    </row>
    <row r="209" spans="1:19" x14ac:dyDescent="0.25">
      <c r="A209" s="1">
        <v>197</v>
      </c>
      <c r="B209" s="1">
        <f t="shared" si="3"/>
        <v>0</v>
      </c>
      <c r="C209" s="7">
        <f>G$12/-PV(Table7[Monthly mortgage rate], (12*Table7[Amortization period (yrs)]),1 )</f>
        <v>4377.9977174134756</v>
      </c>
      <c r="D209" s="11">
        <f>IF(Table1[[#This Row],[Month]]&lt;=(12*Table7[mortgage term (yrs)]),Table7[Monthly mortgage rate],Table7[Monthly Exp Renewal Rate])</f>
        <v>4.9038466830562122E-3</v>
      </c>
      <c r="E209" s="21">
        <f>Table1[[#This Row],[Current mortgage rate]]*G208</f>
        <v>967.87257614889415</v>
      </c>
      <c r="F209" s="5">
        <f>Table1[[#This Row],[Payment amount]]-Table1[[#This Row],[Interest paid]]</f>
        <v>3410.1251412645815</v>
      </c>
      <c r="G209" s="20">
        <f>G208-Table1[[#This Row],[Principal repaid]]-Table1[[#This Row],[Annual paym]]</f>
        <v>193959.94751885565</v>
      </c>
      <c r="H209" s="20">
        <f>H208-(Table1[[#This Row],[Payment amount]]-Table1[[#This Row],[Interest Paid W/O LSP]])</f>
        <v>338771.0371823493</v>
      </c>
      <c r="I209">
        <f>H208*Table1[[#This Row],[Current mortgage rate]]</f>
        <v>1674.5385761448645</v>
      </c>
      <c r="J209" s="25">
        <f>IF(Table1[[#This Row],[Month]]&gt;Table7[Amortization period (yrs)]*12,0,IF(Table1[[#This Row],[Month]]&lt;Table7[mortgage term (yrs)]*12,0,IF(Table1[[#This Row],[Month]]=Table7[mortgage term (yrs)]*12,-H$5,Table1[[#This Row],[Payment amount]]+B209)))</f>
        <v>4377.9977174134756</v>
      </c>
      <c r="K209">
        <v>198</v>
      </c>
      <c r="L209">
        <f>Table7[Initial Monthly Deposit]*Table9[[#This Row],[Inflation Modifier]]</f>
        <v>549.11428203624484</v>
      </c>
      <c r="M209">
        <f xml:space="preserve"> (1+Table7[Inflation])^(QUOTIENT(Table9[[#This Row],[Month]]-1,12))</f>
        <v>1.372785705090612</v>
      </c>
      <c r="N209">
        <f>N208*(1+Table7[Monthly SF Inter])+Table9[[#This Row],[Monthly Payment]]-O208*(1+Table7[Monthly SF Inter])</f>
        <v>3328.8405562469165</v>
      </c>
      <c r="O209">
        <f>IF(MOD(Table9[[#This Row],[Month]],12)=0,(IF(Table9[[#This Row],[Current Balance]]&lt;Table9[[#This Row],[Max Lump Sum ]],Table9[[#This Row],[Current Balance]],Table9[[#This Row],[Max Lump Sum ]])),0)</f>
        <v>0</v>
      </c>
      <c r="P209" s="21">
        <f>Table7[Max annual lump sum repayment]*SUM(C210:C221)</f>
        <v>7880.3958913442566</v>
      </c>
      <c r="Q209" s="25">
        <f>Q208*(1+Table7[Monthly SF Inter])+Table9[[#This Row],[Inflation Modifier]]-R208*(1+Table7[Monthly SF Inter])</f>
        <v>8.3221013906172914</v>
      </c>
      <c r="R209" s="25">
        <f>IF(MOD(Table9[[#This Row],[Month]],12)=0,Table9[[#This Row],[Q2 ACC FACTOR]],0)</f>
        <v>0</v>
      </c>
      <c r="S209" s="25">
        <f>S208*(1+D208)+Table9[[#This Row],[ACC FACTOR PAYMENTS]]</f>
        <v>363.28702036655523</v>
      </c>
    </row>
    <row r="210" spans="1:19" x14ac:dyDescent="0.25">
      <c r="A210" s="1">
        <v>198</v>
      </c>
      <c r="B210" s="1">
        <f t="shared" si="3"/>
        <v>0</v>
      </c>
      <c r="C210" s="7">
        <f>G$12/-PV(Table7[Monthly mortgage rate], (12*Table7[Amortization period (yrs)]),1 )</f>
        <v>4377.9977174134756</v>
      </c>
      <c r="D210" s="11">
        <f>IF(Table1[[#This Row],[Month]]&lt;=(12*Table7[mortgage term (yrs)]),Table7[Monthly mortgage rate],Table7[Monthly Exp Renewal Rate])</f>
        <v>4.9038466830562122E-3</v>
      </c>
      <c r="E210" s="21">
        <f>Table1[[#This Row],[Current mortgage rate]]*G209</f>
        <v>951.14984528609727</v>
      </c>
      <c r="F210" s="5">
        <f>Table1[[#This Row],[Payment amount]]-Table1[[#This Row],[Interest paid]]</f>
        <v>3426.8478721273782</v>
      </c>
      <c r="G210" s="20">
        <f>G209-Table1[[#This Row],[Principal repaid]]-Table1[[#This Row],[Annual paym]]</f>
        <v>190533.09964672828</v>
      </c>
      <c r="H210" s="20">
        <f>H209-(Table1[[#This Row],[Payment amount]]-Table1[[#This Row],[Interest Paid W/O LSP]])</f>
        <v>336054.32069193799</v>
      </c>
      <c r="I210">
        <f>H209*Table1[[#This Row],[Current mortgage rate]]</f>
        <v>1661.2812270021764</v>
      </c>
      <c r="J210" s="25">
        <f>IF(Table1[[#This Row],[Month]]&gt;Table7[Amortization period (yrs)]*12,0,IF(Table1[[#This Row],[Month]]&lt;Table7[mortgage term (yrs)]*12,0,IF(Table1[[#This Row],[Month]]=Table7[mortgage term (yrs)]*12,-H$5,Table1[[#This Row],[Payment amount]]+B210)))</f>
        <v>4377.9977174134756</v>
      </c>
      <c r="K210">
        <v>199</v>
      </c>
      <c r="L210">
        <f>Table7[Initial Monthly Deposit]*Table9[[#This Row],[Inflation Modifier]]</f>
        <v>549.11428203624484</v>
      </c>
      <c r="M210">
        <f xml:space="preserve"> (1+Table7[Inflation])^(QUOTIENT(Table9[[#This Row],[Month]]-1,12))</f>
        <v>1.372785705090612</v>
      </c>
      <c r="N210">
        <f>N209*(1+Table7[Monthly SF Inter])+Table9[[#This Row],[Monthly Payment]]-O209*(1+Table7[Monthly SF Inter])</f>
        <v>3891.6826953340674</v>
      </c>
      <c r="O210">
        <f>IF(MOD(Table9[[#This Row],[Month]],12)=0,(IF(Table9[[#This Row],[Current Balance]]&lt;Table9[[#This Row],[Max Lump Sum ]],Table9[[#This Row],[Current Balance]],Table9[[#This Row],[Max Lump Sum ]])),0)</f>
        <v>0</v>
      </c>
      <c r="P210" s="21">
        <f>Table7[Max annual lump sum repayment]*SUM(C211:C222)</f>
        <v>7880.3958913442566</v>
      </c>
      <c r="Q210" s="25">
        <f>Q209*(1+Table7[Monthly SF Inter])+Table9[[#This Row],[Inflation Modifier]]-R209*(1+Table7[Monthly SF Inter])</f>
        <v>9.7292067383351686</v>
      </c>
      <c r="R210" s="25">
        <f>IF(MOD(Table9[[#This Row],[Month]],12)=0,Table9[[#This Row],[Q2 ACC FACTOR]],0)</f>
        <v>0</v>
      </c>
      <c r="S210" s="25">
        <f>S209*(1+D209)+Table9[[#This Row],[ACC FACTOR PAYMENTS]]</f>
        <v>365.06852421637711</v>
      </c>
    </row>
    <row r="211" spans="1:19" x14ac:dyDescent="0.25">
      <c r="A211" s="1">
        <v>199</v>
      </c>
      <c r="B211" s="1">
        <f t="shared" si="3"/>
        <v>0</v>
      </c>
      <c r="C211" s="7">
        <f>G$12/-PV(Table7[Monthly mortgage rate], (12*Table7[Amortization period (yrs)]),1 )</f>
        <v>4377.9977174134756</v>
      </c>
      <c r="D211" s="11">
        <f>IF(Table1[[#This Row],[Month]]&lt;=(12*Table7[mortgage term (yrs)]),Table7[Monthly mortgage rate],Table7[Monthly Exp Renewal Rate])</f>
        <v>4.9038466830562122E-3</v>
      </c>
      <c r="E211" s="21">
        <f>Table1[[#This Row],[Current mortgage rate]]*G210</f>
        <v>934.34510871502721</v>
      </c>
      <c r="F211" s="5">
        <f>Table1[[#This Row],[Payment amount]]-Table1[[#This Row],[Interest paid]]</f>
        <v>3443.6526086984486</v>
      </c>
      <c r="G211" s="20">
        <f>G210-Table1[[#This Row],[Principal repaid]]-Table1[[#This Row],[Annual paym]]</f>
        <v>187089.44703802984</v>
      </c>
      <c r="H211" s="20">
        <f>H210-(Table1[[#This Row],[Payment amount]]-Table1[[#This Row],[Interest Paid W/O LSP]])</f>
        <v>333324.28184037638</v>
      </c>
      <c r="I211">
        <f>H210*Table1[[#This Row],[Current mortgage rate]]</f>
        <v>1647.9588658518687</v>
      </c>
      <c r="J211" s="25">
        <f>IF(Table1[[#This Row],[Month]]&gt;Table7[Amortization period (yrs)]*12,0,IF(Table1[[#This Row],[Month]]&lt;Table7[mortgage term (yrs)]*12,0,IF(Table1[[#This Row],[Month]]=Table7[mortgage term (yrs)]*12,-H$5,Table1[[#This Row],[Payment amount]]+B211)))</f>
        <v>4377.9977174134756</v>
      </c>
      <c r="K211">
        <v>200</v>
      </c>
      <c r="L211">
        <f>Table7[Initial Monthly Deposit]*Table9[[#This Row],[Inflation Modifier]]</f>
        <v>549.11428203624484</v>
      </c>
      <c r="M211">
        <f xml:space="preserve"> (1+Table7[Inflation])^(QUOTIENT(Table9[[#This Row],[Month]]-1,12))</f>
        <v>1.372785705090612</v>
      </c>
      <c r="N211">
        <f>N210*(1+Table7[Monthly SF Inter])+Table9[[#This Row],[Monthly Payment]]-O210*(1+Table7[Monthly SF Inter])</f>
        <v>4456.8459478230343</v>
      </c>
      <c r="O211">
        <f>IF(MOD(Table9[[#This Row],[Month]],12)=0,(IF(Table9[[#This Row],[Current Balance]]&lt;Table9[[#This Row],[Max Lump Sum ]],Table9[[#This Row],[Current Balance]],Table9[[#This Row],[Max Lump Sum ]])),0)</f>
        <v>0</v>
      </c>
      <c r="P211" s="21">
        <f>Table7[Max annual lump sum repayment]*SUM(C212:C223)</f>
        <v>7880.3958913442566</v>
      </c>
      <c r="Q211" s="25">
        <f>Q210*(1+Table7[Monthly SF Inter])+Table9[[#This Row],[Inflation Modifier]]-R210*(1+Table7[Monthly SF Inter])</f>
        <v>11.142114869557586</v>
      </c>
      <c r="R211" s="25">
        <f>IF(MOD(Table9[[#This Row],[Month]],12)=0,Table9[[#This Row],[Q2 ACC FACTOR]],0)</f>
        <v>0</v>
      </c>
      <c r="S211" s="25">
        <f>S210*(1+D210)+Table9[[#This Row],[ACC FACTOR PAYMENTS]]</f>
        <v>366.85876428794381</v>
      </c>
    </row>
    <row r="212" spans="1:19" x14ac:dyDescent="0.25">
      <c r="A212" s="1">
        <v>200</v>
      </c>
      <c r="B212" s="1">
        <f t="shared" si="3"/>
        <v>0</v>
      </c>
      <c r="C212" s="7">
        <f>G$12/-PV(Table7[Monthly mortgage rate], (12*Table7[Amortization period (yrs)]),1 )</f>
        <v>4377.9977174134756</v>
      </c>
      <c r="D212" s="11">
        <f>IF(Table1[[#This Row],[Month]]&lt;=(12*Table7[mortgage term (yrs)]),Table7[Monthly mortgage rate],Table7[Monthly Exp Renewal Rate])</f>
        <v>4.9038466830562122E-3</v>
      </c>
      <c r="E212" s="21">
        <f>Table1[[#This Row],[Current mortgage rate]]*G211</f>
        <v>917.45796429226357</v>
      </c>
      <c r="F212" s="5">
        <f>Table1[[#This Row],[Payment amount]]-Table1[[#This Row],[Interest paid]]</f>
        <v>3460.539753121212</v>
      </c>
      <c r="G212" s="20">
        <f>G211-Table1[[#This Row],[Principal repaid]]-Table1[[#This Row],[Annual paym]]</f>
        <v>183628.90728490864</v>
      </c>
      <c r="H212" s="20">
        <f>H211-(Table1[[#This Row],[Payment amount]]-Table1[[#This Row],[Interest Paid W/O LSP]])</f>
        <v>330580.85529684793</v>
      </c>
      <c r="I212">
        <f>H211*Table1[[#This Row],[Current mortgage rate]]</f>
        <v>1634.5711738850237</v>
      </c>
      <c r="J212" s="25">
        <f>IF(Table1[[#This Row],[Month]]&gt;Table7[Amortization period (yrs)]*12,0,IF(Table1[[#This Row],[Month]]&lt;Table7[mortgage term (yrs)]*12,0,IF(Table1[[#This Row],[Month]]=Table7[mortgage term (yrs)]*12,-H$5,Table1[[#This Row],[Payment amount]]+B212)))</f>
        <v>4377.9977174134756</v>
      </c>
      <c r="K212">
        <v>201</v>
      </c>
      <c r="L212">
        <f>Table7[Initial Monthly Deposit]*Table9[[#This Row],[Inflation Modifier]]</f>
        <v>549.11428203624484</v>
      </c>
      <c r="M212">
        <f xml:space="preserve"> (1+Table7[Inflation])^(QUOTIENT(Table9[[#This Row],[Month]]-1,12))</f>
        <v>1.372785705090612</v>
      </c>
      <c r="N212">
        <f>N211*(1+Table7[Monthly SF Inter])+Table9[[#This Row],[Monthly Payment]]-O211*(1+Table7[Monthly SF Inter])</f>
        <v>5024.3398857892716</v>
      </c>
      <c r="O212">
        <f>IF(MOD(Table9[[#This Row],[Month]],12)=0,(IF(Table9[[#This Row],[Current Balance]]&lt;Table9[[#This Row],[Max Lump Sum ]],Table9[[#This Row],[Current Balance]],Table9[[#This Row],[Max Lump Sum ]])),0)</f>
        <v>0</v>
      </c>
      <c r="P212" s="21">
        <f>Table7[Max annual lump sum repayment]*SUM(C213:C224)</f>
        <v>7880.3958913442566</v>
      </c>
      <c r="Q212" s="25">
        <f>Q211*(1+Table7[Monthly SF Inter])+Table9[[#This Row],[Inflation Modifier]]-R211*(1+Table7[Monthly SF Inter])</f>
        <v>12.56084971447318</v>
      </c>
      <c r="R212" s="25">
        <f>IF(MOD(Table9[[#This Row],[Month]],12)=0,Table9[[#This Row],[Q2 ACC FACTOR]],0)</f>
        <v>0</v>
      </c>
      <c r="S212" s="25">
        <f>S211*(1+D211)+Table9[[#This Row],[ACC FACTOR PAYMENTS]]</f>
        <v>368.65778342234734</v>
      </c>
    </row>
    <row r="213" spans="1:19" x14ac:dyDescent="0.25">
      <c r="A213" s="1">
        <v>201</v>
      </c>
      <c r="B213" s="1">
        <f t="shared" si="3"/>
        <v>0</v>
      </c>
      <c r="C213" s="7">
        <f>G$12/-PV(Table7[Monthly mortgage rate], (12*Table7[Amortization period (yrs)]),1 )</f>
        <v>4377.9977174134756</v>
      </c>
      <c r="D213" s="11">
        <f>IF(Table1[[#This Row],[Month]]&lt;=(12*Table7[mortgage term (yrs)]),Table7[Monthly mortgage rate],Table7[Monthly Exp Renewal Rate])</f>
        <v>4.9038466830562122E-3</v>
      </c>
      <c r="E213" s="21">
        <f>Table1[[#This Row],[Current mortgage rate]]*G212</f>
        <v>900.48800790233599</v>
      </c>
      <c r="F213" s="5">
        <f>Table1[[#This Row],[Payment amount]]-Table1[[#This Row],[Interest paid]]</f>
        <v>3477.5097095111396</v>
      </c>
      <c r="G213" s="20">
        <f>G212-Table1[[#This Row],[Principal repaid]]-Table1[[#This Row],[Annual paym]]</f>
        <v>180151.39757539751</v>
      </c>
      <c r="H213" s="20">
        <f>H212-(Table1[[#This Row],[Payment amount]]-Table1[[#This Row],[Interest Paid W/O LSP]])</f>
        <v>327823.97541016381</v>
      </c>
      <c r="I213">
        <f>H212*Table1[[#This Row],[Current mortgage rate]]</f>
        <v>1621.1178307293335</v>
      </c>
      <c r="J213" s="25">
        <f>IF(Table1[[#This Row],[Month]]&gt;Table7[Amortization period (yrs)]*12,0,IF(Table1[[#This Row],[Month]]&lt;Table7[mortgage term (yrs)]*12,0,IF(Table1[[#This Row],[Month]]=Table7[mortgage term (yrs)]*12,-H$5,Table1[[#This Row],[Payment amount]]+B213)))</f>
        <v>4377.9977174134756</v>
      </c>
      <c r="K213">
        <v>202</v>
      </c>
      <c r="L213">
        <f>Table7[Initial Monthly Deposit]*Table9[[#This Row],[Inflation Modifier]]</f>
        <v>549.11428203624484</v>
      </c>
      <c r="M213">
        <f xml:space="preserve"> (1+Table7[Inflation])^(QUOTIENT(Table9[[#This Row],[Month]]-1,12))</f>
        <v>1.372785705090612</v>
      </c>
      <c r="N213">
        <f>N212*(1+Table7[Monthly SF Inter])+Table9[[#This Row],[Monthly Payment]]-O212*(1+Table7[Monthly SF Inter])</f>
        <v>5594.1741207826635</v>
      </c>
      <c r="O213">
        <f>IF(MOD(Table9[[#This Row],[Month]],12)=0,(IF(Table9[[#This Row],[Current Balance]]&lt;Table9[[#This Row],[Max Lump Sum ]],Table9[[#This Row],[Current Balance]],Table9[[#This Row],[Max Lump Sum ]])),0)</f>
        <v>0</v>
      </c>
      <c r="P213" s="21">
        <f>Table7[Max annual lump sum repayment]*SUM(C214:C225)</f>
        <v>7880.3958913442566</v>
      </c>
      <c r="Q213" s="25">
        <f>Q212*(1+Table7[Monthly SF Inter])+Table9[[#This Row],[Inflation Modifier]]-R212*(1+Table7[Monthly SF Inter])</f>
        <v>13.985435301956661</v>
      </c>
      <c r="R213" s="25">
        <f>IF(MOD(Table9[[#This Row],[Month]],12)=0,Table9[[#This Row],[Q2 ACC FACTOR]],0)</f>
        <v>0</v>
      </c>
      <c r="S213" s="25">
        <f>S212*(1+D212)+Table9[[#This Row],[ACC FACTOR PAYMENTS]]</f>
        <v>370.46562467076586</v>
      </c>
    </row>
    <row r="214" spans="1:19" x14ac:dyDescent="0.25">
      <c r="A214" s="1">
        <v>202</v>
      </c>
      <c r="B214" s="1">
        <f t="shared" si="3"/>
        <v>0</v>
      </c>
      <c r="C214" s="7">
        <f>G$12/-PV(Table7[Monthly mortgage rate], (12*Table7[Amortization period (yrs)]),1 )</f>
        <v>4377.9977174134756</v>
      </c>
      <c r="D214" s="11">
        <f>IF(Table1[[#This Row],[Month]]&lt;=(12*Table7[mortgage term (yrs)]),Table7[Monthly mortgage rate],Table7[Monthly Exp Renewal Rate])</f>
        <v>4.9038466830562122E-3</v>
      </c>
      <c r="E214" s="21">
        <f>Table1[[#This Row],[Current mortgage rate]]*G213</f>
        <v>883.43483344805406</v>
      </c>
      <c r="F214" s="5">
        <f>Table1[[#This Row],[Payment amount]]-Table1[[#This Row],[Interest paid]]</f>
        <v>3494.5628839654214</v>
      </c>
      <c r="G214" s="20">
        <f>G213-Table1[[#This Row],[Principal repaid]]-Table1[[#This Row],[Annual paym]]</f>
        <v>176656.8346914321</v>
      </c>
      <c r="H214" s="20">
        <f>H213-(Table1[[#This Row],[Payment amount]]-Table1[[#This Row],[Interest Paid W/O LSP]])</f>
        <v>325053.57620719174</v>
      </c>
      <c r="I214">
        <f>H213*Table1[[#This Row],[Current mortgage rate]]</f>
        <v>1607.5985144414331</v>
      </c>
      <c r="J214" s="25">
        <f>IF(Table1[[#This Row],[Month]]&gt;Table7[Amortization period (yrs)]*12,0,IF(Table1[[#This Row],[Month]]&lt;Table7[mortgage term (yrs)]*12,0,IF(Table1[[#This Row],[Month]]=Table7[mortgage term (yrs)]*12,-H$5,Table1[[#This Row],[Payment amount]]+B214)))</f>
        <v>4377.9977174134756</v>
      </c>
      <c r="K214">
        <v>203</v>
      </c>
      <c r="L214">
        <f>Table7[Initial Monthly Deposit]*Table9[[#This Row],[Inflation Modifier]]</f>
        <v>549.11428203624484</v>
      </c>
      <c r="M214">
        <f xml:space="preserve"> (1+Table7[Inflation])^(QUOTIENT(Table9[[#This Row],[Month]]-1,12))</f>
        <v>1.372785705090612</v>
      </c>
      <c r="N214">
        <f>N213*(1+Table7[Monthly SF Inter])+Table9[[#This Row],[Monthly Payment]]-O213*(1+Table7[Monthly SF Inter])</f>
        <v>6166.3583039903133</v>
      </c>
      <c r="O214">
        <f>IF(MOD(Table9[[#This Row],[Month]],12)=0,(IF(Table9[[#This Row],[Current Balance]]&lt;Table9[[#This Row],[Max Lump Sum ]],Table9[[#This Row],[Current Balance]],Table9[[#This Row],[Max Lump Sum ]])),0)</f>
        <v>0</v>
      </c>
      <c r="P214" s="21">
        <f>Table7[Max annual lump sum repayment]*SUM(C215:C226)</f>
        <v>7880.3958913442566</v>
      </c>
      <c r="Q214" s="25">
        <f>Q213*(1+Table7[Monthly SF Inter])+Table9[[#This Row],[Inflation Modifier]]-R213*(1+Table7[Monthly SF Inter])</f>
        <v>15.415895759975786</v>
      </c>
      <c r="R214" s="25">
        <f>IF(MOD(Table9[[#This Row],[Month]],12)=0,Table9[[#This Row],[Q2 ACC FACTOR]],0)</f>
        <v>0</v>
      </c>
      <c r="S214" s="25">
        <f>S213*(1+D213)+Table9[[#This Row],[ACC FACTOR PAYMENTS]]</f>
        <v>372.28233129549392</v>
      </c>
    </row>
    <row r="215" spans="1:19" x14ac:dyDescent="0.25">
      <c r="A215" s="1">
        <v>203</v>
      </c>
      <c r="B215" s="1">
        <f t="shared" si="3"/>
        <v>0</v>
      </c>
      <c r="C215" s="7">
        <f>G$12/-PV(Table7[Monthly mortgage rate], (12*Table7[Amortization period (yrs)]),1 )</f>
        <v>4377.9977174134756</v>
      </c>
      <c r="D215" s="11">
        <f>IF(Table1[[#This Row],[Month]]&lt;=(12*Table7[mortgage term (yrs)]),Table7[Monthly mortgage rate],Table7[Monthly Exp Renewal Rate])</f>
        <v>4.9038466830562122E-3</v>
      </c>
      <c r="E215" s="21">
        <f>Table1[[#This Row],[Current mortgage rate]]*G214</f>
        <v>866.29803284078889</v>
      </c>
      <c r="F215" s="5">
        <f>Table1[[#This Row],[Payment amount]]-Table1[[#This Row],[Interest paid]]</f>
        <v>3511.6996845726867</v>
      </c>
      <c r="G215" s="20">
        <f>G214-Table1[[#This Row],[Principal repaid]]-Table1[[#This Row],[Annual paym]]</f>
        <v>173145.1350068594</v>
      </c>
      <c r="H215" s="20">
        <f>H214-(Table1[[#This Row],[Payment amount]]-Table1[[#This Row],[Interest Paid W/O LSP]])</f>
        <v>322269.59139127744</v>
      </c>
      <c r="I215">
        <f>H214*Table1[[#This Row],[Current mortgage rate]]</f>
        <v>1594.0129014991969</v>
      </c>
      <c r="J215" s="25">
        <f>IF(Table1[[#This Row],[Month]]&gt;Table7[Amortization period (yrs)]*12,0,IF(Table1[[#This Row],[Month]]&lt;Table7[mortgage term (yrs)]*12,0,IF(Table1[[#This Row],[Month]]=Table7[mortgage term (yrs)]*12,-H$5,Table1[[#This Row],[Payment amount]]+B215)))</f>
        <v>4377.9977174134756</v>
      </c>
      <c r="K215">
        <v>204</v>
      </c>
      <c r="L215">
        <f>Table7[Initial Monthly Deposit]*Table9[[#This Row],[Inflation Modifier]]</f>
        <v>549.11428203624484</v>
      </c>
      <c r="M215">
        <f xml:space="preserve"> (1+Table7[Inflation])^(QUOTIENT(Table9[[#This Row],[Month]]-1,12))</f>
        <v>1.372785705090612</v>
      </c>
      <c r="N215">
        <f>N214*(1+Table7[Monthly SF Inter])+Table9[[#This Row],[Monthly Payment]]-O214*(1+Table7[Monthly SF Inter])</f>
        <v>6740.9021264000039</v>
      </c>
      <c r="O215">
        <f>IF(MOD(Table9[[#This Row],[Month]],12)=0,(IF(Table9[[#This Row],[Current Balance]]&lt;Table9[[#This Row],[Max Lump Sum ]],Table9[[#This Row],[Current Balance]],Table9[[#This Row],[Max Lump Sum ]])),0)</f>
        <v>6740.9021264000039</v>
      </c>
      <c r="P215" s="21">
        <f>Table7[Max annual lump sum repayment]*SUM(C216:C227)</f>
        <v>7880.3958913442566</v>
      </c>
      <c r="Q215" s="25">
        <f>Q214*(1+Table7[Monthly SF Inter])+Table9[[#This Row],[Inflation Modifier]]-R214*(1+Table7[Monthly SF Inter])</f>
        <v>16.852255316000011</v>
      </c>
      <c r="R215" s="25">
        <f>IF(MOD(Table9[[#This Row],[Month]],12)=0,Table9[[#This Row],[Q2 ACC FACTOR]],0)</f>
        <v>16.852255316000011</v>
      </c>
      <c r="S215" s="25">
        <f>S214*(1+D214)+Table9[[#This Row],[ACC FACTOR PAYMENTS]]</f>
        <v>390.9602020869778</v>
      </c>
    </row>
    <row r="216" spans="1:19" x14ac:dyDescent="0.25">
      <c r="A216" s="1">
        <v>204</v>
      </c>
      <c r="B216" s="1">
        <f t="shared" si="3"/>
        <v>6740.9021264000039</v>
      </c>
      <c r="C216" s="7">
        <f>G$12/-PV(Table7[Monthly mortgage rate], (12*Table7[Amortization period (yrs)]),1 )</f>
        <v>4377.9977174134756</v>
      </c>
      <c r="D216" s="11">
        <f>IF(Table1[[#This Row],[Month]]&lt;=(12*Table7[mortgage term (yrs)]),Table7[Monthly mortgage rate],Table7[Monthly Exp Renewal Rate])</f>
        <v>4.9038466830562122E-3</v>
      </c>
      <c r="E216" s="21">
        <f>Table1[[#This Row],[Current mortgage rate]]*G215</f>
        <v>849.07719599070754</v>
      </c>
      <c r="F216" s="5">
        <f>Table1[[#This Row],[Payment amount]]-Table1[[#This Row],[Interest paid]]</f>
        <v>3528.9205214227682</v>
      </c>
      <c r="G216" s="20">
        <f>G215-Table1[[#This Row],[Principal repaid]]-Table1[[#This Row],[Annual paym]]</f>
        <v>162875.31235903664</v>
      </c>
      <c r="H216" s="20">
        <f>H215-(Table1[[#This Row],[Payment amount]]-Table1[[#This Row],[Interest Paid W/O LSP]])</f>
        <v>319471.95434065798</v>
      </c>
      <c r="I216">
        <f>H215*Table1[[#This Row],[Current mortgage rate]]</f>
        <v>1580.3606667939966</v>
      </c>
      <c r="J216" s="25">
        <f>IF(Table1[[#This Row],[Month]]&gt;Table7[Amortization period (yrs)]*12,0,IF(Table1[[#This Row],[Month]]&lt;Table7[mortgage term (yrs)]*12,0,IF(Table1[[#This Row],[Month]]=Table7[mortgage term (yrs)]*12,-H$5,Table1[[#This Row],[Payment amount]]+B216)))</f>
        <v>11118.89984381348</v>
      </c>
      <c r="K216">
        <v>205</v>
      </c>
      <c r="L216">
        <f>Table7[Initial Monthly Deposit]*Table9[[#This Row],[Inflation Modifier]]</f>
        <v>560.09656767696981</v>
      </c>
      <c r="M216">
        <f xml:space="preserve"> (1+Table7[Inflation])^(QUOTIENT(Table9[[#This Row],[Month]]-1,12))</f>
        <v>1.4002414191924244</v>
      </c>
      <c r="N216">
        <f>N215*(1+Table7[Monthly SF Inter])+Table9[[#This Row],[Monthly Payment]]-O215*(1+Table7[Monthly SF Inter])</f>
        <v>560.09656767697015</v>
      </c>
      <c r="O216">
        <f>IF(MOD(Table9[[#This Row],[Month]],12)=0,(IF(Table9[[#This Row],[Current Balance]]&lt;Table9[[#This Row],[Max Lump Sum ]],Table9[[#This Row],[Current Balance]],Table9[[#This Row],[Max Lump Sum ]])),0)</f>
        <v>0</v>
      </c>
      <c r="P216" s="21">
        <f>Table7[Max annual lump sum repayment]*SUM(C217:C228)</f>
        <v>7880.3958913442566</v>
      </c>
      <c r="Q216" s="25">
        <f>Q215*(1+Table7[Monthly SF Inter])+Table9[[#This Row],[Inflation Modifier]]-R215*(1+Table7[Monthly SF Inter])</f>
        <v>1.400241419192426</v>
      </c>
      <c r="R216" s="25">
        <f>IF(MOD(Table9[[#This Row],[Month]],12)=0,Table9[[#This Row],[Q2 ACC FACTOR]],0)</f>
        <v>0</v>
      </c>
      <c r="S216" s="25">
        <f>S215*(1+D215)+Table9[[#This Row],[ACC FACTOR PAYMENTS]]</f>
        <v>392.87741097718902</v>
      </c>
    </row>
    <row r="217" spans="1:19" x14ac:dyDescent="0.25">
      <c r="A217" s="1">
        <v>205</v>
      </c>
      <c r="B217" s="1">
        <f t="shared" si="3"/>
        <v>0</v>
      </c>
      <c r="C217" s="7">
        <f>G$12/-PV(Table7[Monthly mortgage rate], (12*Table7[Amortization period (yrs)]),1 )</f>
        <v>4377.9977174134756</v>
      </c>
      <c r="D217" s="11">
        <f>IF(Table1[[#This Row],[Month]]&lt;=(12*Table7[mortgage term (yrs)]),Table7[Monthly mortgage rate],Table7[Monthly Exp Renewal Rate])</f>
        <v>4.9038466830562122E-3</v>
      </c>
      <c r="E217" s="21">
        <f>Table1[[#This Row],[Current mortgage rate]]*G216</f>
        <v>798.71556026360633</v>
      </c>
      <c r="F217" s="5">
        <f>Table1[[#This Row],[Payment amount]]-Table1[[#This Row],[Interest paid]]</f>
        <v>3579.2821571498694</v>
      </c>
      <c r="G217" s="20">
        <f>G216-Table1[[#This Row],[Principal repaid]]-Table1[[#This Row],[Annual paym]]</f>
        <v>159296.03020188678</v>
      </c>
      <c r="H217" s="20">
        <f>H216-(Table1[[#This Row],[Payment amount]]-Table1[[#This Row],[Interest Paid W/O LSP]])</f>
        <v>316660.5981068674</v>
      </c>
      <c r="I217">
        <f>H216*Table1[[#This Row],[Current mortgage rate]]</f>
        <v>1566.6414836229212</v>
      </c>
      <c r="J217" s="25">
        <f>IF(Table1[[#This Row],[Month]]&gt;Table7[Amortization period (yrs)]*12,0,IF(Table1[[#This Row],[Month]]&lt;Table7[mortgage term (yrs)]*12,0,IF(Table1[[#This Row],[Month]]=Table7[mortgage term (yrs)]*12,-H$5,Table1[[#This Row],[Payment amount]]+B217)))</f>
        <v>4377.9977174134756</v>
      </c>
      <c r="K217">
        <v>206</v>
      </c>
      <c r="L217">
        <f>Table7[Initial Monthly Deposit]*Table9[[#This Row],[Inflation Modifier]]</f>
        <v>560.09656767696981</v>
      </c>
      <c r="M217">
        <f xml:space="preserve"> (1+Table7[Inflation])^(QUOTIENT(Table9[[#This Row],[Month]]-1,12))</f>
        <v>1.4002414191924244</v>
      </c>
      <c r="N217">
        <f>N216*(1+Table7[Monthly SF Inter])+Table9[[#This Row],[Monthly Payment]]-O216*(1+Table7[Monthly SF Inter])</f>
        <v>1122.5029262513572</v>
      </c>
      <c r="O217">
        <f>IF(MOD(Table9[[#This Row],[Month]],12)=0,(IF(Table9[[#This Row],[Current Balance]]&lt;Table9[[#This Row],[Max Lump Sum ]],Table9[[#This Row],[Current Balance]],Table9[[#This Row],[Max Lump Sum ]])),0)</f>
        <v>0</v>
      </c>
      <c r="P217" s="21">
        <f>Table7[Max annual lump sum repayment]*SUM(C218:C229)</f>
        <v>7880.3958913442566</v>
      </c>
      <c r="Q217" s="25">
        <f>Q216*(1+Table7[Monthly SF Inter])+Table9[[#This Row],[Inflation Modifier]]-R216*(1+Table7[Monthly SF Inter])</f>
        <v>2.8062573156283932</v>
      </c>
      <c r="R217" s="25">
        <f>IF(MOD(Table9[[#This Row],[Month]],12)=0,Table9[[#This Row],[Q2 ACC FACTOR]],0)</f>
        <v>0</v>
      </c>
      <c r="S217" s="25">
        <f>S216*(1+D216)+Table9[[#This Row],[ACC FACTOR PAYMENTS]]</f>
        <v>394.80402156585723</v>
      </c>
    </row>
    <row r="218" spans="1:19" x14ac:dyDescent="0.25">
      <c r="A218" s="1">
        <v>206</v>
      </c>
      <c r="B218" s="1">
        <f t="shared" si="3"/>
        <v>0</v>
      </c>
      <c r="C218" s="7">
        <f>G$12/-PV(Table7[Monthly mortgage rate], (12*Table7[Amortization period (yrs)]),1 )</f>
        <v>4377.9977174134756</v>
      </c>
      <c r="D218" s="11">
        <f>IF(Table1[[#This Row],[Month]]&lt;=(12*Table7[mortgage term (yrs)]),Table7[Monthly mortgage rate],Table7[Monthly Exp Renewal Rate])</f>
        <v>4.9038466830562122E-3</v>
      </c>
      <c r="E218" s="21">
        <f>Table1[[#This Row],[Current mortgage rate]]*G217</f>
        <v>781.16330932954463</v>
      </c>
      <c r="F218" s="5">
        <f>Table1[[#This Row],[Payment amount]]-Table1[[#This Row],[Interest paid]]</f>
        <v>3596.8344080839311</v>
      </c>
      <c r="G218" s="20">
        <f>G217-Table1[[#This Row],[Principal repaid]]-Table1[[#This Row],[Annual paym]]</f>
        <v>155699.19579380285</v>
      </c>
      <c r="H218" s="20">
        <f>H217-(Table1[[#This Row],[Payment amount]]-Table1[[#This Row],[Interest Paid W/O LSP]])</f>
        <v>313835.45541313489</v>
      </c>
      <c r="I218">
        <f>H217*Table1[[#This Row],[Current mortgage rate]]</f>
        <v>1552.8550236809579</v>
      </c>
      <c r="J218" s="25">
        <f>IF(Table1[[#This Row],[Month]]&gt;Table7[Amortization period (yrs)]*12,0,IF(Table1[[#This Row],[Month]]&lt;Table7[mortgage term (yrs)]*12,0,IF(Table1[[#This Row],[Month]]=Table7[mortgage term (yrs)]*12,-H$5,Table1[[#This Row],[Payment amount]]+B218)))</f>
        <v>4377.9977174134756</v>
      </c>
      <c r="K218">
        <v>207</v>
      </c>
      <c r="L218">
        <f>Table7[Initial Monthly Deposit]*Table9[[#This Row],[Inflation Modifier]]</f>
        <v>560.09656767696981</v>
      </c>
      <c r="M218">
        <f xml:space="preserve"> (1+Table7[Inflation])^(QUOTIENT(Table9[[#This Row],[Month]]-1,12))</f>
        <v>1.4002414191924244</v>
      </c>
      <c r="N218">
        <f>N217*(1+Table7[Monthly SF Inter])+Table9[[#This Row],[Monthly Payment]]-O217*(1+Table7[Monthly SF Inter])</f>
        <v>1687.2286011055644</v>
      </c>
      <c r="O218">
        <f>IF(MOD(Table9[[#This Row],[Month]],12)=0,(IF(Table9[[#This Row],[Current Balance]]&lt;Table9[[#This Row],[Max Lump Sum ]],Table9[[#This Row],[Current Balance]],Table9[[#This Row],[Max Lump Sum ]])),0)</f>
        <v>0</v>
      </c>
      <c r="P218" s="21">
        <f>Table7[Max annual lump sum repayment]*SUM(C219:C230)</f>
        <v>7880.3958913442566</v>
      </c>
      <c r="Q218" s="25">
        <f>Q217*(1+Table7[Monthly SF Inter])+Table9[[#This Row],[Inflation Modifier]]-R217*(1+Table7[Monthly SF Inter])</f>
        <v>4.2180715027639115</v>
      </c>
      <c r="R218" s="25">
        <f>IF(MOD(Table9[[#This Row],[Month]],12)=0,Table9[[#This Row],[Q2 ACC FACTOR]],0)</f>
        <v>0</v>
      </c>
      <c r="S218" s="25">
        <f>S217*(1+D217)+Table9[[#This Row],[ACC FACTOR PAYMENTS]]</f>
        <v>396.74007995747019</v>
      </c>
    </row>
    <row r="219" spans="1:19" x14ac:dyDescent="0.25">
      <c r="A219" s="1">
        <v>207</v>
      </c>
      <c r="B219" s="1">
        <f t="shared" si="3"/>
        <v>0</v>
      </c>
      <c r="C219" s="7">
        <f>G$12/-PV(Table7[Monthly mortgage rate], (12*Table7[Amortization period (yrs)]),1 )</f>
        <v>4377.9977174134756</v>
      </c>
      <c r="D219" s="11">
        <f>IF(Table1[[#This Row],[Month]]&lt;=(12*Table7[mortgage term (yrs)]),Table7[Monthly mortgage rate],Table7[Monthly Exp Renewal Rate])</f>
        <v>4.9038466830562122E-3</v>
      </c>
      <c r="E219" s="21">
        <f>Table1[[#This Row],[Current mortgage rate]]*G218</f>
        <v>763.5249848479599</v>
      </c>
      <c r="F219" s="5">
        <f>Table1[[#This Row],[Payment amount]]-Table1[[#This Row],[Interest paid]]</f>
        <v>3614.4727325655158</v>
      </c>
      <c r="G219" s="20">
        <f>G218-Table1[[#This Row],[Principal repaid]]-Table1[[#This Row],[Annual paym]]</f>
        <v>152084.72306123734</v>
      </c>
      <c r="H219" s="20">
        <f>H218-(Table1[[#This Row],[Payment amount]]-Table1[[#This Row],[Interest Paid W/O LSP]])</f>
        <v>310996.45865277457</v>
      </c>
      <c r="I219">
        <f>H218*Table1[[#This Row],[Current mortgage rate]]</f>
        <v>1539.0009570531372</v>
      </c>
      <c r="J219" s="25">
        <f>IF(Table1[[#This Row],[Month]]&gt;Table7[Amortization period (yrs)]*12,0,IF(Table1[[#This Row],[Month]]&lt;Table7[mortgage term (yrs)]*12,0,IF(Table1[[#This Row],[Month]]=Table7[mortgage term (yrs)]*12,-H$5,Table1[[#This Row],[Payment amount]]+B219)))</f>
        <v>4377.9977174134756</v>
      </c>
      <c r="K219">
        <v>208</v>
      </c>
      <c r="L219">
        <f>Table7[Initial Monthly Deposit]*Table9[[#This Row],[Inflation Modifier]]</f>
        <v>560.09656767696981</v>
      </c>
      <c r="M219">
        <f xml:space="preserve"> (1+Table7[Inflation])^(QUOTIENT(Table9[[#This Row],[Month]]-1,12))</f>
        <v>1.4002414191924244</v>
      </c>
      <c r="N219">
        <f>N218*(1+Table7[Monthly SF Inter])+Table9[[#This Row],[Monthly Payment]]-O218*(1+Table7[Monthly SF Inter])</f>
        <v>2254.2831569038672</v>
      </c>
      <c r="O219">
        <f>IF(MOD(Table9[[#This Row],[Month]],12)=0,(IF(Table9[[#This Row],[Current Balance]]&lt;Table9[[#This Row],[Max Lump Sum ]],Table9[[#This Row],[Current Balance]],Table9[[#This Row],[Max Lump Sum ]])),0)</f>
        <v>0</v>
      </c>
      <c r="P219" s="21">
        <f>Table7[Max annual lump sum repayment]*SUM(C220:C231)</f>
        <v>7880.3958913442566</v>
      </c>
      <c r="Q219" s="25">
        <f>Q218*(1+Table7[Monthly SF Inter])+Table9[[#This Row],[Inflation Modifier]]-R218*(1+Table7[Monthly SF Inter])</f>
        <v>5.635707892259668</v>
      </c>
      <c r="R219" s="25">
        <f>IF(MOD(Table9[[#This Row],[Month]],12)=0,Table9[[#This Row],[Q2 ACC FACTOR]],0)</f>
        <v>0</v>
      </c>
      <c r="S219" s="25">
        <f>S218*(1+D218)+Table9[[#This Row],[ACC FACTOR PAYMENTS]]</f>
        <v>398.68563248260506</v>
      </c>
    </row>
    <row r="220" spans="1:19" x14ac:dyDescent="0.25">
      <c r="A220" s="1">
        <v>208</v>
      </c>
      <c r="B220" s="1">
        <f t="shared" si="3"/>
        <v>0</v>
      </c>
      <c r="C220" s="7">
        <f>G$12/-PV(Table7[Monthly mortgage rate], (12*Table7[Amortization period (yrs)]),1 )</f>
        <v>4377.9977174134756</v>
      </c>
      <c r="D220" s="11">
        <f>IF(Table1[[#This Row],[Month]]&lt;=(12*Table7[mortgage term (yrs)]),Table7[Monthly mortgage rate],Table7[Monthly Exp Renewal Rate])</f>
        <v>4.9038466830562122E-3</v>
      </c>
      <c r="E220" s="21">
        <f>Table1[[#This Row],[Current mortgage rate]]*G219</f>
        <v>745.80016472737134</v>
      </c>
      <c r="F220" s="5">
        <f>Table1[[#This Row],[Payment amount]]-Table1[[#This Row],[Interest paid]]</f>
        <v>3632.1975526861042</v>
      </c>
      <c r="G220" s="20">
        <f>G219-Table1[[#This Row],[Principal repaid]]-Table1[[#This Row],[Annual paym]]</f>
        <v>148452.52550855125</v>
      </c>
      <c r="H220" s="20">
        <f>H219-(Table1[[#This Row],[Payment amount]]-Table1[[#This Row],[Interest Paid W/O LSP]])</f>
        <v>308143.53988756775</v>
      </c>
      <c r="I220">
        <f>H219*Table1[[#This Row],[Current mortgage rate]]</f>
        <v>1525.078952206637</v>
      </c>
      <c r="J220" s="25">
        <f>IF(Table1[[#This Row],[Month]]&gt;Table7[Amortization period (yrs)]*12,0,IF(Table1[[#This Row],[Month]]&lt;Table7[mortgage term (yrs)]*12,0,IF(Table1[[#This Row],[Month]]=Table7[mortgage term (yrs)]*12,-H$5,Table1[[#This Row],[Payment amount]]+B220)))</f>
        <v>4377.9977174134756</v>
      </c>
      <c r="K220">
        <v>209</v>
      </c>
      <c r="L220">
        <f>Table7[Initial Monthly Deposit]*Table9[[#This Row],[Inflation Modifier]]</f>
        <v>560.09656767696981</v>
      </c>
      <c r="M220">
        <f xml:space="preserve"> (1+Table7[Inflation])^(QUOTIENT(Table9[[#This Row],[Month]]-1,12))</f>
        <v>1.4002414191924244</v>
      </c>
      <c r="N220">
        <f>N219*(1+Table7[Monthly SF Inter])+Table9[[#This Row],[Monthly Payment]]-O219*(1+Table7[Monthly SF Inter])</f>
        <v>2823.676197754407</v>
      </c>
      <c r="O220">
        <f>IF(MOD(Table9[[#This Row],[Month]],12)=0,(IF(Table9[[#This Row],[Current Balance]]&lt;Table9[[#This Row],[Max Lump Sum ]],Table9[[#This Row],[Current Balance]],Table9[[#This Row],[Max Lump Sum ]])),0)</f>
        <v>0</v>
      </c>
      <c r="P220" s="21">
        <f>Table7[Max annual lump sum repayment]*SUM(C221:C232)</f>
        <v>7880.3958913442566</v>
      </c>
      <c r="Q220" s="25">
        <f>Q219*(1+Table7[Monthly SF Inter])+Table9[[#This Row],[Inflation Modifier]]-R219*(1+Table7[Monthly SF Inter])</f>
        <v>7.0591904943860175</v>
      </c>
      <c r="R220" s="25">
        <f>IF(MOD(Table9[[#This Row],[Month]],12)=0,Table9[[#This Row],[Q2 ACC FACTOR]],0)</f>
        <v>0</v>
      </c>
      <c r="S220" s="25">
        <f>S219*(1+D219)+Table9[[#This Row],[ACC FACTOR PAYMENTS]]</f>
        <v>400.64072569903703</v>
      </c>
    </row>
    <row r="221" spans="1:19" x14ac:dyDescent="0.25">
      <c r="A221" s="1">
        <v>209</v>
      </c>
      <c r="B221" s="1">
        <f t="shared" si="3"/>
        <v>0</v>
      </c>
      <c r="C221" s="7">
        <f>G$12/-PV(Table7[Monthly mortgage rate], (12*Table7[Amortization period (yrs)]),1 )</f>
        <v>4377.9977174134756</v>
      </c>
      <c r="D221" s="11">
        <f>IF(Table1[[#This Row],[Month]]&lt;=(12*Table7[mortgage term (yrs)]),Table7[Monthly mortgage rate],Table7[Monthly Exp Renewal Rate])</f>
        <v>4.9038466830562122E-3</v>
      </c>
      <c r="E221" s="21">
        <f>Table1[[#This Row],[Current mortgage rate]]*G220</f>
        <v>727.98842480642679</v>
      </c>
      <c r="F221" s="5">
        <f>Table1[[#This Row],[Payment amount]]-Table1[[#This Row],[Interest paid]]</f>
        <v>3650.0092926070488</v>
      </c>
      <c r="G221" s="20">
        <f>G220-Table1[[#This Row],[Principal repaid]]-Table1[[#This Row],[Annual paym]]</f>
        <v>144802.5162159442</v>
      </c>
      <c r="H221" s="20">
        <f>H220-(Table1[[#This Row],[Payment amount]]-Table1[[#This Row],[Interest Paid W/O LSP]])</f>
        <v>305276.63084613712</v>
      </c>
      <c r="I221">
        <f>H220*Table1[[#This Row],[Current mortgage rate]]</f>
        <v>1511.0886759828488</v>
      </c>
      <c r="J221" s="25">
        <f>IF(Table1[[#This Row],[Month]]&gt;Table7[Amortization period (yrs)]*12,0,IF(Table1[[#This Row],[Month]]&lt;Table7[mortgage term (yrs)]*12,0,IF(Table1[[#This Row],[Month]]=Table7[mortgage term (yrs)]*12,-H$5,Table1[[#This Row],[Payment amount]]+B221)))</f>
        <v>4377.9977174134756</v>
      </c>
      <c r="K221">
        <v>210</v>
      </c>
      <c r="L221">
        <f>Table7[Initial Monthly Deposit]*Table9[[#This Row],[Inflation Modifier]]</f>
        <v>560.09656767696981</v>
      </c>
      <c r="M221">
        <f xml:space="preserve"> (1+Table7[Inflation])^(QUOTIENT(Table9[[#This Row],[Month]]-1,12))</f>
        <v>1.4002414191924244</v>
      </c>
      <c r="N221">
        <f>N220*(1+Table7[Monthly SF Inter])+Table9[[#This Row],[Monthly Payment]]-O220*(1+Table7[Monthly SF Inter])</f>
        <v>3395.4173673718556</v>
      </c>
      <c r="O221">
        <f>IF(MOD(Table9[[#This Row],[Month]],12)=0,(IF(Table9[[#This Row],[Current Balance]]&lt;Table9[[#This Row],[Max Lump Sum ]],Table9[[#This Row],[Current Balance]],Table9[[#This Row],[Max Lump Sum ]])),0)</f>
        <v>0</v>
      </c>
      <c r="P221" s="21">
        <f>Table7[Max annual lump sum repayment]*SUM(C222:C233)</f>
        <v>7880.3958913442566</v>
      </c>
      <c r="Q221" s="25">
        <f>Q220*(1+Table7[Monthly SF Inter])+Table9[[#This Row],[Inflation Modifier]]-R220*(1+Table7[Monthly SF Inter])</f>
        <v>8.4885434184296393</v>
      </c>
      <c r="R221" s="25">
        <f>IF(MOD(Table9[[#This Row],[Month]],12)=0,Table9[[#This Row],[Q2 ACC FACTOR]],0)</f>
        <v>0</v>
      </c>
      <c r="S221" s="25">
        <f>S220*(1+D220)+Table9[[#This Row],[ACC FACTOR PAYMENTS]]</f>
        <v>402.60540639285347</v>
      </c>
    </row>
    <row r="222" spans="1:19" x14ac:dyDescent="0.25">
      <c r="A222" s="1">
        <v>210</v>
      </c>
      <c r="B222" s="1">
        <f t="shared" si="3"/>
        <v>0</v>
      </c>
      <c r="C222" s="7">
        <f>G$12/-PV(Table7[Monthly mortgage rate], (12*Table7[Amortization period (yrs)]),1 )</f>
        <v>4377.9977174134756</v>
      </c>
      <c r="D222" s="11">
        <f>IF(Table1[[#This Row],[Month]]&lt;=(12*Table7[mortgage term (yrs)]),Table7[Monthly mortgage rate],Table7[Monthly Exp Renewal Rate])</f>
        <v>4.9038466830562122E-3</v>
      </c>
      <c r="E222" s="21">
        <f>Table1[[#This Row],[Current mortgage rate]]*G221</f>
        <v>710.08933884375131</v>
      </c>
      <c r="F222" s="5">
        <f>Table1[[#This Row],[Payment amount]]-Table1[[#This Row],[Interest paid]]</f>
        <v>3667.9083785697244</v>
      </c>
      <c r="G222" s="20">
        <f>G221-Table1[[#This Row],[Principal repaid]]-Table1[[#This Row],[Annual paym]]</f>
        <v>141134.60783737447</v>
      </c>
      <c r="H222" s="20">
        <f>H221-(Table1[[#This Row],[Payment amount]]-Table1[[#This Row],[Interest Paid W/O LSP]])</f>
        <v>302395.66292231303</v>
      </c>
      <c r="I222">
        <f>H221*Table1[[#This Row],[Current mortgage rate]]</f>
        <v>1497.0297935894052</v>
      </c>
      <c r="J222" s="25">
        <f>IF(Table1[[#This Row],[Month]]&gt;Table7[Amortization period (yrs)]*12,0,IF(Table1[[#This Row],[Month]]&lt;Table7[mortgage term (yrs)]*12,0,IF(Table1[[#This Row],[Month]]=Table7[mortgage term (yrs)]*12,-H$5,Table1[[#This Row],[Payment amount]]+B222)))</f>
        <v>4377.9977174134756</v>
      </c>
      <c r="K222">
        <v>211</v>
      </c>
      <c r="L222">
        <f>Table7[Initial Monthly Deposit]*Table9[[#This Row],[Inflation Modifier]]</f>
        <v>560.09656767696981</v>
      </c>
      <c r="M222">
        <f xml:space="preserve"> (1+Table7[Inflation])^(QUOTIENT(Table9[[#This Row],[Month]]-1,12))</f>
        <v>1.4002414191924244</v>
      </c>
      <c r="N222">
        <f>N221*(1+Table7[Monthly SF Inter])+Table9[[#This Row],[Monthly Payment]]-O221*(1+Table7[Monthly SF Inter])</f>
        <v>3969.5163492407496</v>
      </c>
      <c r="O222">
        <f>IF(MOD(Table9[[#This Row],[Month]],12)=0,(IF(Table9[[#This Row],[Current Balance]]&lt;Table9[[#This Row],[Max Lump Sum ]],Table9[[#This Row],[Current Balance]],Table9[[#This Row],[Max Lump Sum ]])),0)</f>
        <v>0</v>
      </c>
      <c r="P222" s="21">
        <f>Table7[Max annual lump sum repayment]*SUM(C223:C234)</f>
        <v>7880.3958913442566</v>
      </c>
      <c r="Q222" s="25">
        <f>Q221*(1+Table7[Monthly SF Inter])+Table9[[#This Row],[Inflation Modifier]]-R221*(1+Table7[Monthly SF Inter])</f>
        <v>9.9237908731018738</v>
      </c>
      <c r="R222" s="25">
        <f>IF(MOD(Table9[[#This Row],[Month]],12)=0,Table9[[#This Row],[Q2 ACC FACTOR]],0)</f>
        <v>0</v>
      </c>
      <c r="S222" s="25">
        <f>S221*(1+D221)+Table9[[#This Row],[ACC FACTOR PAYMENTS]]</f>
        <v>404.57972157957357</v>
      </c>
    </row>
    <row r="223" spans="1:19" x14ac:dyDescent="0.25">
      <c r="A223" s="1">
        <v>211</v>
      </c>
      <c r="B223" s="1">
        <f t="shared" si="3"/>
        <v>0</v>
      </c>
      <c r="C223" s="7">
        <f>G$12/-PV(Table7[Monthly mortgage rate], (12*Table7[Amortization period (yrs)]),1 )</f>
        <v>4377.9977174134756</v>
      </c>
      <c r="D223" s="11">
        <f>IF(Table1[[#This Row],[Month]]&lt;=(12*Table7[mortgage term (yrs)]),Table7[Monthly mortgage rate],Table7[Monthly Exp Renewal Rate])</f>
        <v>4.9038466830562122E-3</v>
      </c>
      <c r="E223" s="21">
        <f>Table1[[#This Row],[Current mortgage rate]]*G222</f>
        <v>692.10247850774806</v>
      </c>
      <c r="F223" s="5">
        <f>Table1[[#This Row],[Payment amount]]-Table1[[#This Row],[Interest paid]]</f>
        <v>3685.8952389057276</v>
      </c>
      <c r="G223" s="20">
        <f>G222-Table1[[#This Row],[Principal repaid]]-Table1[[#This Row],[Annual paym]]</f>
        <v>137448.71259846873</v>
      </c>
      <c r="H223" s="20">
        <f>H222-(Table1[[#This Row],[Payment amount]]-Table1[[#This Row],[Interest Paid W/O LSP]])</f>
        <v>299500.5671734917</v>
      </c>
      <c r="I223">
        <f>H222*Table1[[#This Row],[Current mortgage rate]]</f>
        <v>1482.9019685921692</v>
      </c>
      <c r="J223" s="25">
        <f>IF(Table1[[#This Row],[Month]]&gt;Table7[Amortization period (yrs)]*12,0,IF(Table1[[#This Row],[Month]]&lt;Table7[mortgage term (yrs)]*12,0,IF(Table1[[#This Row],[Month]]=Table7[mortgage term (yrs)]*12,-H$5,Table1[[#This Row],[Payment amount]]+B223)))</f>
        <v>4377.9977174134756</v>
      </c>
      <c r="K223">
        <v>212</v>
      </c>
      <c r="L223">
        <f>Table7[Initial Monthly Deposit]*Table9[[#This Row],[Inflation Modifier]]</f>
        <v>560.09656767696981</v>
      </c>
      <c r="M223">
        <f xml:space="preserve"> (1+Table7[Inflation])^(QUOTIENT(Table9[[#This Row],[Month]]-1,12))</f>
        <v>1.4002414191924244</v>
      </c>
      <c r="N223">
        <f>N222*(1+Table7[Monthly SF Inter])+Table9[[#This Row],[Monthly Payment]]-O222*(1+Table7[Monthly SF Inter])</f>
        <v>4545.9828667794964</v>
      </c>
      <c r="O223">
        <f>IF(MOD(Table9[[#This Row],[Month]],12)=0,(IF(Table9[[#This Row],[Current Balance]]&lt;Table9[[#This Row],[Max Lump Sum ]],Table9[[#This Row],[Current Balance]],Table9[[#This Row],[Max Lump Sum ]])),0)</f>
        <v>0</v>
      </c>
      <c r="P223" s="21">
        <f>Table7[Max annual lump sum repayment]*SUM(C224:C235)</f>
        <v>7880.3958913442566</v>
      </c>
      <c r="Q223" s="25">
        <f>Q222*(1+Table7[Monthly SF Inter])+Table9[[#This Row],[Inflation Modifier]]-R222*(1+Table7[Monthly SF Inter])</f>
        <v>11.36495716694874</v>
      </c>
      <c r="R223" s="25">
        <f>IF(MOD(Table9[[#This Row],[Month]],12)=0,Table9[[#This Row],[Q2 ACC FACTOR]],0)</f>
        <v>0</v>
      </c>
      <c r="S223" s="25">
        <f>S222*(1+D222)+Table9[[#This Row],[ACC FACTOR PAYMENTS]]</f>
        <v>406.56371850527336</v>
      </c>
    </row>
    <row r="224" spans="1:19" x14ac:dyDescent="0.25">
      <c r="A224" s="1">
        <v>212</v>
      </c>
      <c r="B224" s="1">
        <f t="shared" si="3"/>
        <v>0</v>
      </c>
      <c r="C224" s="7">
        <f>G$12/-PV(Table7[Monthly mortgage rate], (12*Table7[Amortization period (yrs)]),1 )</f>
        <v>4377.9977174134756</v>
      </c>
      <c r="D224" s="11">
        <f>IF(Table1[[#This Row],[Month]]&lt;=(12*Table7[mortgage term (yrs)]),Table7[Monthly mortgage rate],Table7[Monthly Exp Renewal Rate])</f>
        <v>4.9038466830562122E-3</v>
      </c>
      <c r="E224" s="21">
        <f>Table1[[#This Row],[Current mortgage rate]]*G223</f>
        <v>674.02741336634745</v>
      </c>
      <c r="F224" s="5">
        <f>Table1[[#This Row],[Payment amount]]-Table1[[#This Row],[Interest paid]]</f>
        <v>3703.9703040471281</v>
      </c>
      <c r="G224" s="20">
        <f>G223-Table1[[#This Row],[Principal repaid]]-Table1[[#This Row],[Annual paym]]</f>
        <v>133744.74229442159</v>
      </c>
      <c r="H224" s="20">
        <f>H223-(Table1[[#This Row],[Payment amount]]-Table1[[#This Row],[Interest Paid W/O LSP]])</f>
        <v>296591.27431898541</v>
      </c>
      <c r="I224">
        <f>H223*Table1[[#This Row],[Current mortgage rate]]</f>
        <v>1468.7048629071815</v>
      </c>
      <c r="J224" s="25">
        <f>IF(Table1[[#This Row],[Month]]&gt;Table7[Amortization period (yrs)]*12,0,IF(Table1[[#This Row],[Month]]&lt;Table7[mortgage term (yrs)]*12,0,IF(Table1[[#This Row],[Month]]=Table7[mortgage term (yrs)]*12,-H$5,Table1[[#This Row],[Payment amount]]+B224)))</f>
        <v>4377.9977174134756</v>
      </c>
      <c r="K224">
        <v>213</v>
      </c>
      <c r="L224">
        <f>Table7[Initial Monthly Deposit]*Table9[[#This Row],[Inflation Modifier]]</f>
        <v>560.09656767696981</v>
      </c>
      <c r="M224">
        <f xml:space="preserve"> (1+Table7[Inflation])^(QUOTIENT(Table9[[#This Row],[Month]]-1,12))</f>
        <v>1.4002414191924244</v>
      </c>
      <c r="N224">
        <f>N223*(1+Table7[Monthly SF Inter])+Table9[[#This Row],[Monthly Payment]]-O223*(1+Table7[Monthly SF Inter])</f>
        <v>5124.826683505059</v>
      </c>
      <c r="O224">
        <f>IF(MOD(Table9[[#This Row],[Month]],12)=0,(IF(Table9[[#This Row],[Current Balance]]&lt;Table9[[#This Row],[Max Lump Sum ]],Table9[[#This Row],[Current Balance]],Table9[[#This Row],[Max Lump Sum ]])),0)</f>
        <v>0</v>
      </c>
      <c r="P224" s="21">
        <f>Table7[Max annual lump sum repayment]*SUM(C225:C236)</f>
        <v>7880.3958913442566</v>
      </c>
      <c r="Q224" s="25">
        <f>Q223*(1+Table7[Monthly SF Inter])+Table9[[#This Row],[Inflation Modifier]]-R223*(1+Table7[Monthly SF Inter])</f>
        <v>12.812066708762645</v>
      </c>
      <c r="R224" s="25">
        <f>IF(MOD(Table9[[#This Row],[Month]],12)=0,Table9[[#This Row],[Q2 ACC FACTOR]],0)</f>
        <v>0</v>
      </c>
      <c r="S224" s="25">
        <f>S223*(1+D223)+Table9[[#This Row],[ACC FACTOR PAYMENTS]]</f>
        <v>408.55744464771647</v>
      </c>
    </row>
    <row r="225" spans="1:19" x14ac:dyDescent="0.25">
      <c r="A225" s="1">
        <v>213</v>
      </c>
      <c r="B225" s="1">
        <f t="shared" si="3"/>
        <v>0</v>
      </c>
      <c r="C225" s="7">
        <f>G$12/-PV(Table7[Monthly mortgage rate], (12*Table7[Amortization period (yrs)]),1 )</f>
        <v>4377.9977174134756</v>
      </c>
      <c r="D225" s="11">
        <f>IF(Table1[[#This Row],[Month]]&lt;=(12*Table7[mortgage term (yrs)]),Table7[Monthly mortgage rate],Table7[Monthly Exp Renewal Rate])</f>
        <v>4.9038466830562122E-3</v>
      </c>
      <c r="E225" s="21">
        <f>Table1[[#This Row],[Current mortgage rate]]*G224</f>
        <v>655.86371087670727</v>
      </c>
      <c r="F225" s="5">
        <f>Table1[[#This Row],[Payment amount]]-Table1[[#This Row],[Interest paid]]</f>
        <v>3722.1340065367685</v>
      </c>
      <c r="G225" s="20">
        <f>G224-Table1[[#This Row],[Principal repaid]]-Table1[[#This Row],[Annual paym]]</f>
        <v>130022.60828788482</v>
      </c>
      <c r="H225" s="20">
        <f>H224-(Table1[[#This Row],[Payment amount]]-Table1[[#This Row],[Interest Paid W/O LSP]])</f>
        <v>293667.71473836451</v>
      </c>
      <c r="I225">
        <f>H224*Table1[[#This Row],[Current mortgage rate]]</f>
        <v>1454.4381367925716</v>
      </c>
      <c r="J225" s="25">
        <f>IF(Table1[[#This Row],[Month]]&gt;Table7[Amortization period (yrs)]*12,0,IF(Table1[[#This Row],[Month]]&lt;Table7[mortgage term (yrs)]*12,0,IF(Table1[[#This Row],[Month]]=Table7[mortgage term (yrs)]*12,-H$5,Table1[[#This Row],[Payment amount]]+B225)))</f>
        <v>4377.9977174134756</v>
      </c>
      <c r="K225">
        <v>214</v>
      </c>
      <c r="L225">
        <f>Table7[Initial Monthly Deposit]*Table9[[#This Row],[Inflation Modifier]]</f>
        <v>560.09656767696981</v>
      </c>
      <c r="M225">
        <f xml:space="preserve"> (1+Table7[Inflation])^(QUOTIENT(Table9[[#This Row],[Month]]-1,12))</f>
        <v>1.4002414191924244</v>
      </c>
      <c r="N225">
        <f>N224*(1+Table7[Monthly SF Inter])+Table9[[#This Row],[Monthly Payment]]-O224*(1+Table7[Monthly SF Inter])</f>
        <v>5706.0576031983192</v>
      </c>
      <c r="O225">
        <f>IF(MOD(Table9[[#This Row],[Month]],12)=0,(IF(Table9[[#This Row],[Current Balance]]&lt;Table9[[#This Row],[Max Lump Sum ]],Table9[[#This Row],[Current Balance]],Table9[[#This Row],[Max Lump Sum ]])),0)</f>
        <v>0</v>
      </c>
      <c r="P225" s="21">
        <f>Table7[Max annual lump sum repayment]*SUM(C226:C237)</f>
        <v>7880.3958913442566</v>
      </c>
      <c r="Q225" s="25">
        <f>Q224*(1+Table7[Monthly SF Inter])+Table9[[#This Row],[Inflation Modifier]]-R224*(1+Table7[Monthly SF Inter])</f>
        <v>14.265144007995795</v>
      </c>
      <c r="R225" s="25">
        <f>IF(MOD(Table9[[#This Row],[Month]],12)=0,Table9[[#This Row],[Q2 ACC FACTOR]],0)</f>
        <v>0</v>
      </c>
      <c r="S225" s="25">
        <f>S224*(1+D224)+Table9[[#This Row],[ACC FACTOR PAYMENTS]]</f>
        <v>410.56094771749008</v>
      </c>
    </row>
    <row r="226" spans="1:19" x14ac:dyDescent="0.25">
      <c r="A226" s="1">
        <v>214</v>
      </c>
      <c r="B226" s="1">
        <f t="shared" si="3"/>
        <v>0</v>
      </c>
      <c r="C226" s="7">
        <f>G$12/-PV(Table7[Monthly mortgage rate], (12*Table7[Amortization period (yrs)]),1 )</f>
        <v>4377.9977174134756</v>
      </c>
      <c r="D226" s="11">
        <f>IF(Table1[[#This Row],[Month]]&lt;=(12*Table7[mortgage term (yrs)]),Table7[Monthly mortgage rate],Table7[Monthly Exp Renewal Rate])</f>
        <v>4.9038466830562122E-3</v>
      </c>
      <c r="E226" s="21">
        <f>Table1[[#This Row],[Current mortgage rate]]*G225</f>
        <v>637.61093637486113</v>
      </c>
      <c r="F226" s="5">
        <f>Table1[[#This Row],[Payment amount]]-Table1[[#This Row],[Interest paid]]</f>
        <v>3740.3867810386146</v>
      </c>
      <c r="G226" s="20">
        <f>G225-Table1[[#This Row],[Principal repaid]]-Table1[[#This Row],[Annual paym]]</f>
        <v>126282.22150684621</v>
      </c>
      <c r="H226" s="20">
        <f>H225-(Table1[[#This Row],[Payment amount]]-Table1[[#This Row],[Interest Paid W/O LSP]])</f>
        <v>290729.81846979144</v>
      </c>
      <c r="I226">
        <f>H225*Table1[[#This Row],[Current mortgage rate]]</f>
        <v>1440.1014488404267</v>
      </c>
      <c r="J226" s="25">
        <f>IF(Table1[[#This Row],[Month]]&gt;Table7[Amortization period (yrs)]*12,0,IF(Table1[[#This Row],[Month]]&lt;Table7[mortgage term (yrs)]*12,0,IF(Table1[[#This Row],[Month]]=Table7[mortgage term (yrs)]*12,-H$5,Table1[[#This Row],[Payment amount]]+B226)))</f>
        <v>4377.9977174134756</v>
      </c>
      <c r="K226">
        <v>215</v>
      </c>
      <c r="L226">
        <f>Table7[Initial Monthly Deposit]*Table9[[#This Row],[Inflation Modifier]]</f>
        <v>560.09656767696981</v>
      </c>
      <c r="M226">
        <f xml:space="preserve"> (1+Table7[Inflation])^(QUOTIENT(Table9[[#This Row],[Month]]-1,12))</f>
        <v>1.4002414191924244</v>
      </c>
      <c r="N226">
        <f>N225*(1+Table7[Monthly SF Inter])+Table9[[#This Row],[Monthly Payment]]-O225*(1+Table7[Monthly SF Inter])</f>
        <v>6289.6854700701224</v>
      </c>
      <c r="O226">
        <f>IF(MOD(Table9[[#This Row],[Month]],12)=0,(IF(Table9[[#This Row],[Current Balance]]&lt;Table9[[#This Row],[Max Lump Sum ]],Table9[[#This Row],[Current Balance]],Table9[[#This Row],[Max Lump Sum ]])),0)</f>
        <v>0</v>
      </c>
      <c r="P226" s="21">
        <f>Table7[Max annual lump sum repayment]*SUM(C227:C238)</f>
        <v>7880.3958913442566</v>
      </c>
      <c r="Q226" s="25">
        <f>Q225*(1+Table7[Monthly SF Inter])+Table9[[#This Row],[Inflation Modifier]]-R225*(1+Table7[Monthly SF Inter])</f>
        <v>15.724213675175303</v>
      </c>
      <c r="R226" s="25">
        <f>IF(MOD(Table9[[#This Row],[Month]],12)=0,Table9[[#This Row],[Q2 ACC FACTOR]],0)</f>
        <v>0</v>
      </c>
      <c r="S226" s="25">
        <f>S225*(1+D225)+Table9[[#This Row],[ACC FACTOR PAYMENTS]]</f>
        <v>412.57427565914691</v>
      </c>
    </row>
    <row r="227" spans="1:19" x14ac:dyDescent="0.25">
      <c r="A227" s="1">
        <v>215</v>
      </c>
      <c r="B227" s="1">
        <f t="shared" si="3"/>
        <v>0</v>
      </c>
      <c r="C227" s="7">
        <f>G$12/-PV(Table7[Monthly mortgage rate], (12*Table7[Amortization period (yrs)]),1 )</f>
        <v>4377.9977174134756</v>
      </c>
      <c r="D227" s="11">
        <f>IF(Table1[[#This Row],[Month]]&lt;=(12*Table7[mortgage term (yrs)]),Table7[Monthly mortgage rate],Table7[Monthly Exp Renewal Rate])</f>
        <v>4.9038466830562122E-3</v>
      </c>
      <c r="E227" s="21">
        <f>Table1[[#This Row],[Current mortgage rate]]*G226</f>
        <v>619.26865306531761</v>
      </c>
      <c r="F227" s="5">
        <f>Table1[[#This Row],[Payment amount]]-Table1[[#This Row],[Interest paid]]</f>
        <v>3758.7290643481579</v>
      </c>
      <c r="G227" s="20">
        <f>G226-Table1[[#This Row],[Principal repaid]]-Table1[[#This Row],[Annual paym]]</f>
        <v>122523.49244249806</v>
      </c>
      <c r="H227" s="20">
        <f>H226-(Table1[[#This Row],[Payment amount]]-Table1[[#This Row],[Interest Paid W/O LSP]])</f>
        <v>287777.51520834659</v>
      </c>
      <c r="I227">
        <f>H226*Table1[[#This Row],[Current mortgage rate]]</f>
        <v>1425.6944559686215</v>
      </c>
      <c r="J227" s="25">
        <f>IF(Table1[[#This Row],[Month]]&gt;Table7[Amortization period (yrs)]*12,0,IF(Table1[[#This Row],[Month]]&lt;Table7[mortgage term (yrs)]*12,0,IF(Table1[[#This Row],[Month]]=Table7[mortgage term (yrs)]*12,-H$5,Table1[[#This Row],[Payment amount]]+B227)))</f>
        <v>4377.9977174134756</v>
      </c>
      <c r="K227">
        <v>216</v>
      </c>
      <c r="L227">
        <f>Table7[Initial Monthly Deposit]*Table9[[#This Row],[Inflation Modifier]]</f>
        <v>560.09656767696981</v>
      </c>
      <c r="M227">
        <f xml:space="preserve"> (1+Table7[Inflation])^(QUOTIENT(Table9[[#This Row],[Month]]-1,12))</f>
        <v>1.4002414191924244</v>
      </c>
      <c r="N227">
        <f>N226*(1+Table7[Monthly SF Inter])+Table9[[#This Row],[Monthly Payment]]-O226*(1+Table7[Monthly SF Inter])</f>
        <v>6875.7201689280073</v>
      </c>
      <c r="O227">
        <f>IF(MOD(Table9[[#This Row],[Month]],12)=0,(IF(Table9[[#This Row],[Current Balance]]&lt;Table9[[#This Row],[Max Lump Sum ]],Table9[[#This Row],[Current Balance]],Table9[[#This Row],[Max Lump Sum ]])),0)</f>
        <v>6875.7201689280073</v>
      </c>
      <c r="P227" s="21">
        <f>Table7[Max annual lump sum repayment]*SUM(C228:C239)</f>
        <v>7880.3958913442566</v>
      </c>
      <c r="Q227" s="25">
        <f>Q226*(1+Table7[Monthly SF Inter])+Table9[[#This Row],[Inflation Modifier]]-R226*(1+Table7[Monthly SF Inter])</f>
        <v>17.189300422320017</v>
      </c>
      <c r="R227" s="25">
        <f>IF(MOD(Table9[[#This Row],[Month]],12)=0,Table9[[#This Row],[Q2 ACC FACTOR]],0)</f>
        <v>17.189300422320017</v>
      </c>
      <c r="S227" s="25">
        <f>S226*(1+D226)+Table9[[#This Row],[ACC FACTOR PAYMENTS]]</f>
        <v>431.78677707467233</v>
      </c>
    </row>
    <row r="228" spans="1:19" x14ac:dyDescent="0.25">
      <c r="A228" s="1">
        <v>216</v>
      </c>
      <c r="B228" s="1">
        <f t="shared" si="3"/>
        <v>6875.7201689280073</v>
      </c>
      <c r="C228" s="7">
        <f>G$12/-PV(Table7[Monthly mortgage rate], (12*Table7[Amortization period (yrs)]),1 )</f>
        <v>4377.9977174134756</v>
      </c>
      <c r="D228" s="11">
        <f>IF(Table1[[#This Row],[Month]]&lt;=(12*Table7[mortgage term (yrs)]),Table7[Monthly mortgage rate],Table7[Monthly Exp Renewal Rate])</f>
        <v>4.9038466830562122E-3</v>
      </c>
      <c r="E228" s="21">
        <f>Table1[[#This Row],[Current mortgage rate]]*G227</f>
        <v>600.83642201060695</v>
      </c>
      <c r="F228" s="5">
        <f>Table1[[#This Row],[Payment amount]]-Table1[[#This Row],[Interest paid]]</f>
        <v>3777.1612954028687</v>
      </c>
      <c r="G228" s="20">
        <f>G227-Table1[[#This Row],[Principal repaid]]-Table1[[#This Row],[Annual paym]]</f>
        <v>111870.61097816718</v>
      </c>
      <c r="H228" s="20">
        <f>H227-(Table1[[#This Row],[Payment amount]]-Table1[[#This Row],[Interest Paid W/O LSP]])</f>
        <v>284810.73430434574</v>
      </c>
      <c r="I228">
        <f>H227*Table1[[#This Row],[Current mortgage rate]]</f>
        <v>1411.2168134126091</v>
      </c>
      <c r="J228" s="25">
        <f>IF(Table1[[#This Row],[Month]]&gt;Table7[Amortization period (yrs)]*12,0,IF(Table1[[#This Row],[Month]]&lt;Table7[mortgage term (yrs)]*12,0,IF(Table1[[#This Row],[Month]]=Table7[mortgage term (yrs)]*12,-H$5,Table1[[#This Row],[Payment amount]]+B228)))</f>
        <v>11253.717886341483</v>
      </c>
      <c r="K228">
        <v>217</v>
      </c>
      <c r="L228">
        <f>Table7[Initial Monthly Deposit]*Table9[[#This Row],[Inflation Modifier]]</f>
        <v>571.29849903050911</v>
      </c>
      <c r="M228">
        <f xml:space="preserve"> (1+Table7[Inflation])^(QUOTIENT(Table9[[#This Row],[Month]]-1,12))</f>
        <v>1.4282462475762727</v>
      </c>
      <c r="N228">
        <f>N227*(1+Table7[Monthly SF Inter])+Table9[[#This Row],[Monthly Payment]]-O227*(1+Table7[Monthly SF Inter])</f>
        <v>571.29849903050945</v>
      </c>
      <c r="O228">
        <f>IF(MOD(Table9[[#This Row],[Month]],12)=0,(IF(Table9[[#This Row],[Current Balance]]&lt;Table9[[#This Row],[Max Lump Sum ]],Table9[[#This Row],[Current Balance]],Table9[[#This Row],[Max Lump Sum ]])),0)</f>
        <v>0</v>
      </c>
      <c r="P228" s="21">
        <f>Table7[Max annual lump sum repayment]*SUM(C229:C240)</f>
        <v>7880.3958913442566</v>
      </c>
      <c r="Q228" s="25">
        <f>Q227*(1+Table7[Monthly SF Inter])+Table9[[#This Row],[Inflation Modifier]]-R227*(1+Table7[Monthly SF Inter])</f>
        <v>1.4282462475762721</v>
      </c>
      <c r="R228" s="25">
        <f>IF(MOD(Table9[[#This Row],[Month]],12)=0,Table9[[#This Row],[Q2 ACC FACTOR]],0)</f>
        <v>0</v>
      </c>
      <c r="S228" s="25">
        <f>S227*(1+D227)+Table9[[#This Row],[ACC FACTOR PAYMENTS]]</f>
        <v>433.90419322921747</v>
      </c>
    </row>
    <row r="229" spans="1:19" x14ac:dyDescent="0.25">
      <c r="A229" s="1">
        <v>217</v>
      </c>
      <c r="B229" s="1">
        <f t="shared" si="3"/>
        <v>0</v>
      </c>
      <c r="C229" s="7">
        <f>G$12/-PV(Table7[Monthly mortgage rate], (12*Table7[Amortization period (yrs)]),1 )</f>
        <v>4377.9977174134756</v>
      </c>
      <c r="D229" s="11">
        <f>IF(Table1[[#This Row],[Month]]&lt;=(12*Table7[mortgage term (yrs)]),Table7[Monthly mortgage rate],Table7[Monthly Exp Renewal Rate])</f>
        <v>4.9038466830562122E-3</v>
      </c>
      <c r="E229" s="21">
        <f>Table1[[#This Row],[Current mortgage rate]]*G228</f>
        <v>548.59632457675707</v>
      </c>
      <c r="F229" s="5">
        <f>Table1[[#This Row],[Payment amount]]-Table1[[#This Row],[Interest paid]]</f>
        <v>3829.4013928367185</v>
      </c>
      <c r="G229" s="20">
        <f>G228-Table1[[#This Row],[Principal repaid]]-Table1[[#This Row],[Annual paym]]</f>
        <v>108041.20958533046</v>
      </c>
      <c r="H229" s="20">
        <f>H228-(Table1[[#This Row],[Payment amount]]-Table1[[#This Row],[Interest Paid W/O LSP]])</f>
        <v>281829.40476164944</v>
      </c>
      <c r="I229">
        <f>H228*Table1[[#This Row],[Current mortgage rate]]</f>
        <v>1396.6681747171699</v>
      </c>
      <c r="J229" s="25">
        <f>IF(Table1[[#This Row],[Month]]&gt;Table7[Amortization period (yrs)]*12,0,IF(Table1[[#This Row],[Month]]&lt;Table7[mortgage term (yrs)]*12,0,IF(Table1[[#This Row],[Month]]=Table7[mortgage term (yrs)]*12,-H$5,Table1[[#This Row],[Payment amount]]+B229)))</f>
        <v>4377.9977174134756</v>
      </c>
      <c r="K229">
        <v>218</v>
      </c>
      <c r="L229">
        <f>Table7[Initial Monthly Deposit]*Table9[[#This Row],[Inflation Modifier]]</f>
        <v>571.29849903050911</v>
      </c>
      <c r="M229">
        <f xml:space="preserve"> (1+Table7[Inflation])^(QUOTIENT(Table9[[#This Row],[Month]]-1,12))</f>
        <v>1.4282462475762727</v>
      </c>
      <c r="N229">
        <f>N228*(1+Table7[Monthly SF Inter])+Table9[[#This Row],[Monthly Payment]]-O228*(1+Table7[Monthly SF Inter])</f>
        <v>1144.9529847763843</v>
      </c>
      <c r="O229">
        <f>IF(MOD(Table9[[#This Row],[Month]],12)=0,(IF(Table9[[#This Row],[Current Balance]]&lt;Table9[[#This Row],[Max Lump Sum ]],Table9[[#This Row],[Current Balance]],Table9[[#This Row],[Max Lump Sum ]])),0)</f>
        <v>0</v>
      </c>
      <c r="P229" s="21">
        <f>Table7[Max annual lump sum repayment]*SUM(C230:C241)</f>
        <v>7880.3958913442566</v>
      </c>
      <c r="Q229" s="25">
        <f>Q228*(1+Table7[Monthly SF Inter])+Table9[[#This Row],[Inflation Modifier]]-R228*(1+Table7[Monthly SF Inter])</f>
        <v>2.8623824619409586</v>
      </c>
      <c r="R229" s="25">
        <f>IF(MOD(Table9[[#This Row],[Month]],12)=0,Table9[[#This Row],[Q2 ACC FACTOR]],0)</f>
        <v>0</v>
      </c>
      <c r="S229" s="25">
        <f>S228*(1+D228)+Table9[[#This Row],[ACC FACTOR PAYMENTS]]</f>
        <v>436.03199286794876</v>
      </c>
    </row>
    <row r="230" spans="1:19" x14ac:dyDescent="0.25">
      <c r="A230" s="1">
        <v>218</v>
      </c>
      <c r="B230" s="1">
        <f t="shared" si="3"/>
        <v>0</v>
      </c>
      <c r="C230" s="7">
        <f>G$12/-PV(Table7[Monthly mortgage rate], (12*Table7[Amortization period (yrs)]),1 )</f>
        <v>4377.9977174134756</v>
      </c>
      <c r="D230" s="11">
        <f>IF(Table1[[#This Row],[Month]]&lt;=(12*Table7[mortgage term (yrs)]),Table7[Monthly mortgage rate],Table7[Monthly Exp Renewal Rate])</f>
        <v>4.9038466830562122E-3</v>
      </c>
      <c r="E230" s="21">
        <f>Table1[[#This Row],[Current mortgage rate]]*G229</f>
        <v>529.81752725840386</v>
      </c>
      <c r="F230" s="5">
        <f>Table1[[#This Row],[Payment amount]]-Table1[[#This Row],[Interest paid]]</f>
        <v>3848.1801901550716</v>
      </c>
      <c r="G230" s="20">
        <f>G229-Table1[[#This Row],[Principal repaid]]-Table1[[#This Row],[Annual paym]]</f>
        <v>104193.0293951754</v>
      </c>
      <c r="H230" s="20">
        <f>H229-(Table1[[#This Row],[Payment amount]]-Table1[[#This Row],[Interest Paid W/O LSP]])</f>
        <v>278833.45523596409</v>
      </c>
      <c r="I230">
        <f>H229*Table1[[#This Row],[Current mortgage rate]]</f>
        <v>1382.0481917281213</v>
      </c>
      <c r="J230" s="25">
        <f>IF(Table1[[#This Row],[Month]]&gt;Table7[Amortization period (yrs)]*12,0,IF(Table1[[#This Row],[Month]]&lt;Table7[mortgage term (yrs)]*12,0,IF(Table1[[#This Row],[Month]]=Table7[mortgage term (yrs)]*12,-H$5,Table1[[#This Row],[Payment amount]]+B230)))</f>
        <v>4377.9977174134756</v>
      </c>
      <c r="K230">
        <v>219</v>
      </c>
      <c r="L230">
        <f>Table7[Initial Monthly Deposit]*Table9[[#This Row],[Inflation Modifier]]</f>
        <v>571.29849903050911</v>
      </c>
      <c r="M230">
        <f xml:space="preserve"> (1+Table7[Inflation])^(QUOTIENT(Table9[[#This Row],[Month]]-1,12))</f>
        <v>1.4282462475762727</v>
      </c>
      <c r="N230">
        <f>N229*(1+Table7[Monthly SF Inter])+Table9[[#This Row],[Monthly Payment]]-O229*(1+Table7[Monthly SF Inter])</f>
        <v>1720.9731731276756</v>
      </c>
      <c r="O230">
        <f>IF(MOD(Table9[[#This Row],[Month]],12)=0,(IF(Table9[[#This Row],[Current Balance]]&lt;Table9[[#This Row],[Max Lump Sum ]],Table9[[#This Row],[Current Balance]],Table9[[#This Row],[Max Lump Sum ]])),0)</f>
        <v>0</v>
      </c>
      <c r="P230" s="21">
        <f>Table7[Max annual lump sum repayment]*SUM(C231:C242)</f>
        <v>7880.3958913442566</v>
      </c>
      <c r="Q230" s="25">
        <f>Q229*(1+Table7[Monthly SF Inter])+Table9[[#This Row],[Inflation Modifier]]-R229*(1+Table7[Monthly SF Inter])</f>
        <v>4.3024329328191868</v>
      </c>
      <c r="R230" s="25">
        <f>IF(MOD(Table9[[#This Row],[Month]],12)=0,Table9[[#This Row],[Q2 ACC FACTOR]],0)</f>
        <v>0</v>
      </c>
      <c r="S230" s="25">
        <f>S229*(1+D229)+Table9[[#This Row],[ACC FACTOR PAYMENTS]]</f>
        <v>438.17022690988063</v>
      </c>
    </row>
    <row r="231" spans="1:19" x14ac:dyDescent="0.25">
      <c r="A231" s="1">
        <v>219</v>
      </c>
      <c r="B231" s="1">
        <f t="shared" si="3"/>
        <v>0</v>
      </c>
      <c r="C231" s="7">
        <f>G$12/-PV(Table7[Monthly mortgage rate], (12*Table7[Amortization period (yrs)]),1 )</f>
        <v>4377.9977174134756</v>
      </c>
      <c r="D231" s="11">
        <f>IF(Table1[[#This Row],[Month]]&lt;=(12*Table7[mortgage term (yrs)]),Table7[Monthly mortgage rate],Table7[Monthly Exp Renewal Rate])</f>
        <v>4.9038466830562122E-3</v>
      </c>
      <c r="E231" s="21">
        <f>Table1[[#This Row],[Current mortgage rate]]*G230</f>
        <v>510.94664159710931</v>
      </c>
      <c r="F231" s="5">
        <f>Table1[[#This Row],[Payment amount]]-Table1[[#This Row],[Interest paid]]</f>
        <v>3867.0510758163664</v>
      </c>
      <c r="G231" s="20">
        <f>G230-Table1[[#This Row],[Principal repaid]]-Table1[[#This Row],[Annual paym]]</f>
        <v>100325.97831935903</v>
      </c>
      <c r="H231" s="20">
        <f>H230-(Table1[[#This Row],[Payment amount]]-Table1[[#This Row],[Interest Paid W/O LSP]])</f>
        <v>275822.81403313461</v>
      </c>
      <c r="I231">
        <f>H230*Table1[[#This Row],[Current mortgage rate]]</f>
        <v>1367.3565145839852</v>
      </c>
      <c r="J231" s="25">
        <f>IF(Table1[[#This Row],[Month]]&gt;Table7[Amortization period (yrs)]*12,0,IF(Table1[[#This Row],[Month]]&lt;Table7[mortgage term (yrs)]*12,0,IF(Table1[[#This Row],[Month]]=Table7[mortgage term (yrs)]*12,-H$5,Table1[[#This Row],[Payment amount]]+B231)))</f>
        <v>4377.9977174134756</v>
      </c>
      <c r="K231">
        <v>220</v>
      </c>
      <c r="L231">
        <f>Table7[Initial Monthly Deposit]*Table9[[#This Row],[Inflation Modifier]]</f>
        <v>571.29849903050911</v>
      </c>
      <c r="M231">
        <f xml:space="preserve"> (1+Table7[Inflation])^(QUOTIENT(Table9[[#This Row],[Month]]-1,12))</f>
        <v>1.4282462475762727</v>
      </c>
      <c r="N231">
        <f>N230*(1+Table7[Monthly SF Inter])+Table9[[#This Row],[Monthly Payment]]-O230*(1+Table7[Monthly SF Inter])</f>
        <v>2299.3688200419442</v>
      </c>
      <c r="O231">
        <f>IF(MOD(Table9[[#This Row],[Month]],12)=0,(IF(Table9[[#This Row],[Current Balance]]&lt;Table9[[#This Row],[Max Lump Sum ]],Table9[[#This Row],[Current Balance]],Table9[[#This Row],[Max Lump Sum ]])),0)</f>
        <v>0</v>
      </c>
      <c r="P231" s="21">
        <f>Table7[Max annual lump sum repayment]*SUM(C232:C243)</f>
        <v>7880.3958913442566</v>
      </c>
      <c r="Q231" s="25">
        <f>Q230*(1+Table7[Monthly SF Inter])+Table9[[#This Row],[Inflation Modifier]]-R230*(1+Table7[Monthly SF Inter])</f>
        <v>5.7484220501048586</v>
      </c>
      <c r="R231" s="25">
        <f>IF(MOD(Table9[[#This Row],[Month]],12)=0,Table9[[#This Row],[Q2 ACC FACTOR]],0)</f>
        <v>0</v>
      </c>
      <c r="S231" s="25">
        <f>S230*(1+D230)+Table9[[#This Row],[ACC FACTOR PAYMENTS]]</f>
        <v>440.31894652372665</v>
      </c>
    </row>
    <row r="232" spans="1:19" x14ac:dyDescent="0.25">
      <c r="A232" s="1">
        <v>220</v>
      </c>
      <c r="B232" s="1">
        <f t="shared" si="3"/>
        <v>0</v>
      </c>
      <c r="C232" s="7">
        <f>G$12/-PV(Table7[Monthly mortgage rate], (12*Table7[Amortization period (yrs)]),1 )</f>
        <v>4377.9977174134756</v>
      </c>
      <c r="D232" s="11">
        <f>IF(Table1[[#This Row],[Month]]&lt;=(12*Table7[mortgage term (yrs)]),Table7[Monthly mortgage rate],Table7[Monthly Exp Renewal Rate])</f>
        <v>4.9038466830562122E-3</v>
      </c>
      <c r="E232" s="21">
        <f>Table1[[#This Row],[Current mortgage rate]]*G231</f>
        <v>491.98321600575821</v>
      </c>
      <c r="F232" s="5">
        <f>Table1[[#This Row],[Payment amount]]-Table1[[#This Row],[Interest paid]]</f>
        <v>3886.0145014077175</v>
      </c>
      <c r="G232" s="20">
        <f>G231-Table1[[#This Row],[Principal repaid]]-Table1[[#This Row],[Annual paym]]</f>
        <v>96439.963817951313</v>
      </c>
      <c r="H232" s="20">
        <f>H231-(Table1[[#This Row],[Payment amount]]-Table1[[#This Row],[Interest Paid W/O LSP]])</f>
        <v>272797.40910742874</v>
      </c>
      <c r="I232">
        <f>H231*Table1[[#This Row],[Current mortgage rate]]</f>
        <v>1352.5927917076176</v>
      </c>
      <c r="J232" s="25">
        <f>IF(Table1[[#This Row],[Month]]&gt;Table7[Amortization period (yrs)]*12,0,IF(Table1[[#This Row],[Month]]&lt;Table7[mortgage term (yrs)]*12,0,IF(Table1[[#This Row],[Month]]=Table7[mortgage term (yrs)]*12,-H$5,Table1[[#This Row],[Payment amount]]+B232)))</f>
        <v>4377.9977174134756</v>
      </c>
      <c r="K232">
        <v>221</v>
      </c>
      <c r="L232">
        <f>Table7[Initial Monthly Deposit]*Table9[[#This Row],[Inflation Modifier]]</f>
        <v>571.29849903050911</v>
      </c>
      <c r="M232">
        <f xml:space="preserve"> (1+Table7[Inflation])^(QUOTIENT(Table9[[#This Row],[Month]]-1,12))</f>
        <v>1.4282462475762727</v>
      </c>
      <c r="N232">
        <f>N231*(1+Table7[Monthly SF Inter])+Table9[[#This Row],[Monthly Payment]]-O231*(1+Table7[Monthly SF Inter])</f>
        <v>2880.1497217094948</v>
      </c>
      <c r="O232">
        <f>IF(MOD(Table9[[#This Row],[Month]],12)=0,(IF(Table9[[#This Row],[Current Balance]]&lt;Table9[[#This Row],[Max Lump Sum ]],Table9[[#This Row],[Current Balance]],Table9[[#This Row],[Max Lump Sum ]])),0)</f>
        <v>0</v>
      </c>
      <c r="P232" s="21">
        <f>Table7[Max annual lump sum repayment]*SUM(C233:C244)</f>
        <v>7880.3958913442566</v>
      </c>
      <c r="Q232" s="25">
        <f>Q231*(1+Table7[Monthly SF Inter])+Table9[[#This Row],[Inflation Modifier]]-R231*(1+Table7[Monthly SF Inter])</f>
        <v>7.2003743042737351</v>
      </c>
      <c r="R232" s="25">
        <f>IF(MOD(Table9[[#This Row],[Month]],12)=0,Table9[[#This Row],[Q2 ACC FACTOR]],0)</f>
        <v>0</v>
      </c>
      <c r="S232" s="25">
        <f>S231*(1+D231)+Table9[[#This Row],[ACC FACTOR PAYMENTS]]</f>
        <v>442.47820312912381</v>
      </c>
    </row>
    <row r="233" spans="1:19" x14ac:dyDescent="0.25">
      <c r="A233" s="1">
        <v>221</v>
      </c>
      <c r="B233" s="1">
        <f t="shared" si="3"/>
        <v>0</v>
      </c>
      <c r="C233" s="7">
        <f>G$12/-PV(Table7[Monthly mortgage rate], (12*Table7[Amortization period (yrs)]),1 )</f>
        <v>4377.9977174134756</v>
      </c>
      <c r="D233" s="11">
        <f>IF(Table1[[#This Row],[Month]]&lt;=(12*Table7[mortgage term (yrs)]),Table7[Monthly mortgage rate],Table7[Monthly Exp Renewal Rate])</f>
        <v>4.9038466830562122E-3</v>
      </c>
      <c r="E233" s="21">
        <f>Table1[[#This Row],[Current mortgage rate]]*G232</f>
        <v>472.92679668272166</v>
      </c>
      <c r="F233" s="5">
        <f>Table1[[#This Row],[Payment amount]]-Table1[[#This Row],[Interest paid]]</f>
        <v>3905.0709207307541</v>
      </c>
      <c r="G233" s="20">
        <f>G232-Table1[[#This Row],[Principal repaid]]-Table1[[#This Row],[Annual paym]]</f>
        <v>92534.892897220561</v>
      </c>
      <c r="H233" s="20">
        <f>H232-(Table1[[#This Row],[Payment amount]]-Table1[[#This Row],[Interest Paid W/O LSP]])</f>
        <v>269757.16805981303</v>
      </c>
      <c r="I233">
        <f>H232*Table1[[#This Row],[Current mortgage rate]]</f>
        <v>1337.7566697977929</v>
      </c>
      <c r="J233" s="25">
        <f>IF(Table1[[#This Row],[Month]]&gt;Table7[Amortization period (yrs)]*12,0,IF(Table1[[#This Row],[Month]]&lt;Table7[mortgage term (yrs)]*12,0,IF(Table1[[#This Row],[Month]]=Table7[mortgage term (yrs)]*12,-H$5,Table1[[#This Row],[Payment amount]]+B233)))</f>
        <v>4377.9977174134756</v>
      </c>
      <c r="K233">
        <v>222</v>
      </c>
      <c r="L233">
        <f>Table7[Initial Monthly Deposit]*Table9[[#This Row],[Inflation Modifier]]</f>
        <v>571.29849903050911</v>
      </c>
      <c r="M233">
        <f xml:space="preserve"> (1+Table7[Inflation])^(QUOTIENT(Table9[[#This Row],[Month]]-1,12))</f>
        <v>1.4282462475762727</v>
      </c>
      <c r="N233">
        <f>N232*(1+Table7[Monthly SF Inter])+Table9[[#This Row],[Monthly Payment]]-O232*(1+Table7[Monthly SF Inter])</f>
        <v>3463.3257147192926</v>
      </c>
      <c r="O233">
        <f>IF(MOD(Table9[[#This Row],[Month]],12)=0,(IF(Table9[[#This Row],[Current Balance]]&lt;Table9[[#This Row],[Max Lump Sum ]],Table9[[#This Row],[Current Balance]],Table9[[#This Row],[Max Lump Sum ]])),0)</f>
        <v>0</v>
      </c>
      <c r="P233" s="21">
        <f>Table7[Max annual lump sum repayment]*SUM(C234:C245)</f>
        <v>7880.3958913442566</v>
      </c>
      <c r="Q233" s="25">
        <f>Q232*(1+Table7[Monthly SF Inter])+Table9[[#This Row],[Inflation Modifier]]-R232*(1+Table7[Monthly SF Inter])</f>
        <v>8.6583142867982286</v>
      </c>
      <c r="R233" s="25">
        <f>IF(MOD(Table9[[#This Row],[Month]],12)=0,Table9[[#This Row],[Q2 ACC FACTOR]],0)</f>
        <v>0</v>
      </c>
      <c r="S233" s="25">
        <f>S232*(1+D232)+Table9[[#This Row],[ACC FACTOR PAYMENTS]]</f>
        <v>444.64804839786325</v>
      </c>
    </row>
    <row r="234" spans="1:19" x14ac:dyDescent="0.25">
      <c r="A234" s="1">
        <v>222</v>
      </c>
      <c r="B234" s="1">
        <f t="shared" si="3"/>
        <v>0</v>
      </c>
      <c r="C234" s="7">
        <f>G$12/-PV(Table7[Monthly mortgage rate], (12*Table7[Amortization period (yrs)]),1 )</f>
        <v>4377.9977174134756</v>
      </c>
      <c r="D234" s="11">
        <f>IF(Table1[[#This Row],[Month]]&lt;=(12*Table7[mortgage term (yrs)]),Table7[Monthly mortgage rate],Table7[Monthly Exp Renewal Rate])</f>
        <v>4.9038466830562122E-3</v>
      </c>
      <c r="E234" s="21">
        <f>Table1[[#This Row],[Current mortgage rate]]*G233</f>
        <v>453.77692760099688</v>
      </c>
      <c r="F234" s="5">
        <f>Table1[[#This Row],[Payment amount]]-Table1[[#This Row],[Interest paid]]</f>
        <v>3924.2207898124789</v>
      </c>
      <c r="G234" s="20">
        <f>G233-Table1[[#This Row],[Principal repaid]]-Table1[[#This Row],[Annual paym]]</f>
        <v>88610.672107408085</v>
      </c>
      <c r="H234" s="20">
        <f>H233-(Table1[[#This Row],[Payment amount]]-Table1[[#This Row],[Interest Paid W/O LSP]])</f>
        <v>266702.01813622029</v>
      </c>
      <c r="I234">
        <f>H233*Table1[[#This Row],[Current mortgage rate]]</f>
        <v>1322.8477938207513</v>
      </c>
      <c r="J234" s="25">
        <f>IF(Table1[[#This Row],[Month]]&gt;Table7[Amortization period (yrs)]*12,0,IF(Table1[[#This Row],[Month]]&lt;Table7[mortgage term (yrs)]*12,0,IF(Table1[[#This Row],[Month]]=Table7[mortgage term (yrs)]*12,-H$5,Table1[[#This Row],[Payment amount]]+B234)))</f>
        <v>4377.9977174134756</v>
      </c>
      <c r="K234">
        <v>223</v>
      </c>
      <c r="L234">
        <f>Table7[Initial Monthly Deposit]*Table9[[#This Row],[Inflation Modifier]]</f>
        <v>571.29849903050911</v>
      </c>
      <c r="M234">
        <f xml:space="preserve"> (1+Table7[Inflation])^(QUOTIENT(Table9[[#This Row],[Month]]-1,12))</f>
        <v>1.4282462475762727</v>
      </c>
      <c r="N234">
        <f>N233*(1+Table7[Monthly SF Inter])+Table9[[#This Row],[Monthly Payment]]-O233*(1+Table7[Monthly SF Inter])</f>
        <v>4048.9066762255643</v>
      </c>
      <c r="O234">
        <f>IF(MOD(Table9[[#This Row],[Month]],12)=0,(IF(Table9[[#This Row],[Current Balance]]&lt;Table9[[#This Row],[Max Lump Sum ]],Table9[[#This Row],[Current Balance]],Table9[[#This Row],[Max Lump Sum ]])),0)</f>
        <v>0</v>
      </c>
      <c r="P234" s="21">
        <f>Table7[Max annual lump sum repayment]*SUM(C235:C246)</f>
        <v>7880.3958913442566</v>
      </c>
      <c r="Q234" s="25">
        <f>Q233*(1+Table7[Monthly SF Inter])+Table9[[#This Row],[Inflation Modifier]]-R233*(1+Table7[Monthly SF Inter])</f>
        <v>10.122266690563906</v>
      </c>
      <c r="R234" s="25">
        <f>IF(MOD(Table9[[#This Row],[Month]],12)=0,Table9[[#This Row],[Q2 ACC FACTOR]],0)</f>
        <v>0</v>
      </c>
      <c r="S234" s="25">
        <f>S233*(1+D233)+Table9[[#This Row],[ACC FACTOR PAYMENTS]]</f>
        <v>446.82853425512656</v>
      </c>
    </row>
    <row r="235" spans="1:19" x14ac:dyDescent="0.25">
      <c r="A235" s="1">
        <v>223</v>
      </c>
      <c r="B235" s="1">
        <f t="shared" si="3"/>
        <v>0</v>
      </c>
      <c r="C235" s="7">
        <f>G$12/-PV(Table7[Monthly mortgage rate], (12*Table7[Amortization period (yrs)]),1 )</f>
        <v>4377.9977174134756</v>
      </c>
      <c r="D235" s="11">
        <f>IF(Table1[[#This Row],[Month]]&lt;=(12*Table7[mortgage term (yrs)]),Table7[Monthly mortgage rate],Table7[Monthly Exp Renewal Rate])</f>
        <v>4.9038466830562122E-3</v>
      </c>
      <c r="E235" s="21">
        <f>Table1[[#This Row],[Current mortgage rate]]*G234</f>
        <v>434.53315049729474</v>
      </c>
      <c r="F235" s="5">
        <f>Table1[[#This Row],[Payment amount]]-Table1[[#This Row],[Interest paid]]</f>
        <v>3943.464566916181</v>
      </c>
      <c r="G235" s="20">
        <f>G234-Table1[[#This Row],[Principal repaid]]-Table1[[#This Row],[Annual paym]]</f>
        <v>84667.207540491901</v>
      </c>
      <c r="H235" s="20">
        <f>H234-(Table1[[#This Row],[Payment amount]]-Table1[[#This Row],[Interest Paid W/O LSP]])</f>
        <v>263631.88622580853</v>
      </c>
      <c r="I235">
        <f>H234*Table1[[#This Row],[Current mortgage rate]]</f>
        <v>1307.8658070017016</v>
      </c>
      <c r="J235" s="25">
        <f>IF(Table1[[#This Row],[Month]]&gt;Table7[Amortization period (yrs)]*12,0,IF(Table1[[#This Row],[Month]]&lt;Table7[mortgage term (yrs)]*12,0,IF(Table1[[#This Row],[Month]]=Table7[mortgage term (yrs)]*12,-H$5,Table1[[#This Row],[Payment amount]]+B235)))</f>
        <v>4377.9977174134756</v>
      </c>
      <c r="K235">
        <v>224</v>
      </c>
      <c r="L235">
        <f>Table7[Initial Monthly Deposit]*Table9[[#This Row],[Inflation Modifier]]</f>
        <v>571.29849903050911</v>
      </c>
      <c r="M235">
        <f xml:space="preserve"> (1+Table7[Inflation])^(QUOTIENT(Table9[[#This Row],[Month]]-1,12))</f>
        <v>1.4282462475762727</v>
      </c>
      <c r="N235">
        <f>N234*(1+Table7[Monthly SF Inter])+Table9[[#This Row],[Monthly Payment]]-O234*(1+Table7[Monthly SF Inter])</f>
        <v>4636.9025241150857</v>
      </c>
      <c r="O235">
        <f>IF(MOD(Table9[[#This Row],[Month]],12)=0,(IF(Table9[[#This Row],[Current Balance]]&lt;Table9[[#This Row],[Max Lump Sum ]],Table9[[#This Row],[Current Balance]],Table9[[#This Row],[Max Lump Sum ]])),0)</f>
        <v>0</v>
      </c>
      <c r="P235" s="21">
        <f>Table7[Max annual lump sum repayment]*SUM(C236:C247)</f>
        <v>7880.3958913442566</v>
      </c>
      <c r="Q235" s="25">
        <f>Q234*(1+Table7[Monthly SF Inter])+Table9[[#This Row],[Inflation Modifier]]-R234*(1+Table7[Monthly SF Inter])</f>
        <v>11.592256310287709</v>
      </c>
      <c r="R235" s="25">
        <f>IF(MOD(Table9[[#This Row],[Month]],12)=0,Table9[[#This Row],[Q2 ACC FACTOR]],0)</f>
        <v>0</v>
      </c>
      <c r="S235" s="25">
        <f>S234*(1+D234)+Table9[[#This Row],[ACC FACTOR PAYMENTS]]</f>
        <v>449.01971288072843</v>
      </c>
    </row>
    <row r="236" spans="1:19" x14ac:dyDescent="0.25">
      <c r="A236" s="1">
        <v>224</v>
      </c>
      <c r="B236" s="1">
        <f t="shared" si="3"/>
        <v>0</v>
      </c>
      <c r="C236" s="7">
        <f>G$12/-PV(Table7[Monthly mortgage rate], (12*Table7[Amortization period (yrs)]),1 )</f>
        <v>4377.9977174134756</v>
      </c>
      <c r="D236" s="11">
        <f>IF(Table1[[#This Row],[Month]]&lt;=(12*Table7[mortgage term (yrs)]),Table7[Monthly mortgage rate],Table7[Monthly Exp Renewal Rate])</f>
        <v>4.9038466830562122E-3</v>
      </c>
      <c r="E236" s="21">
        <f>Table1[[#This Row],[Current mortgage rate]]*G235</f>
        <v>415.19500486107313</v>
      </c>
      <c r="F236" s="5">
        <f>Table1[[#This Row],[Payment amount]]-Table1[[#This Row],[Interest paid]]</f>
        <v>3962.8027125524022</v>
      </c>
      <c r="G236" s="20">
        <f>G235-Table1[[#This Row],[Principal repaid]]-Table1[[#This Row],[Annual paym]]</f>
        <v>80704.404827939492</v>
      </c>
      <c r="H236" s="20">
        <f>H235-(Table1[[#This Row],[Payment amount]]-Table1[[#This Row],[Interest Paid W/O LSP]])</f>
        <v>260546.69885921135</v>
      </c>
      <c r="I236">
        <f>H235*Table1[[#This Row],[Current mortgage rate]]</f>
        <v>1292.810350816284</v>
      </c>
      <c r="J236" s="25">
        <f>IF(Table1[[#This Row],[Month]]&gt;Table7[Amortization period (yrs)]*12,0,IF(Table1[[#This Row],[Month]]&lt;Table7[mortgage term (yrs)]*12,0,IF(Table1[[#This Row],[Month]]=Table7[mortgage term (yrs)]*12,-H$5,Table1[[#This Row],[Payment amount]]+B236)))</f>
        <v>4377.9977174134756</v>
      </c>
      <c r="K236">
        <v>225</v>
      </c>
      <c r="L236">
        <f>Table7[Initial Monthly Deposit]*Table9[[#This Row],[Inflation Modifier]]</f>
        <v>571.29849903050911</v>
      </c>
      <c r="M236">
        <f xml:space="preserve"> (1+Table7[Inflation])^(QUOTIENT(Table9[[#This Row],[Month]]-1,12))</f>
        <v>1.4282462475762727</v>
      </c>
      <c r="N236">
        <f>N235*(1+Table7[Monthly SF Inter])+Table9[[#This Row],[Monthly Payment]]-O235*(1+Table7[Monthly SF Inter])</f>
        <v>5227.3232171751597</v>
      </c>
      <c r="O236">
        <f>IF(MOD(Table9[[#This Row],[Month]],12)=0,(IF(Table9[[#This Row],[Current Balance]]&lt;Table9[[#This Row],[Max Lump Sum ]],Table9[[#This Row],[Current Balance]],Table9[[#This Row],[Max Lump Sum ]])),0)</f>
        <v>0</v>
      </c>
      <c r="P236" s="21">
        <f>Table7[Max annual lump sum repayment]*SUM(C237:C248)</f>
        <v>7880.3958913442566</v>
      </c>
      <c r="Q236" s="25">
        <f>Q235*(1+Table7[Monthly SF Inter])+Table9[[#This Row],[Inflation Modifier]]-R235*(1+Table7[Monthly SF Inter])</f>
        <v>13.068308042937893</v>
      </c>
      <c r="R236" s="25">
        <f>IF(MOD(Table9[[#This Row],[Month]],12)=0,Table9[[#This Row],[Q2 ACC FACTOR]],0)</f>
        <v>0</v>
      </c>
      <c r="S236" s="25">
        <f>S235*(1+D235)+Table9[[#This Row],[ACC FACTOR PAYMENTS]]</f>
        <v>451.22163671036543</v>
      </c>
    </row>
    <row r="237" spans="1:19" x14ac:dyDescent="0.25">
      <c r="A237" s="1">
        <v>225</v>
      </c>
      <c r="B237" s="1">
        <f t="shared" si="3"/>
        <v>0</v>
      </c>
      <c r="C237" s="7">
        <f>G$12/-PV(Table7[Monthly mortgage rate], (12*Table7[Amortization period (yrs)]),1 )</f>
        <v>4377.9977174134756</v>
      </c>
      <c r="D237" s="11">
        <f>IF(Table1[[#This Row],[Month]]&lt;=(12*Table7[mortgage term (yrs)]),Table7[Monthly mortgage rate],Table7[Monthly Exp Renewal Rate])</f>
        <v>4.9038466830562122E-3</v>
      </c>
      <c r="E237" s="21">
        <f>Table1[[#This Row],[Current mortgage rate]]*G236</f>
        <v>395.76202792351683</v>
      </c>
      <c r="F237" s="5">
        <f>Table1[[#This Row],[Payment amount]]-Table1[[#This Row],[Interest paid]]</f>
        <v>3982.2356894899585</v>
      </c>
      <c r="G237" s="20">
        <f>G236-Table1[[#This Row],[Principal repaid]]-Table1[[#This Row],[Annual paym]]</f>
        <v>76722.169138449535</v>
      </c>
      <c r="H237" s="20">
        <f>H236-(Table1[[#This Row],[Payment amount]]-Table1[[#This Row],[Interest Paid W/O LSP]])</f>
        <v>257446.38220677988</v>
      </c>
      <c r="I237">
        <f>H236*Table1[[#This Row],[Current mortgage rate]]</f>
        <v>1277.6810649819893</v>
      </c>
      <c r="J237" s="25">
        <f>IF(Table1[[#This Row],[Month]]&gt;Table7[Amortization period (yrs)]*12,0,IF(Table1[[#This Row],[Month]]&lt;Table7[mortgage term (yrs)]*12,0,IF(Table1[[#This Row],[Month]]=Table7[mortgage term (yrs)]*12,-H$5,Table1[[#This Row],[Payment amount]]+B237)))</f>
        <v>4377.9977174134756</v>
      </c>
      <c r="K237">
        <v>226</v>
      </c>
      <c r="L237">
        <f>Table7[Initial Monthly Deposit]*Table9[[#This Row],[Inflation Modifier]]</f>
        <v>571.29849903050911</v>
      </c>
      <c r="M237">
        <f xml:space="preserve"> (1+Table7[Inflation])^(QUOTIENT(Table9[[#This Row],[Month]]-1,12))</f>
        <v>1.4282462475762727</v>
      </c>
      <c r="N237">
        <f>N236*(1+Table7[Monthly SF Inter])+Table9[[#This Row],[Monthly Payment]]-O236*(1+Table7[Monthly SF Inter])</f>
        <v>5820.1787552622854</v>
      </c>
      <c r="O237">
        <f>IF(MOD(Table9[[#This Row],[Month]],12)=0,(IF(Table9[[#This Row],[Current Balance]]&lt;Table9[[#This Row],[Max Lump Sum ]],Table9[[#This Row],[Current Balance]],Table9[[#This Row],[Max Lump Sum ]])),0)</f>
        <v>0</v>
      </c>
      <c r="P237" s="21">
        <f>Table7[Max annual lump sum repayment]*SUM(C238:C249)</f>
        <v>7880.3958913442566</v>
      </c>
      <c r="Q237" s="25">
        <f>Q236*(1+Table7[Monthly SF Inter])+Table9[[#This Row],[Inflation Modifier]]-R236*(1+Table7[Monthly SF Inter])</f>
        <v>14.550446888155706</v>
      </c>
      <c r="R237" s="25">
        <f>IF(MOD(Table9[[#This Row],[Month]],12)=0,Table9[[#This Row],[Q2 ACC FACTOR]],0)</f>
        <v>0</v>
      </c>
      <c r="S237" s="25">
        <f>S236*(1+D236)+Table9[[#This Row],[ACC FACTOR PAYMENTS]]</f>
        <v>453.43435843687075</v>
      </c>
    </row>
    <row r="238" spans="1:19" x14ac:dyDescent="0.25">
      <c r="A238" s="1">
        <v>226</v>
      </c>
      <c r="B238" s="1">
        <f t="shared" si="3"/>
        <v>0</v>
      </c>
      <c r="C238" s="7">
        <f>G$12/-PV(Table7[Monthly mortgage rate], (12*Table7[Amortization period (yrs)]),1 )</f>
        <v>4377.9977174134756</v>
      </c>
      <c r="D238" s="11">
        <f>IF(Table1[[#This Row],[Month]]&lt;=(12*Table7[mortgage term (yrs)]),Table7[Monthly mortgage rate],Table7[Monthly Exp Renewal Rate])</f>
        <v>4.9038466830562122E-3</v>
      </c>
      <c r="E238" s="21">
        <f>Table1[[#This Row],[Current mortgage rate]]*G237</f>
        <v>376.23375464646347</v>
      </c>
      <c r="F238" s="5">
        <f>Table1[[#This Row],[Payment amount]]-Table1[[#This Row],[Interest paid]]</f>
        <v>4001.7639627670123</v>
      </c>
      <c r="G238" s="20">
        <f>G237-Table1[[#This Row],[Principal repaid]]-Table1[[#This Row],[Annual paym]]</f>
        <v>72720.405175682521</v>
      </c>
      <c r="H238" s="20">
        <f>H237-(Table1[[#This Row],[Payment amount]]-Table1[[#This Row],[Interest Paid W/O LSP]])</f>
        <v>254330.86207681595</v>
      </c>
      <c r="I238">
        <f>H237*Table1[[#This Row],[Current mortgage rate]]</f>
        <v>1262.4775874495394</v>
      </c>
      <c r="J238" s="25">
        <f>IF(Table1[[#This Row],[Month]]&gt;Table7[Amortization period (yrs)]*12,0,IF(Table1[[#This Row],[Month]]&lt;Table7[mortgage term (yrs)]*12,0,IF(Table1[[#This Row],[Month]]=Table7[mortgage term (yrs)]*12,-H$5,Table1[[#This Row],[Payment amount]]+B238)))</f>
        <v>4377.9977174134756</v>
      </c>
      <c r="K238">
        <v>227</v>
      </c>
      <c r="L238">
        <f>Table7[Initial Monthly Deposit]*Table9[[#This Row],[Inflation Modifier]]</f>
        <v>571.29849903050911</v>
      </c>
      <c r="M238">
        <f xml:space="preserve"> (1+Table7[Inflation])^(QUOTIENT(Table9[[#This Row],[Month]]-1,12))</f>
        <v>1.4282462475762727</v>
      </c>
      <c r="N238">
        <f>N237*(1+Table7[Monthly SF Inter])+Table9[[#This Row],[Monthly Payment]]-O237*(1+Table7[Monthly SF Inter])</f>
        <v>6415.4791794715247</v>
      </c>
      <c r="O238">
        <f>IF(MOD(Table9[[#This Row],[Month]],12)=0,(IF(Table9[[#This Row],[Current Balance]]&lt;Table9[[#This Row],[Max Lump Sum ]],Table9[[#This Row],[Current Balance]],Table9[[#This Row],[Max Lump Sum ]])),0)</f>
        <v>0</v>
      </c>
      <c r="P238" s="21">
        <f>Table7[Max annual lump sum repayment]*SUM(C239:C250)</f>
        <v>7880.3958913442566</v>
      </c>
      <c r="Q238" s="25">
        <f>Q237*(1+Table7[Monthly SF Inter])+Table9[[#This Row],[Inflation Modifier]]-R237*(1+Table7[Monthly SF Inter])</f>
        <v>16.038697948678806</v>
      </c>
      <c r="R238" s="25">
        <f>IF(MOD(Table9[[#This Row],[Month]],12)=0,Table9[[#This Row],[Q2 ACC FACTOR]],0)</f>
        <v>0</v>
      </c>
      <c r="S238" s="25">
        <f>S237*(1+D237)+Table9[[#This Row],[ACC FACTOR PAYMENTS]]</f>
        <v>455.65793101147511</v>
      </c>
    </row>
    <row r="239" spans="1:19" x14ac:dyDescent="0.25">
      <c r="A239" s="1">
        <v>227</v>
      </c>
      <c r="B239" s="1">
        <f t="shared" si="3"/>
        <v>0</v>
      </c>
      <c r="C239" s="7">
        <f>G$12/-PV(Table7[Monthly mortgage rate], (12*Table7[Amortization period (yrs)]),1 )</f>
        <v>4377.9977174134756</v>
      </c>
      <c r="D239" s="11">
        <f>IF(Table1[[#This Row],[Month]]&lt;=(12*Table7[mortgage term (yrs)]),Table7[Monthly mortgage rate],Table7[Monthly Exp Renewal Rate])</f>
        <v>4.9038466830562122E-3</v>
      </c>
      <c r="E239" s="21">
        <f>Table1[[#This Row],[Current mortgage rate]]*G238</f>
        <v>356.60971771127453</v>
      </c>
      <c r="F239" s="5">
        <f>Table1[[#This Row],[Payment amount]]-Table1[[#This Row],[Interest paid]]</f>
        <v>4021.3879997022009</v>
      </c>
      <c r="G239" s="20">
        <f>G238-Table1[[#This Row],[Principal repaid]]-Table1[[#This Row],[Annual paym]]</f>
        <v>68699.01717598032</v>
      </c>
      <c r="H239" s="20">
        <f>H238-(Table1[[#This Row],[Payment amount]]-Table1[[#This Row],[Interest Paid W/O LSP]])</f>
        <v>251200.06391379668</v>
      </c>
      <c r="I239">
        <f>H238*Table1[[#This Row],[Current mortgage rate]]</f>
        <v>1247.199554394221</v>
      </c>
      <c r="J239" s="25">
        <f>IF(Table1[[#This Row],[Month]]&gt;Table7[Amortization period (yrs)]*12,0,IF(Table1[[#This Row],[Month]]&lt;Table7[mortgage term (yrs)]*12,0,IF(Table1[[#This Row],[Month]]=Table7[mortgage term (yrs)]*12,-H$5,Table1[[#This Row],[Payment amount]]+B239)))</f>
        <v>4377.9977174134756</v>
      </c>
      <c r="K239">
        <v>228</v>
      </c>
      <c r="L239">
        <f>Table7[Initial Monthly Deposit]*Table9[[#This Row],[Inflation Modifier]]</f>
        <v>571.29849903050911</v>
      </c>
      <c r="M239">
        <f xml:space="preserve"> (1+Table7[Inflation])^(QUOTIENT(Table9[[#This Row],[Month]]-1,12))</f>
        <v>1.4282462475762727</v>
      </c>
      <c r="N239">
        <f>N238*(1+Table7[Monthly SF Inter])+Table9[[#This Row],[Monthly Payment]]-O238*(1+Table7[Monthly SF Inter])</f>
        <v>7013.2345723065673</v>
      </c>
      <c r="O239">
        <f>IF(MOD(Table9[[#This Row],[Month]],12)=0,(IF(Table9[[#This Row],[Current Balance]]&lt;Table9[[#This Row],[Max Lump Sum ]],Table9[[#This Row],[Current Balance]],Table9[[#This Row],[Max Lump Sum ]])),0)</f>
        <v>7013.2345723065673</v>
      </c>
      <c r="P239" s="21">
        <f>Table7[Max annual lump sum repayment]*SUM(C240:C251)</f>
        <v>7880.3958913442566</v>
      </c>
      <c r="Q239" s="25">
        <f>Q238*(1+Table7[Monthly SF Inter])+Table9[[#This Row],[Inflation Modifier]]-R238*(1+Table7[Monthly SF Inter])</f>
        <v>17.53308643076641</v>
      </c>
      <c r="R239" s="25">
        <f>IF(MOD(Table9[[#This Row],[Month]],12)=0,Table9[[#This Row],[Q2 ACC FACTOR]],0)</f>
        <v>17.53308643076641</v>
      </c>
      <c r="S239" s="25">
        <f>S238*(1+D238)+Table9[[#This Row],[ACC FACTOR PAYMENTS]]</f>
        <v>475.42549407584039</v>
      </c>
    </row>
    <row r="240" spans="1:19" x14ac:dyDescent="0.25">
      <c r="A240" s="1">
        <v>228</v>
      </c>
      <c r="B240" s="1">
        <f t="shared" si="3"/>
        <v>7013.2345723065673</v>
      </c>
      <c r="C240" s="7">
        <f>G$12/-PV(Table7[Monthly mortgage rate], (12*Table7[Amortization period (yrs)]),1 )</f>
        <v>4377.9977174134756</v>
      </c>
      <c r="D240" s="11">
        <f>IF(Table1[[#This Row],[Month]]&lt;=(12*Table7[mortgage term (yrs)]),Table7[Monthly mortgage rate],Table7[Monthly Exp Renewal Rate])</f>
        <v>4.9038466830562122E-3</v>
      </c>
      <c r="E240" s="21">
        <f>Table1[[#This Row],[Current mortgage rate]]*G239</f>
        <v>336.88944750765285</v>
      </c>
      <c r="F240" s="5">
        <f>Table1[[#This Row],[Payment amount]]-Table1[[#This Row],[Interest paid]]</f>
        <v>4041.1082699058229</v>
      </c>
      <c r="G240" s="20">
        <f>G239-Table1[[#This Row],[Principal repaid]]-Table1[[#This Row],[Annual paym]]</f>
        <v>57644.674333767929</v>
      </c>
      <c r="H240" s="20">
        <f>H239-(Table1[[#This Row],[Payment amount]]-Table1[[#This Row],[Interest Paid W/O LSP]])</f>
        <v>248053.91279659039</v>
      </c>
      <c r="I240">
        <f>H239*Table1[[#This Row],[Current mortgage rate]]</f>
        <v>1231.8466002071802</v>
      </c>
      <c r="J240" s="25">
        <f>IF(Table1[[#This Row],[Month]]&gt;Table7[Amortization period (yrs)]*12,0,IF(Table1[[#This Row],[Month]]&lt;Table7[mortgage term (yrs)]*12,0,IF(Table1[[#This Row],[Month]]=Table7[mortgage term (yrs)]*12,-H$5,Table1[[#This Row],[Payment amount]]+B240)))</f>
        <v>11391.232289720043</v>
      </c>
      <c r="K240">
        <v>229</v>
      </c>
      <c r="L240">
        <f>Table7[Initial Monthly Deposit]*Table9[[#This Row],[Inflation Modifier]]</f>
        <v>582.72446901111925</v>
      </c>
      <c r="M240">
        <f xml:space="preserve"> (1+Table7[Inflation])^(QUOTIENT(Table9[[#This Row],[Month]]-1,12))</f>
        <v>1.4568111725277981</v>
      </c>
      <c r="N240">
        <f>N239*(1+Table7[Monthly SF Inter])+Table9[[#This Row],[Monthly Payment]]-O239*(1+Table7[Monthly SF Inter])</f>
        <v>582.72446901111925</v>
      </c>
      <c r="O240">
        <f>IF(MOD(Table9[[#This Row],[Month]],12)=0,(IF(Table9[[#This Row],[Current Balance]]&lt;Table9[[#This Row],[Max Lump Sum ]],Table9[[#This Row],[Current Balance]],Table9[[#This Row],[Max Lump Sum ]])),0)</f>
        <v>0</v>
      </c>
      <c r="P240" s="21">
        <f>Table7[Max annual lump sum repayment]*SUM(C241:C252)</f>
        <v>7880.3958913442566</v>
      </c>
      <c r="Q240" s="25">
        <f>Q239*(1+Table7[Monthly SF Inter])+Table9[[#This Row],[Inflation Modifier]]-R239*(1+Table7[Monthly SF Inter])</f>
        <v>1.4568111725277966</v>
      </c>
      <c r="R240" s="25">
        <f>IF(MOD(Table9[[#This Row],[Month]],12)=0,Table9[[#This Row],[Q2 ACC FACTOR]],0)</f>
        <v>0</v>
      </c>
      <c r="S240" s="25">
        <f>S239*(1+D239)+Table9[[#This Row],[ACC FACTOR PAYMENTS]]</f>
        <v>477.75690780800454</v>
      </c>
    </row>
    <row r="241" spans="1:19" x14ac:dyDescent="0.25">
      <c r="A241" s="1">
        <v>229</v>
      </c>
      <c r="B241" s="1">
        <f t="shared" si="3"/>
        <v>0</v>
      </c>
      <c r="C241" s="7">
        <f>G$12/-PV(Table7[Monthly mortgage rate], (12*Table7[Amortization period (yrs)]),1 )</f>
        <v>4377.9977174134756</v>
      </c>
      <c r="D241" s="11">
        <f>IF(Table1[[#This Row],[Month]]&lt;=(12*Table7[mortgage term (yrs)]),Table7[Monthly mortgage rate],Table7[Monthly Exp Renewal Rate])</f>
        <v>4.9038466830562122E-3</v>
      </c>
      <c r="E241" s="21">
        <f>Table1[[#This Row],[Current mortgage rate]]*G240</f>
        <v>282.68064502750343</v>
      </c>
      <c r="F241" s="5">
        <f>Table1[[#This Row],[Payment amount]]-Table1[[#This Row],[Interest paid]]</f>
        <v>4095.3170723859721</v>
      </c>
      <c r="G241" s="20">
        <f>G240-Table1[[#This Row],[Principal repaid]]-Table1[[#This Row],[Annual paym]]</f>
        <v>53549.357261381956</v>
      </c>
      <c r="H241" s="20">
        <f>H240-(Table1[[#This Row],[Payment amount]]-Table1[[#This Row],[Interest Paid W/O LSP]])</f>
        <v>244892.33343666358</v>
      </c>
      <c r="I241">
        <f>H240*Table1[[#This Row],[Current mortgage rate]]</f>
        <v>1216.4183574866747</v>
      </c>
      <c r="J241" s="25">
        <f>IF(Table1[[#This Row],[Month]]&gt;Table7[Amortization period (yrs)]*12,0,IF(Table1[[#This Row],[Month]]&lt;Table7[mortgage term (yrs)]*12,0,IF(Table1[[#This Row],[Month]]=Table7[mortgage term (yrs)]*12,-H$5,Table1[[#This Row],[Payment amount]]+B241)))</f>
        <v>4377.9977174134756</v>
      </c>
      <c r="K241">
        <v>230</v>
      </c>
      <c r="L241">
        <f>Table7[Initial Monthly Deposit]*Table9[[#This Row],[Inflation Modifier]]</f>
        <v>582.72446901111925</v>
      </c>
      <c r="M241">
        <f xml:space="preserve"> (1+Table7[Inflation])^(QUOTIENT(Table9[[#This Row],[Month]]-1,12))</f>
        <v>1.4568111725277981</v>
      </c>
      <c r="N241">
        <f>N240*(1+Table7[Monthly SF Inter])+Table9[[#This Row],[Monthly Payment]]-O240*(1+Table7[Monthly SF Inter])</f>
        <v>1167.8520444719115</v>
      </c>
      <c r="O241">
        <f>IF(MOD(Table9[[#This Row],[Month]],12)=0,(IF(Table9[[#This Row],[Current Balance]]&lt;Table9[[#This Row],[Max Lump Sum ]],Table9[[#This Row],[Current Balance]],Table9[[#This Row],[Max Lump Sum ]])),0)</f>
        <v>0</v>
      </c>
      <c r="P241" s="21">
        <f>Table7[Max annual lump sum repayment]*SUM(C242:C253)</f>
        <v>7880.3958913442566</v>
      </c>
      <c r="Q241" s="25">
        <f>Q240*(1+Table7[Monthly SF Inter])+Table9[[#This Row],[Inflation Modifier]]-R240*(1+Table7[Monthly SF Inter])</f>
        <v>2.9196301111797771</v>
      </c>
      <c r="R241" s="25">
        <f>IF(MOD(Table9[[#This Row],[Month]],12)=0,Table9[[#This Row],[Q2 ACC FACTOR]],0)</f>
        <v>0</v>
      </c>
      <c r="S241" s="25">
        <f>S240*(1+D240)+Table9[[#This Row],[ACC FACTOR PAYMENTS]]</f>
        <v>480.099754435666</v>
      </c>
    </row>
    <row r="242" spans="1:19" x14ac:dyDescent="0.25">
      <c r="A242" s="1">
        <v>230</v>
      </c>
      <c r="B242" s="1">
        <f t="shared" si="3"/>
        <v>0</v>
      </c>
      <c r="C242" s="7">
        <f>G$12/-PV(Table7[Monthly mortgage rate], (12*Table7[Amortization period (yrs)]),1 )</f>
        <v>4377.9977174134756</v>
      </c>
      <c r="D242" s="11">
        <f>IF(Table1[[#This Row],[Month]]&lt;=(12*Table7[mortgage term (yrs)]),Table7[Monthly mortgage rate],Table7[Monthly Exp Renewal Rate])</f>
        <v>4.9038466830562122E-3</v>
      </c>
      <c r="E242" s="21">
        <f>Table1[[#This Row],[Current mortgage rate]]*G241</f>
        <v>262.59783798602001</v>
      </c>
      <c r="F242" s="5">
        <f>Table1[[#This Row],[Payment amount]]-Table1[[#This Row],[Interest paid]]</f>
        <v>4115.3998794274557</v>
      </c>
      <c r="G242" s="20">
        <f>G241-Table1[[#This Row],[Principal repaid]]-Table1[[#This Row],[Annual paym]]</f>
        <v>49433.957381954504</v>
      </c>
      <c r="H242" s="20">
        <f>H241-(Table1[[#This Row],[Payment amount]]-Table1[[#This Row],[Interest Paid W/O LSP]])</f>
        <v>241715.2501762794</v>
      </c>
      <c r="I242">
        <f>H241*Table1[[#This Row],[Current mortgage rate]]</f>
        <v>1200.9144570292785</v>
      </c>
      <c r="J242" s="25">
        <f>IF(Table1[[#This Row],[Month]]&gt;Table7[Amortization period (yrs)]*12,0,IF(Table1[[#This Row],[Month]]&lt;Table7[mortgage term (yrs)]*12,0,IF(Table1[[#This Row],[Month]]=Table7[mortgage term (yrs)]*12,-H$5,Table1[[#This Row],[Payment amount]]+B242)))</f>
        <v>4377.9977174134756</v>
      </c>
      <c r="K242">
        <v>231</v>
      </c>
      <c r="L242">
        <f>Table7[Initial Monthly Deposit]*Table9[[#This Row],[Inflation Modifier]]</f>
        <v>582.72446901111925</v>
      </c>
      <c r="M242">
        <f xml:space="preserve"> (1+Table7[Inflation])^(QUOTIENT(Table9[[#This Row],[Month]]-1,12))</f>
        <v>1.4568111725277981</v>
      </c>
      <c r="N242">
        <f>N241*(1+Table7[Monthly SF Inter])+Table9[[#This Row],[Monthly Payment]]-O241*(1+Table7[Monthly SF Inter])</f>
        <v>1755.3926365902289</v>
      </c>
      <c r="O242">
        <f>IF(MOD(Table9[[#This Row],[Month]],12)=0,(IF(Table9[[#This Row],[Current Balance]]&lt;Table9[[#This Row],[Max Lump Sum ]],Table9[[#This Row],[Current Balance]],Table9[[#This Row],[Max Lump Sum ]])),0)</f>
        <v>0</v>
      </c>
      <c r="P242" s="21">
        <f>Table7[Max annual lump sum repayment]*SUM(C243:C254)</f>
        <v>7880.3958913442566</v>
      </c>
      <c r="Q242" s="25">
        <f>Q241*(1+Table7[Monthly SF Inter])+Table9[[#This Row],[Inflation Modifier]]-R241*(1+Table7[Monthly SF Inter])</f>
        <v>4.3884815914755704</v>
      </c>
      <c r="R242" s="25">
        <f>IF(MOD(Table9[[#This Row],[Month]],12)=0,Table9[[#This Row],[Q2 ACC FACTOR]],0)</f>
        <v>0</v>
      </c>
      <c r="S242" s="25">
        <f>S241*(1+D241)+Table9[[#This Row],[ACC FACTOR PAYMENTS]]</f>
        <v>482.45409002399145</v>
      </c>
    </row>
    <row r="243" spans="1:19" x14ac:dyDescent="0.25">
      <c r="A243" s="1">
        <v>231</v>
      </c>
      <c r="B243" s="1">
        <f t="shared" si="3"/>
        <v>0</v>
      </c>
      <c r="C243" s="7">
        <f>G$12/-PV(Table7[Monthly mortgage rate], (12*Table7[Amortization period (yrs)]),1 )</f>
        <v>4377.9977174134756</v>
      </c>
      <c r="D243" s="11">
        <f>IF(Table1[[#This Row],[Month]]&lt;=(12*Table7[mortgage term (yrs)]),Table7[Monthly mortgage rate],Table7[Monthly Exp Renewal Rate])</f>
        <v>4.9038466830562122E-3</v>
      </c>
      <c r="E243" s="21">
        <f>Table1[[#This Row],[Current mortgage rate]]*G242</f>
        <v>242.41654793783974</v>
      </c>
      <c r="F243" s="5">
        <f>Table1[[#This Row],[Payment amount]]-Table1[[#This Row],[Interest paid]]</f>
        <v>4135.5811694756358</v>
      </c>
      <c r="G243" s="20">
        <f>G242-Table1[[#This Row],[Principal repaid]]-Table1[[#This Row],[Annual paym]]</f>
        <v>45298.37621247887</v>
      </c>
      <c r="H243" s="20">
        <f>H242-(Table1[[#This Row],[Payment amount]]-Table1[[#This Row],[Interest Paid W/O LSP]])</f>
        <v>238522.58698668698</v>
      </c>
      <c r="I243">
        <f>H242*Table1[[#This Row],[Current mortgage rate]]</f>
        <v>1185.3345278210502</v>
      </c>
      <c r="J243" s="25">
        <f>IF(Table1[[#This Row],[Month]]&gt;Table7[Amortization period (yrs)]*12,0,IF(Table1[[#This Row],[Month]]&lt;Table7[mortgage term (yrs)]*12,0,IF(Table1[[#This Row],[Month]]=Table7[mortgage term (yrs)]*12,-H$5,Table1[[#This Row],[Payment amount]]+B243)))</f>
        <v>4377.9977174134756</v>
      </c>
      <c r="K243">
        <v>232</v>
      </c>
      <c r="L243">
        <f>Table7[Initial Monthly Deposit]*Table9[[#This Row],[Inflation Modifier]]</f>
        <v>582.72446901111925</v>
      </c>
      <c r="M243">
        <f xml:space="preserve"> (1+Table7[Inflation])^(QUOTIENT(Table9[[#This Row],[Month]]-1,12))</f>
        <v>1.4568111725277981</v>
      </c>
      <c r="N243">
        <f>N242*(1+Table7[Monthly SF Inter])+Table9[[#This Row],[Monthly Payment]]-O242*(1+Table7[Monthly SF Inter])</f>
        <v>2345.3561964427827</v>
      </c>
      <c r="O243">
        <f>IF(MOD(Table9[[#This Row],[Month]],12)=0,(IF(Table9[[#This Row],[Current Balance]]&lt;Table9[[#This Row],[Max Lump Sum ]],Table9[[#This Row],[Current Balance]],Table9[[#This Row],[Max Lump Sum ]])),0)</f>
        <v>0</v>
      </c>
      <c r="P243" s="21">
        <f>Table7[Max annual lump sum repayment]*SUM(C244:C255)</f>
        <v>7880.3958913442566</v>
      </c>
      <c r="Q243" s="25">
        <f>Q242*(1+Table7[Monthly SF Inter])+Table9[[#This Row],[Inflation Modifier]]-R242*(1+Table7[Monthly SF Inter])</f>
        <v>5.8633904911069559</v>
      </c>
      <c r="R243" s="25">
        <f>IF(MOD(Table9[[#This Row],[Month]],12)=0,Table9[[#This Row],[Q2 ACC FACTOR]],0)</f>
        <v>0</v>
      </c>
      <c r="S243" s="25">
        <f>S242*(1+D242)+Table9[[#This Row],[ACC FACTOR PAYMENTS]]</f>
        <v>484.8199709130825</v>
      </c>
    </row>
    <row r="244" spans="1:19" x14ac:dyDescent="0.25">
      <c r="A244" s="1">
        <v>232</v>
      </c>
      <c r="B244" s="1">
        <f t="shared" si="3"/>
        <v>0</v>
      </c>
      <c r="C244" s="7">
        <f>G$12/-PV(Table7[Monthly mortgage rate], (12*Table7[Amortization period (yrs)]),1 )</f>
        <v>4377.9977174134756</v>
      </c>
      <c r="D244" s="11">
        <f>IF(Table1[[#This Row],[Month]]&lt;=(12*Table7[mortgage term (yrs)]),Table7[Monthly mortgage rate],Table7[Monthly Exp Renewal Rate])</f>
        <v>4.9038466830562122E-3</v>
      </c>
      <c r="E244" s="21">
        <f>Table1[[#This Row],[Current mortgage rate]]*G243</f>
        <v>222.13629193739692</v>
      </c>
      <c r="F244" s="5">
        <f>Table1[[#This Row],[Payment amount]]-Table1[[#This Row],[Interest paid]]</f>
        <v>4155.8614254760787</v>
      </c>
      <c r="G244" s="20">
        <f>G243-Table1[[#This Row],[Principal repaid]]-Table1[[#This Row],[Annual paym]]</f>
        <v>41142.514787002794</v>
      </c>
      <c r="H244" s="20">
        <f>H243-(Table1[[#This Row],[Payment amount]]-Table1[[#This Row],[Interest Paid W/O LSP]])</f>
        <v>235314.26746630215</v>
      </c>
      <c r="I244">
        <f>H243*Table1[[#This Row],[Current mortgage rate]]</f>
        <v>1169.6781970286518</v>
      </c>
      <c r="J244" s="25">
        <f>IF(Table1[[#This Row],[Month]]&gt;Table7[Amortization period (yrs)]*12,0,IF(Table1[[#This Row],[Month]]&lt;Table7[mortgage term (yrs)]*12,0,IF(Table1[[#This Row],[Month]]=Table7[mortgage term (yrs)]*12,-H$5,Table1[[#This Row],[Payment amount]]+B244)))</f>
        <v>4377.9977174134756</v>
      </c>
      <c r="K244">
        <v>233</v>
      </c>
      <c r="L244">
        <f>Table7[Initial Monthly Deposit]*Table9[[#This Row],[Inflation Modifier]]</f>
        <v>582.72446901111925</v>
      </c>
      <c r="M244">
        <f xml:space="preserve"> (1+Table7[Inflation])^(QUOTIENT(Table9[[#This Row],[Month]]-1,12))</f>
        <v>1.4568111725277981</v>
      </c>
      <c r="N244">
        <f>N243*(1+Table7[Monthly SF Inter])+Table9[[#This Row],[Monthly Payment]]-O243*(1+Table7[Monthly SF Inter])</f>
        <v>2937.7527161436842</v>
      </c>
      <c r="O244">
        <f>IF(MOD(Table9[[#This Row],[Month]],12)=0,(IF(Table9[[#This Row],[Current Balance]]&lt;Table9[[#This Row],[Max Lump Sum ]],Table9[[#This Row],[Current Balance]],Table9[[#This Row],[Max Lump Sum ]])),0)</f>
        <v>0</v>
      </c>
      <c r="P244" s="21">
        <f>Table7[Max annual lump sum repayment]*SUM(C245:C256)</f>
        <v>7880.3958913442566</v>
      </c>
      <c r="Q244" s="25">
        <f>Q243*(1+Table7[Monthly SF Inter])+Table9[[#This Row],[Inflation Modifier]]-R243*(1+Table7[Monthly SF Inter])</f>
        <v>7.3443817903592095</v>
      </c>
      <c r="R244" s="25">
        <f>IF(MOD(Table9[[#This Row],[Month]],12)=0,Table9[[#This Row],[Q2 ACC FACTOR]],0)</f>
        <v>0</v>
      </c>
      <c r="S244" s="25">
        <f>S243*(1+D243)+Table9[[#This Row],[ACC FACTOR PAYMENTS]]</f>
        <v>487.19745371932402</v>
      </c>
    </row>
    <row r="245" spans="1:19" x14ac:dyDescent="0.25">
      <c r="A245" s="1">
        <v>233</v>
      </c>
      <c r="B245" s="1">
        <f t="shared" si="3"/>
        <v>0</v>
      </c>
      <c r="C245" s="7">
        <f>G$12/-PV(Table7[Monthly mortgage rate], (12*Table7[Amortization period (yrs)]),1 )</f>
        <v>4377.9977174134756</v>
      </c>
      <c r="D245" s="11">
        <f>IF(Table1[[#This Row],[Month]]&lt;=(12*Table7[mortgage term (yrs)]),Table7[Monthly mortgage rate],Table7[Monthly Exp Renewal Rate])</f>
        <v>4.9038466830562122E-3</v>
      </c>
      <c r="E245" s="21">
        <f>Table1[[#This Row],[Current mortgage rate]]*G244</f>
        <v>201.75658467083483</v>
      </c>
      <c r="F245" s="5">
        <f>Table1[[#This Row],[Payment amount]]-Table1[[#This Row],[Interest paid]]</f>
        <v>4176.2411327426407</v>
      </c>
      <c r="G245" s="20">
        <f>G244-Table1[[#This Row],[Principal repaid]]-Table1[[#This Row],[Annual paym]]</f>
        <v>36966.273654260156</v>
      </c>
      <c r="H245" s="20">
        <f>H244-(Table1[[#This Row],[Payment amount]]-Table1[[#This Row],[Interest Paid W/O LSP]])</f>
        <v>232090.2148388791</v>
      </c>
      <c r="I245">
        <f>H244*Table1[[#This Row],[Current mortgage rate]]</f>
        <v>1153.9450899904282</v>
      </c>
      <c r="J245" s="25">
        <f>IF(Table1[[#This Row],[Month]]&gt;Table7[Amortization period (yrs)]*12,0,IF(Table1[[#This Row],[Month]]&lt;Table7[mortgage term (yrs)]*12,0,IF(Table1[[#This Row],[Month]]=Table7[mortgage term (yrs)]*12,-H$5,Table1[[#This Row],[Payment amount]]+B245)))</f>
        <v>4377.9977174134756</v>
      </c>
      <c r="K245">
        <v>234</v>
      </c>
      <c r="L245">
        <f>Table7[Initial Monthly Deposit]*Table9[[#This Row],[Inflation Modifier]]</f>
        <v>582.72446901111925</v>
      </c>
      <c r="M245">
        <f xml:space="preserve"> (1+Table7[Inflation])^(QUOTIENT(Table9[[#This Row],[Month]]-1,12))</f>
        <v>1.4568111725277981</v>
      </c>
      <c r="N245">
        <f>N244*(1+Table7[Monthly SF Inter])+Table9[[#This Row],[Monthly Payment]]-O244*(1+Table7[Monthly SF Inter])</f>
        <v>3532.5922290136778</v>
      </c>
      <c r="O245">
        <f>IF(MOD(Table9[[#This Row],[Month]],12)=0,(IF(Table9[[#This Row],[Current Balance]]&lt;Table9[[#This Row],[Max Lump Sum ]],Table9[[#This Row],[Current Balance]],Table9[[#This Row],[Max Lump Sum ]])),0)</f>
        <v>0</v>
      </c>
      <c r="P245" s="21">
        <f>Table7[Max annual lump sum repayment]*SUM(C246:C257)</f>
        <v>7880.3958913442566</v>
      </c>
      <c r="Q245" s="25">
        <f>Q244*(1+Table7[Monthly SF Inter])+Table9[[#This Row],[Inflation Modifier]]-R244*(1+Table7[Monthly SF Inter])</f>
        <v>8.8314805725341934</v>
      </c>
      <c r="R245" s="25">
        <f>IF(MOD(Table9[[#This Row],[Month]],12)=0,Table9[[#This Row],[Q2 ACC FACTOR]],0)</f>
        <v>0</v>
      </c>
      <c r="S245" s="25">
        <f>S244*(1+D244)+Table9[[#This Row],[ACC FACTOR PAYMENTS]]</f>
        <v>489.58659533673898</v>
      </c>
    </row>
    <row r="246" spans="1:19" x14ac:dyDescent="0.25">
      <c r="A246" s="1">
        <v>234</v>
      </c>
      <c r="B246" s="1">
        <f t="shared" si="3"/>
        <v>0</v>
      </c>
      <c r="C246" s="7">
        <f>G$12/-PV(Table7[Monthly mortgage rate], (12*Table7[Amortization period (yrs)]),1 )</f>
        <v>4377.9977174134756</v>
      </c>
      <c r="D246" s="11">
        <f>IF(Table1[[#This Row],[Month]]&lt;=(12*Table7[mortgage term (yrs)]),Table7[Monthly mortgage rate],Table7[Monthly Exp Renewal Rate])</f>
        <v>4.9038466830562122E-3</v>
      </c>
      <c r="E246" s="21">
        <f>Table1[[#This Row],[Current mortgage rate]]*G245</f>
        <v>181.2769384443919</v>
      </c>
      <c r="F246" s="5">
        <f>Table1[[#This Row],[Payment amount]]-Table1[[#This Row],[Interest paid]]</f>
        <v>4196.7207789690838</v>
      </c>
      <c r="G246" s="20">
        <f>G245-Table1[[#This Row],[Principal repaid]]-Table1[[#This Row],[Annual paym]]</f>
        <v>32769.552875291076</v>
      </c>
      <c r="H246" s="20">
        <f>H245-(Table1[[#This Row],[Payment amount]]-Table1[[#This Row],[Interest Paid W/O LSP]])</f>
        <v>228850.35195167307</v>
      </c>
      <c r="I246">
        <f>H245*Table1[[#This Row],[Current mortgage rate]]</f>
        <v>1138.1348302074409</v>
      </c>
      <c r="J246" s="25">
        <f>IF(Table1[[#This Row],[Month]]&gt;Table7[Amortization period (yrs)]*12,0,IF(Table1[[#This Row],[Month]]&lt;Table7[mortgage term (yrs)]*12,0,IF(Table1[[#This Row],[Month]]=Table7[mortgage term (yrs)]*12,-H$5,Table1[[#This Row],[Payment amount]]+B246)))</f>
        <v>4377.9977174134756</v>
      </c>
      <c r="K246">
        <v>235</v>
      </c>
      <c r="L246">
        <f>Table7[Initial Monthly Deposit]*Table9[[#This Row],[Inflation Modifier]]</f>
        <v>582.72446901111925</v>
      </c>
      <c r="M246">
        <f xml:space="preserve"> (1+Table7[Inflation])^(QUOTIENT(Table9[[#This Row],[Month]]-1,12))</f>
        <v>1.4568111725277981</v>
      </c>
      <c r="N246">
        <f>N245*(1+Table7[Monthly SF Inter])+Table9[[#This Row],[Monthly Payment]]-O245*(1+Table7[Monthly SF Inter])</f>
        <v>4129.884809750075</v>
      </c>
      <c r="O246">
        <f>IF(MOD(Table9[[#This Row],[Month]],12)=0,(IF(Table9[[#This Row],[Current Balance]]&lt;Table9[[#This Row],[Max Lump Sum ]],Table9[[#This Row],[Current Balance]],Table9[[#This Row],[Max Lump Sum ]])),0)</f>
        <v>0</v>
      </c>
      <c r="P246" s="21">
        <f>Table7[Max annual lump sum repayment]*SUM(C247:C258)</f>
        <v>7880.3958913442566</v>
      </c>
      <c r="Q246" s="25">
        <f>Q245*(1+Table7[Monthly SF Inter])+Table9[[#This Row],[Inflation Modifier]]-R245*(1+Table7[Monthly SF Inter])</f>
        <v>10.324712024375186</v>
      </c>
      <c r="R246" s="25">
        <f>IF(MOD(Table9[[#This Row],[Month]],12)=0,Table9[[#This Row],[Q2 ACC FACTOR]],0)</f>
        <v>0</v>
      </c>
      <c r="S246" s="25">
        <f>S245*(1+D245)+Table9[[#This Row],[ACC FACTOR PAYMENTS]]</f>
        <v>491.9874529383498</v>
      </c>
    </row>
    <row r="247" spans="1:19" x14ac:dyDescent="0.25">
      <c r="A247" s="1">
        <v>235</v>
      </c>
      <c r="B247" s="1">
        <f t="shared" si="3"/>
        <v>0</v>
      </c>
      <c r="C247" s="7">
        <f>G$12/-PV(Table7[Monthly mortgage rate], (12*Table7[Amortization period (yrs)]),1 )</f>
        <v>4377.9977174134756</v>
      </c>
      <c r="D247" s="11">
        <f>IF(Table1[[#This Row],[Month]]&lt;=(12*Table7[mortgage term (yrs)]),Table7[Monthly mortgage rate],Table7[Monthly Exp Renewal Rate])</f>
        <v>4.9038466830562122E-3</v>
      </c>
      <c r="E247" s="21">
        <f>Table1[[#This Row],[Current mortgage rate]]*G246</f>
        <v>160.6968631727313</v>
      </c>
      <c r="F247" s="5">
        <f>Table1[[#This Row],[Payment amount]]-Table1[[#This Row],[Interest paid]]</f>
        <v>4217.3008542407442</v>
      </c>
      <c r="G247" s="20">
        <f>G246-Table1[[#This Row],[Principal repaid]]-Table1[[#This Row],[Annual paym]]</f>
        <v>28552.252021050332</v>
      </c>
      <c r="H247" s="20">
        <f>H246-(Table1[[#This Row],[Payment amount]]-Table1[[#This Row],[Interest Paid W/O LSP]])</f>
        <v>225594.60127359405</v>
      </c>
      <c r="I247">
        <f>H246*Table1[[#This Row],[Current mortgage rate]]</f>
        <v>1122.2470393344588</v>
      </c>
      <c r="J247" s="25">
        <f>IF(Table1[[#This Row],[Month]]&gt;Table7[Amortization period (yrs)]*12,0,IF(Table1[[#This Row],[Month]]&lt;Table7[mortgage term (yrs)]*12,0,IF(Table1[[#This Row],[Month]]=Table7[mortgage term (yrs)]*12,-H$5,Table1[[#This Row],[Payment amount]]+B247)))</f>
        <v>4377.9977174134756</v>
      </c>
      <c r="K247">
        <v>236</v>
      </c>
      <c r="L247">
        <f>Table7[Initial Monthly Deposit]*Table9[[#This Row],[Inflation Modifier]]</f>
        <v>582.72446901111925</v>
      </c>
      <c r="M247">
        <f xml:space="preserve"> (1+Table7[Inflation])^(QUOTIENT(Table9[[#This Row],[Month]]-1,12))</f>
        <v>1.4568111725277981</v>
      </c>
      <c r="N247">
        <f>N246*(1+Table7[Monthly SF Inter])+Table9[[#This Row],[Monthly Payment]]-O246*(1+Table7[Monthly SF Inter])</f>
        <v>4729.6405745973871</v>
      </c>
      <c r="O247">
        <f>IF(MOD(Table9[[#This Row],[Month]],12)=0,(IF(Table9[[#This Row],[Current Balance]]&lt;Table9[[#This Row],[Max Lump Sum ]],Table9[[#This Row],[Current Balance]],Table9[[#This Row],[Max Lump Sum ]])),0)</f>
        <v>0</v>
      </c>
      <c r="P247" s="21">
        <f>Table7[Max annual lump sum repayment]*SUM(C248:C259)</f>
        <v>7880.3958913442566</v>
      </c>
      <c r="Q247" s="25">
        <f>Q246*(1+Table7[Monthly SF Inter])+Table9[[#This Row],[Inflation Modifier]]-R246*(1+Table7[Monthly SF Inter])</f>
        <v>11.824101436493466</v>
      </c>
      <c r="R247" s="25">
        <f>IF(MOD(Table9[[#This Row],[Month]],12)=0,Table9[[#This Row],[Q2 ACC FACTOR]],0)</f>
        <v>0</v>
      </c>
      <c r="S247" s="25">
        <f>S246*(1+D246)+Table9[[#This Row],[ACC FACTOR PAYMENTS]]</f>
        <v>494.40008397754679</v>
      </c>
    </row>
    <row r="248" spans="1:19" x14ac:dyDescent="0.25">
      <c r="A248" s="1">
        <v>236</v>
      </c>
      <c r="B248" s="1">
        <f t="shared" si="3"/>
        <v>0</v>
      </c>
      <c r="C248" s="7">
        <f>G$12/-PV(Table7[Monthly mortgage rate], (12*Table7[Amortization period (yrs)]),1 )</f>
        <v>4377.9977174134756</v>
      </c>
      <c r="D248" s="11">
        <f>IF(Table1[[#This Row],[Month]]&lt;=(12*Table7[mortgage term (yrs)]),Table7[Monthly mortgage rate],Table7[Monthly Exp Renewal Rate])</f>
        <v>4.9038466830562122E-3</v>
      </c>
      <c r="E248" s="21">
        <f>Table1[[#This Row],[Current mortgage rate]]*G247</f>
        <v>140.01586636721271</v>
      </c>
      <c r="F248" s="5">
        <f>Table1[[#This Row],[Payment amount]]-Table1[[#This Row],[Interest paid]]</f>
        <v>4237.9818510462628</v>
      </c>
      <c r="G248" s="20">
        <f>G247-Table1[[#This Row],[Principal repaid]]-Table1[[#This Row],[Annual paym]]</f>
        <v>24314.270170004071</v>
      </c>
      <c r="H248" s="20">
        <f>H247-(Table1[[#This Row],[Payment amount]]-Table1[[#This Row],[Interest Paid W/O LSP]])</f>
        <v>222322.88489335147</v>
      </c>
      <c r="I248">
        <f>H247*Table1[[#This Row],[Current mortgage rate]]</f>
        <v>1106.2813371709028</v>
      </c>
      <c r="J248" s="25">
        <f>IF(Table1[[#This Row],[Month]]&gt;Table7[Amortization period (yrs)]*12,0,IF(Table1[[#This Row],[Month]]&lt;Table7[mortgage term (yrs)]*12,0,IF(Table1[[#This Row],[Month]]=Table7[mortgage term (yrs)]*12,-H$5,Table1[[#This Row],[Payment amount]]+B248)))</f>
        <v>4377.9977174134756</v>
      </c>
      <c r="K248">
        <v>237</v>
      </c>
      <c r="L248">
        <f>Table7[Initial Monthly Deposit]*Table9[[#This Row],[Inflation Modifier]]</f>
        <v>582.72446901111925</v>
      </c>
      <c r="M248">
        <f xml:space="preserve"> (1+Table7[Inflation])^(QUOTIENT(Table9[[#This Row],[Month]]-1,12))</f>
        <v>1.4568111725277981</v>
      </c>
      <c r="N248">
        <f>N247*(1+Table7[Monthly SF Inter])+Table9[[#This Row],[Monthly Payment]]-O247*(1+Table7[Monthly SF Inter])</f>
        <v>5331.8696815186622</v>
      </c>
      <c r="O248">
        <f>IF(MOD(Table9[[#This Row],[Month]],12)=0,(IF(Table9[[#This Row],[Current Balance]]&lt;Table9[[#This Row],[Max Lump Sum ]],Table9[[#This Row],[Current Balance]],Table9[[#This Row],[Max Lump Sum ]])),0)</f>
        <v>0</v>
      </c>
      <c r="P248" s="21">
        <f>Table7[Max annual lump sum repayment]*SUM(C249:C260)</f>
        <v>7880.3958913442566</v>
      </c>
      <c r="Q248" s="25">
        <f>Q247*(1+Table7[Monthly SF Inter])+Table9[[#This Row],[Inflation Modifier]]-R247*(1+Table7[Monthly SF Inter])</f>
        <v>13.329674203796653</v>
      </c>
      <c r="R248" s="25">
        <f>IF(MOD(Table9[[#This Row],[Month]],12)=0,Table9[[#This Row],[Q2 ACC FACTOR]],0)</f>
        <v>0</v>
      </c>
      <c r="S248" s="25">
        <f>S247*(1+D247)+Table9[[#This Row],[ACC FACTOR PAYMENTS]]</f>
        <v>496.82454618946281</v>
      </c>
    </row>
    <row r="249" spans="1:19" x14ac:dyDescent="0.25">
      <c r="A249" s="1">
        <v>237</v>
      </c>
      <c r="B249" s="1">
        <f t="shared" si="3"/>
        <v>0</v>
      </c>
      <c r="C249" s="7">
        <f>G$12/-PV(Table7[Monthly mortgage rate], (12*Table7[Amortization period (yrs)]),1 )</f>
        <v>4377.9977174134756</v>
      </c>
      <c r="D249" s="11">
        <f>IF(Table1[[#This Row],[Month]]&lt;=(12*Table7[mortgage term (yrs)]),Table7[Monthly mortgage rate],Table7[Monthly Exp Renewal Rate])</f>
        <v>4.9038466830562122E-3</v>
      </c>
      <c r="E249" s="21">
        <f>Table1[[#This Row],[Current mortgage rate]]*G248</f>
        <v>119.23345312410707</v>
      </c>
      <c r="F249" s="5">
        <f>Table1[[#This Row],[Payment amount]]-Table1[[#This Row],[Interest paid]]</f>
        <v>4258.7642642893688</v>
      </c>
      <c r="G249" s="20">
        <f>G248-Table1[[#This Row],[Principal repaid]]-Table1[[#This Row],[Annual paym]]</f>
        <v>20055.505905714701</v>
      </c>
      <c r="H249" s="20">
        <f>H248-(Table1[[#This Row],[Payment amount]]-Table1[[#This Row],[Interest Paid W/O LSP]])</f>
        <v>219035.12451758975</v>
      </c>
      <c r="I249">
        <f>H248*Table1[[#This Row],[Current mortgage rate]]</f>
        <v>1090.2373416517496</v>
      </c>
      <c r="J249" s="25">
        <f>IF(Table1[[#This Row],[Month]]&gt;Table7[Amortization period (yrs)]*12,0,IF(Table1[[#This Row],[Month]]&lt;Table7[mortgage term (yrs)]*12,0,IF(Table1[[#This Row],[Month]]=Table7[mortgage term (yrs)]*12,-H$5,Table1[[#This Row],[Payment amount]]+B249)))</f>
        <v>4377.9977174134756</v>
      </c>
      <c r="K249">
        <v>238</v>
      </c>
      <c r="L249">
        <f>Table7[Initial Monthly Deposit]*Table9[[#This Row],[Inflation Modifier]]</f>
        <v>582.72446901111925</v>
      </c>
      <c r="M249">
        <f xml:space="preserve"> (1+Table7[Inflation])^(QUOTIENT(Table9[[#This Row],[Month]]-1,12))</f>
        <v>1.4568111725277981</v>
      </c>
      <c r="N249">
        <f>N248*(1+Table7[Monthly SF Inter])+Table9[[#This Row],[Monthly Payment]]-O248*(1+Table7[Monthly SF Inter])</f>
        <v>5936.5823303675297</v>
      </c>
      <c r="O249">
        <f>IF(MOD(Table9[[#This Row],[Month]],12)=0,(IF(Table9[[#This Row],[Current Balance]]&lt;Table9[[#This Row],[Max Lump Sum ]],Table9[[#This Row],[Current Balance]],Table9[[#This Row],[Max Lump Sum ]])),0)</f>
        <v>0</v>
      </c>
      <c r="P249" s="21">
        <f>Table7[Max annual lump sum repayment]*SUM(C250:C261)</f>
        <v>7880.3958913442566</v>
      </c>
      <c r="Q249" s="25">
        <f>Q248*(1+Table7[Monthly SF Inter])+Table9[[#This Row],[Inflation Modifier]]-R248*(1+Table7[Monthly SF Inter])</f>
        <v>14.841455825918823</v>
      </c>
      <c r="R249" s="25">
        <f>IF(MOD(Table9[[#This Row],[Month]],12)=0,Table9[[#This Row],[Q2 ACC FACTOR]],0)</f>
        <v>0</v>
      </c>
      <c r="S249" s="25">
        <f>S248*(1+D248)+Table9[[#This Row],[ACC FACTOR PAYMENTS]]</f>
        <v>499.26089759235492</v>
      </c>
    </row>
    <row r="250" spans="1:19" x14ac:dyDescent="0.25">
      <c r="A250" s="1">
        <v>238</v>
      </c>
      <c r="B250" s="1">
        <f t="shared" si="3"/>
        <v>0</v>
      </c>
      <c r="C250" s="7">
        <f>G$12/-PV(Table7[Monthly mortgage rate], (12*Table7[Amortization period (yrs)]),1 )</f>
        <v>4377.9977174134756</v>
      </c>
      <c r="D250" s="11">
        <f>IF(Table1[[#This Row],[Month]]&lt;=(12*Table7[mortgage term (yrs)]),Table7[Monthly mortgage rate],Table7[Monthly Exp Renewal Rate])</f>
        <v>4.9038466830562122E-3</v>
      </c>
      <c r="E250" s="21">
        <f>Table1[[#This Row],[Current mortgage rate]]*G249</f>
        <v>98.349126112753311</v>
      </c>
      <c r="F250" s="5">
        <f>Table1[[#This Row],[Payment amount]]-Table1[[#This Row],[Interest paid]]</f>
        <v>4279.6485913007218</v>
      </c>
      <c r="G250" s="20">
        <f>G249-Table1[[#This Row],[Principal repaid]]-Table1[[#This Row],[Annual paym]]</f>
        <v>15775.857314413979</v>
      </c>
      <c r="H250" s="20">
        <f>H249-(Table1[[#This Row],[Payment amount]]-Table1[[#This Row],[Interest Paid W/O LSP]])</f>
        <v>215731.24146901467</v>
      </c>
      <c r="I250">
        <f>H249*Table1[[#This Row],[Current mortgage rate]]</f>
        <v>1074.1146688383869</v>
      </c>
      <c r="J250" s="25">
        <f>IF(Table1[[#This Row],[Month]]&gt;Table7[Amortization period (yrs)]*12,0,IF(Table1[[#This Row],[Month]]&lt;Table7[mortgage term (yrs)]*12,0,IF(Table1[[#This Row],[Month]]=Table7[mortgage term (yrs)]*12,-H$5,Table1[[#This Row],[Payment amount]]+B250)))</f>
        <v>4377.9977174134756</v>
      </c>
      <c r="K250">
        <v>239</v>
      </c>
      <c r="L250">
        <f>Table7[Initial Monthly Deposit]*Table9[[#This Row],[Inflation Modifier]]</f>
        <v>582.72446901111925</v>
      </c>
      <c r="M250">
        <f xml:space="preserve"> (1+Table7[Inflation])^(QUOTIENT(Table9[[#This Row],[Month]]-1,12))</f>
        <v>1.4568111725277981</v>
      </c>
      <c r="N250">
        <f>N249*(1+Table7[Monthly SF Inter])+Table9[[#This Row],[Monthly Payment]]-O249*(1+Table7[Monthly SF Inter])</f>
        <v>6543.7887630609539</v>
      </c>
      <c r="O250">
        <f>IF(MOD(Table9[[#This Row],[Month]],12)=0,(IF(Table9[[#This Row],[Current Balance]]&lt;Table9[[#This Row],[Max Lump Sum ]],Table9[[#This Row],[Current Balance]],Table9[[#This Row],[Max Lump Sum ]])),0)</f>
        <v>0</v>
      </c>
      <c r="P250" s="21">
        <f>Table7[Max annual lump sum repayment]*SUM(C251:C262)</f>
        <v>7880.3958913442566</v>
      </c>
      <c r="Q250" s="25">
        <f>Q249*(1+Table7[Monthly SF Inter])+Table9[[#This Row],[Inflation Modifier]]-R249*(1+Table7[Monthly SF Inter])</f>
        <v>16.359471907652381</v>
      </c>
      <c r="R250" s="25">
        <f>IF(MOD(Table9[[#This Row],[Month]],12)=0,Table9[[#This Row],[Q2 ACC FACTOR]],0)</f>
        <v>0</v>
      </c>
      <c r="S250" s="25">
        <f>S249*(1+D249)+Table9[[#This Row],[ACC FACTOR PAYMENTS]]</f>
        <v>501.70919648899286</v>
      </c>
    </row>
    <row r="251" spans="1:19" x14ac:dyDescent="0.25">
      <c r="A251" s="1">
        <v>239</v>
      </c>
      <c r="B251" s="1">
        <f t="shared" si="3"/>
        <v>0</v>
      </c>
      <c r="C251" s="7">
        <f>G$12/-PV(Table7[Monthly mortgage rate], (12*Table7[Amortization period (yrs)]),1 )</f>
        <v>4377.9977174134756</v>
      </c>
      <c r="D251" s="11">
        <f>IF(Table1[[#This Row],[Month]]&lt;=(12*Table7[mortgage term (yrs)]),Table7[Monthly mortgage rate],Table7[Monthly Exp Renewal Rate])</f>
        <v>4.9038466830562122E-3</v>
      </c>
      <c r="E251" s="21">
        <f>Table1[[#This Row],[Current mortgage rate]]*G250</f>
        <v>77.362385563657071</v>
      </c>
      <c r="F251" s="5">
        <f>Table1[[#This Row],[Payment amount]]-Table1[[#This Row],[Interest paid]]</f>
        <v>4300.6353318498186</v>
      </c>
      <c r="G251" s="20">
        <f>G250-Table1[[#This Row],[Principal repaid]]-Table1[[#This Row],[Annual paym]]</f>
        <v>11475.22198256416</v>
      </c>
      <c r="H251" s="20">
        <f>H250-(Table1[[#This Row],[Payment amount]]-Table1[[#This Row],[Interest Paid W/O LSP]])</f>
        <v>212411.15668451061</v>
      </c>
      <c r="I251">
        <f>H250*Table1[[#This Row],[Current mortgage rate]]</f>
        <v>1057.9129329094264</v>
      </c>
      <c r="J251" s="25">
        <f>IF(Table1[[#This Row],[Month]]&gt;Table7[Amortization period (yrs)]*12,0,IF(Table1[[#This Row],[Month]]&lt;Table7[mortgage term (yrs)]*12,0,IF(Table1[[#This Row],[Month]]=Table7[mortgage term (yrs)]*12,-H$5,Table1[[#This Row],[Payment amount]]+B251)))</f>
        <v>4377.9977174134756</v>
      </c>
      <c r="K251">
        <v>240</v>
      </c>
      <c r="L251">
        <f>Table7[Initial Monthly Deposit]*Table9[[#This Row],[Inflation Modifier]]</f>
        <v>582.72446901111925</v>
      </c>
      <c r="M251">
        <f xml:space="preserve"> (1+Table7[Inflation])^(QUOTIENT(Table9[[#This Row],[Month]]-1,12))</f>
        <v>1.4568111725277981</v>
      </c>
      <c r="N251">
        <f>N250*(1+Table7[Monthly SF Inter])+Table9[[#This Row],[Monthly Payment]]-O250*(1+Table7[Monthly SF Inter])</f>
        <v>7153.4992637526975</v>
      </c>
      <c r="O251">
        <f>IF(MOD(Table9[[#This Row],[Month]],12)=0,(IF(Table9[[#This Row],[Current Balance]]&lt;Table9[[#This Row],[Max Lump Sum ]],Table9[[#This Row],[Current Balance]],Table9[[#This Row],[Max Lump Sum ]])),0)</f>
        <v>7153.4992637526975</v>
      </c>
      <c r="P251" s="21">
        <f>Table7[Max annual lump sum repayment]*SUM(C252:C263)</f>
        <v>7880.3958913442566</v>
      </c>
      <c r="Q251" s="25">
        <f>Q250*(1+Table7[Monthly SF Inter])+Table9[[#This Row],[Inflation Modifier]]-R250*(1+Table7[Monthly SF Inter])</f>
        <v>17.883748159381739</v>
      </c>
      <c r="R251" s="25">
        <f>IF(MOD(Table9[[#This Row],[Month]],12)=0,Table9[[#This Row],[Q2 ACC FACTOR]],0)</f>
        <v>17.883748159381739</v>
      </c>
      <c r="S251" s="25">
        <f>S250*(1+D250)+Table9[[#This Row],[ACC FACTOR PAYMENTS]]</f>
        <v>522.05324962743589</v>
      </c>
    </row>
    <row r="252" spans="1:19" x14ac:dyDescent="0.25">
      <c r="A252" s="1">
        <v>240</v>
      </c>
      <c r="B252" s="1">
        <f t="shared" si="3"/>
        <v>7153.4992637526975</v>
      </c>
      <c r="C252" s="7">
        <f>G$12/-PV(Table7[Monthly mortgage rate], (12*Table7[Amortization period (yrs)]),1 )</f>
        <v>4377.9977174134756</v>
      </c>
      <c r="D252" s="11">
        <f>IF(Table1[[#This Row],[Month]]&lt;=(12*Table7[mortgage term (yrs)]),Table7[Monthly mortgage rate],Table7[Monthly Exp Renewal Rate])</f>
        <v>4.9038466830562122E-3</v>
      </c>
      <c r="E252" s="21">
        <f>Table1[[#This Row],[Current mortgage rate]]*G251</f>
        <v>56.272729256530987</v>
      </c>
      <c r="F252" s="5">
        <f>Table1[[#This Row],[Payment amount]]-Table1[[#This Row],[Interest paid]]</f>
        <v>4321.7249881569442</v>
      </c>
      <c r="G252" s="20">
        <f>G251-Table1[[#This Row],[Principal repaid]]-Table1[[#This Row],[Annual paym]]</f>
        <v>-2.2693454811815172E-3</v>
      </c>
      <c r="H252" s="20">
        <f>H251-(Table1[[#This Row],[Payment amount]]-Table1[[#This Row],[Interest Paid W/O LSP]])</f>
        <v>209074.7907132486</v>
      </c>
      <c r="I252">
        <f>H251*Table1[[#This Row],[Current mortgage rate]]</f>
        <v>1041.6317461514707</v>
      </c>
      <c r="J252" s="25">
        <f>IF(Table1[[#This Row],[Month]]&gt;Table7[Amortization period (yrs)]*12,0,IF(Table1[[#This Row],[Month]]&lt;Table7[mortgage term (yrs)]*12,0,IF(Table1[[#This Row],[Month]]=Table7[mortgage term (yrs)]*12,-H$5,Table1[[#This Row],[Payment amount]]+B252)))</f>
        <v>11531.496981166172</v>
      </c>
      <c r="K252">
        <v>241</v>
      </c>
      <c r="L252">
        <f>Table7[Initial Monthly Deposit]*Table9[[#This Row],[Inflation Modifier]]</f>
        <v>594.37895839134171</v>
      </c>
      <c r="M252">
        <f xml:space="preserve"> (1+Table7[Inflation])^(QUOTIENT(Table9[[#This Row],[Month]]-1,12))</f>
        <v>1.4859473959783542</v>
      </c>
      <c r="N252">
        <f>N251*(1+Table7[Monthly SF Inter])+Table9[[#This Row],[Monthly Payment]]-O251*(1+Table7[Monthly SF Inter])</f>
        <v>594.37895839134126</v>
      </c>
      <c r="O252">
        <f>IF(MOD(Table9[[#This Row],[Month]],12)=0,(IF(Table9[[#This Row],[Current Balance]]&lt;Table9[[#This Row],[Max Lump Sum ]],Table9[[#This Row],[Current Balance]],Table9[[#This Row],[Max Lump Sum ]])),0)</f>
        <v>0</v>
      </c>
      <c r="P252" s="21">
        <f>Table7[Max annual lump sum repayment]*SUM(C253:C264)</f>
        <v>7880.3958913442566</v>
      </c>
      <c r="Q252" s="25">
        <f>Q251*(1+Table7[Monthly SF Inter])+Table9[[#This Row],[Inflation Modifier]]-R251*(1+Table7[Monthly SF Inter])</f>
        <v>1.4859473959783536</v>
      </c>
      <c r="R252" s="25">
        <f>IF(MOD(Table9[[#This Row],[Month]],12)=0,Table9[[#This Row],[Q2 ACC FACTOR]],0)</f>
        <v>0</v>
      </c>
      <c r="S252" s="25">
        <f>S251*(1+D251)+Table9[[#This Row],[ACC FACTOR PAYMENTS]]</f>
        <v>524.61331872400012</v>
      </c>
    </row>
    <row r="253" spans="1:19" x14ac:dyDescent="0.25">
      <c r="A253" s="1">
        <v>241</v>
      </c>
      <c r="B253" s="1">
        <f t="shared" si="3"/>
        <v>0</v>
      </c>
      <c r="C253" s="7">
        <f>G$12/-PV(Table7[Monthly mortgage rate], (12*Table7[Amortization period (yrs)]),1 )</f>
        <v>4377.9977174134756</v>
      </c>
      <c r="D253" s="11">
        <f>IF(Table1[[#This Row],[Month]]&lt;=(12*Table7[mortgage term (yrs)]),Table7[Monthly mortgage rate],Table7[Monthly Exp Renewal Rate])</f>
        <v>4.9038466830562122E-3</v>
      </c>
      <c r="E253" s="21">
        <f>Table1[[#This Row],[Current mortgage rate]]*G252</f>
        <v>-1.1128522310600587E-5</v>
      </c>
      <c r="F253" s="5">
        <f>Table1[[#This Row],[Payment amount]]-Table1[[#This Row],[Interest paid]]</f>
        <v>4377.9977285419982</v>
      </c>
      <c r="G253" s="20">
        <f>G252-Table1[[#This Row],[Principal repaid]]-Table1[[#This Row],[Annual paym]]</f>
        <v>-4377.9999978874794</v>
      </c>
      <c r="H253" s="20">
        <f>H252-(Table1[[#This Row],[Payment amount]]-Table1[[#This Row],[Interest Paid W/O LSP]])</f>
        <v>205722.06371478495</v>
      </c>
      <c r="I253">
        <f>H252*Table1[[#This Row],[Current mortgage rate]]</f>
        <v>1025.270718949836</v>
      </c>
      <c r="J253" s="25">
        <f>IF(Table1[[#This Row],[Month]]&gt;Table7[Amortization period (yrs)]*12,0,IF(Table1[[#This Row],[Month]]&lt;Table7[mortgage term (yrs)]*12,0,IF(Table1[[#This Row],[Month]]=Table7[mortgage term (yrs)]*12,-H$5,Table1[[#This Row],[Payment amount]]+B253)))</f>
        <v>0</v>
      </c>
      <c r="K253">
        <v>242</v>
      </c>
      <c r="L253">
        <f>Table7[Initial Monthly Deposit]*Table9[[#This Row],[Inflation Modifier]]</f>
        <v>594.37895839134171</v>
      </c>
      <c r="M253">
        <f xml:space="preserve"> (1+Table7[Inflation])^(QUOTIENT(Table9[[#This Row],[Month]]-1,12))</f>
        <v>1.4859473959783542</v>
      </c>
      <c r="N253">
        <f>N252*(1+Table7[Monthly SF Inter])+Table9[[#This Row],[Monthly Payment]]-O252*(1+Table7[Monthly SF Inter])</f>
        <v>1191.2090853613495</v>
      </c>
      <c r="O253">
        <f>IF(MOD(Table9[[#This Row],[Month]],12)=0,(IF(Table9[[#This Row],[Current Balance]]&lt;Table9[[#This Row],[Max Lump Sum ]],Table9[[#This Row],[Current Balance]],Table9[[#This Row],[Max Lump Sum ]])),0)</f>
        <v>0</v>
      </c>
      <c r="P253" s="21">
        <f>Table7[Max annual lump sum repayment]*SUM(C254:C265)</f>
        <v>7880.3958913442566</v>
      </c>
      <c r="Q253" s="25">
        <f>Q252*(1+Table7[Monthly SF Inter])+Table9[[#This Row],[Inflation Modifier]]-R252*(1+Table7[Monthly SF Inter])</f>
        <v>2.9780227134033739</v>
      </c>
      <c r="R253" s="25">
        <f>IF(MOD(Table9[[#This Row],[Month]],12)=0,Table9[[#This Row],[Q2 ACC FACTOR]],0)</f>
        <v>0</v>
      </c>
      <c r="S253" s="25">
        <f>S252*(1+D252)+Table9[[#This Row],[ACC FACTOR PAYMENTS]]</f>
        <v>527.18594200691189</v>
      </c>
    </row>
    <row r="254" spans="1:19" x14ac:dyDescent="0.25">
      <c r="A254" s="1">
        <v>242</v>
      </c>
      <c r="B254" s="1">
        <f t="shared" si="3"/>
        <v>0</v>
      </c>
      <c r="C254" s="7">
        <f>G$12/-PV(Table7[Monthly mortgage rate], (12*Table7[Amortization period (yrs)]),1 )</f>
        <v>4377.9977174134756</v>
      </c>
      <c r="D254" s="11">
        <f>IF(Table1[[#This Row],[Month]]&lt;=(12*Table7[mortgage term (yrs)]),Table7[Monthly mortgage rate],Table7[Monthly Exp Renewal Rate])</f>
        <v>4.9038466830562122E-3</v>
      </c>
      <c r="E254" s="21">
        <f>Table1[[#This Row],[Current mortgage rate]]*G253</f>
        <v>-21.469040768060619</v>
      </c>
      <c r="F254" s="5">
        <f>Table1[[#This Row],[Payment amount]]-Table1[[#This Row],[Interest paid]]</f>
        <v>4399.4667581815365</v>
      </c>
      <c r="G254" s="20">
        <f>G253-Table1[[#This Row],[Principal repaid]]-Table1[[#This Row],[Annual paym]]</f>
        <v>-8777.4667560690159</v>
      </c>
      <c r="H254" s="20">
        <f>H253-(Table1[[#This Row],[Payment amount]]-Table1[[#This Row],[Interest Paid W/O LSP]])</f>
        <v>202352.89545715071</v>
      </c>
      <c r="I254">
        <f>H253*Table1[[#This Row],[Current mortgage rate]]</f>
        <v>1008.8294597792269</v>
      </c>
      <c r="J254" s="25">
        <f>IF(Table1[[#This Row],[Month]]&gt;Table7[Amortization period (yrs)]*12,0,IF(Table1[[#This Row],[Month]]&lt;Table7[mortgage term (yrs)]*12,0,IF(Table1[[#This Row],[Month]]=Table7[mortgage term (yrs)]*12,-H$5,Table1[[#This Row],[Payment amount]]+B254)))</f>
        <v>0</v>
      </c>
      <c r="K254">
        <v>243</v>
      </c>
      <c r="L254">
        <f>Table7[Initial Monthly Deposit]*Table9[[#This Row],[Inflation Modifier]]</f>
        <v>594.37895839134171</v>
      </c>
      <c r="M254">
        <f xml:space="preserve"> (1+Table7[Inflation])^(QUOTIENT(Table9[[#This Row],[Month]]-1,12))</f>
        <v>1.4859473959783542</v>
      </c>
      <c r="N254">
        <f>N253*(1+Table7[Monthly SF Inter])+Table9[[#This Row],[Monthly Payment]]-O253*(1+Table7[Monthly SF Inter])</f>
        <v>1790.5004893220332</v>
      </c>
      <c r="O254">
        <f>IF(MOD(Table9[[#This Row],[Month]],12)=0,(IF(Table9[[#This Row],[Current Balance]]&lt;Table9[[#This Row],[Max Lump Sum ]],Table9[[#This Row],[Current Balance]],Table9[[#This Row],[Max Lump Sum ]])),0)</f>
        <v>0</v>
      </c>
      <c r="P254" s="21">
        <f>Table7[Max annual lump sum repayment]*SUM(C255:C266)</f>
        <v>7880.3958913442566</v>
      </c>
      <c r="Q254" s="25">
        <f>Q253*(1+Table7[Monthly SF Inter])+Table9[[#This Row],[Inflation Modifier]]-R253*(1+Table7[Monthly SF Inter])</f>
        <v>4.4762512233050833</v>
      </c>
      <c r="R254" s="25">
        <f>IF(MOD(Table9[[#This Row],[Month]],12)=0,Table9[[#This Row],[Q2 ACC FACTOR]],0)</f>
        <v>0</v>
      </c>
      <c r="S254" s="25">
        <f>S253*(1+D253)+Table9[[#This Row],[ACC FACTOR PAYMENTS]]</f>
        <v>529.77118103997634</v>
      </c>
    </row>
    <row r="255" spans="1:19" x14ac:dyDescent="0.25">
      <c r="A255" s="1">
        <v>243</v>
      </c>
      <c r="B255" s="1">
        <f t="shared" si="3"/>
        <v>0</v>
      </c>
      <c r="C255" s="7">
        <f>G$12/-PV(Table7[Monthly mortgage rate], (12*Table7[Amortization period (yrs)]),1 )</f>
        <v>4377.9977174134756</v>
      </c>
      <c r="D255" s="11">
        <f>IF(Table1[[#This Row],[Month]]&lt;=(12*Table7[mortgage term (yrs)]),Table7[Monthly mortgage rate],Table7[Monthly Exp Renewal Rate])</f>
        <v>4.9038466830562122E-3</v>
      </c>
      <c r="E255" s="21">
        <f>Table1[[#This Row],[Current mortgage rate]]*G254</f>
        <v>-43.043351237385217</v>
      </c>
      <c r="F255" s="5">
        <f>Table1[[#This Row],[Payment amount]]-Table1[[#This Row],[Interest paid]]</f>
        <v>4421.0410686508612</v>
      </c>
      <c r="G255" s="20">
        <f>G254-Table1[[#This Row],[Principal repaid]]-Table1[[#This Row],[Annual paym]]</f>
        <v>-13198.507824719876</v>
      </c>
      <c r="H255" s="20">
        <f>H254-(Table1[[#This Row],[Payment amount]]-Table1[[#This Row],[Interest Paid W/O LSP]])</f>
        <v>198967.20531493161</v>
      </c>
      <c r="I255">
        <f>H254*Table1[[#This Row],[Current mortgage rate]]</f>
        <v>992.30757519436895</v>
      </c>
      <c r="J255" s="25">
        <f>IF(Table1[[#This Row],[Month]]&gt;Table7[Amortization period (yrs)]*12,0,IF(Table1[[#This Row],[Month]]&lt;Table7[mortgage term (yrs)]*12,0,IF(Table1[[#This Row],[Month]]=Table7[mortgage term (yrs)]*12,-H$5,Table1[[#This Row],[Payment amount]]+B255)))</f>
        <v>0</v>
      </c>
      <c r="K255">
        <v>244</v>
      </c>
      <c r="L255">
        <f>Table7[Initial Monthly Deposit]*Table9[[#This Row],[Inflation Modifier]]</f>
        <v>594.37895839134171</v>
      </c>
      <c r="M255">
        <f xml:space="preserve"> (1+Table7[Inflation])^(QUOTIENT(Table9[[#This Row],[Month]]-1,12))</f>
        <v>1.4859473959783542</v>
      </c>
      <c r="N255">
        <f>N254*(1+Table7[Monthly SF Inter])+Table9[[#This Row],[Monthly Payment]]-O254*(1+Table7[Monthly SF Inter])</f>
        <v>2392.2633203716387</v>
      </c>
      <c r="O255">
        <f>IF(MOD(Table9[[#This Row],[Month]],12)=0,(IF(Table9[[#This Row],[Current Balance]]&lt;Table9[[#This Row],[Max Lump Sum ]],Table9[[#This Row],[Current Balance]],Table9[[#This Row],[Max Lump Sum ]])),0)</f>
        <v>0</v>
      </c>
      <c r="P255" s="21">
        <f>Table7[Max annual lump sum repayment]*SUM(C256:C267)</f>
        <v>7880.3958913442566</v>
      </c>
      <c r="Q255" s="25">
        <f>Q254*(1+Table7[Monthly SF Inter])+Table9[[#This Row],[Inflation Modifier]]-R254*(1+Table7[Monthly SF Inter])</f>
        <v>5.9806583009290968</v>
      </c>
      <c r="R255" s="25">
        <f>IF(MOD(Table9[[#This Row],[Month]],12)=0,Table9[[#This Row],[Q2 ACC FACTOR]],0)</f>
        <v>0</v>
      </c>
      <c r="S255" s="25">
        <f>S254*(1+D254)+Table9[[#This Row],[ACC FACTOR PAYMENTS]]</f>
        <v>532.36909768889802</v>
      </c>
    </row>
    <row r="256" spans="1:19" x14ac:dyDescent="0.25">
      <c r="A256" s="1">
        <v>244</v>
      </c>
      <c r="B256" s="1">
        <f t="shared" si="3"/>
        <v>0</v>
      </c>
      <c r="C256" s="7">
        <f>G$12/-PV(Table7[Monthly mortgage rate], (12*Table7[Amortization period (yrs)]),1 )</f>
        <v>4377.9977174134756</v>
      </c>
      <c r="D256" s="11">
        <f>IF(Table1[[#This Row],[Month]]&lt;=(12*Table7[mortgage term (yrs)]),Table7[Monthly mortgage rate],Table7[Monthly Exp Renewal Rate])</f>
        <v>4.9038466830562122E-3</v>
      </c>
      <c r="E256" s="21">
        <f>Table1[[#This Row],[Current mortgage rate]]*G255</f>
        <v>-64.723458817544028</v>
      </c>
      <c r="F256" s="5">
        <f>Table1[[#This Row],[Payment amount]]-Table1[[#This Row],[Interest paid]]</f>
        <v>4442.7211762310199</v>
      </c>
      <c r="G256" s="20">
        <f>G255-Table1[[#This Row],[Principal repaid]]-Table1[[#This Row],[Annual paym]]</f>
        <v>-17641.229000950894</v>
      </c>
      <c r="H256" s="20">
        <f>H255-(Table1[[#This Row],[Payment amount]]-Table1[[#This Row],[Interest Paid W/O LSP]])</f>
        <v>195564.91226733872</v>
      </c>
      <c r="I256">
        <f>H255*Table1[[#This Row],[Current mortgage rate]]</f>
        <v>975.70466982059168</v>
      </c>
      <c r="J256" s="25">
        <f>IF(Table1[[#This Row],[Month]]&gt;Table7[Amortization period (yrs)]*12,0,IF(Table1[[#This Row],[Month]]&lt;Table7[mortgage term (yrs)]*12,0,IF(Table1[[#This Row],[Month]]=Table7[mortgage term (yrs)]*12,-H$5,Table1[[#This Row],[Payment amount]]+B256)))</f>
        <v>0</v>
      </c>
      <c r="K256">
        <v>245</v>
      </c>
      <c r="L256">
        <f>Table7[Initial Monthly Deposit]*Table9[[#This Row],[Inflation Modifier]]</f>
        <v>594.37895839134171</v>
      </c>
      <c r="M256">
        <f xml:space="preserve"> (1+Table7[Inflation])^(QUOTIENT(Table9[[#This Row],[Month]]-1,12))</f>
        <v>1.4859473959783542</v>
      </c>
      <c r="N256">
        <f>N255*(1+Table7[Monthly SF Inter])+Table9[[#This Row],[Monthly Payment]]-O255*(1+Table7[Monthly SF Inter])</f>
        <v>2996.5077704665582</v>
      </c>
      <c r="O256">
        <f>IF(MOD(Table9[[#This Row],[Month]],12)=0,(IF(Table9[[#This Row],[Current Balance]]&lt;Table9[[#This Row],[Max Lump Sum ]],Table9[[#This Row],[Current Balance]],Table9[[#This Row],[Max Lump Sum ]])),0)</f>
        <v>0</v>
      </c>
      <c r="P256" s="21">
        <f>Table7[Max annual lump sum repayment]*SUM(C257:C268)</f>
        <v>7880.3958913442566</v>
      </c>
      <c r="Q256" s="25">
        <f>Q255*(1+Table7[Monthly SF Inter])+Table9[[#This Row],[Inflation Modifier]]-R255*(1+Table7[Monthly SF Inter])</f>
        <v>7.4912694261663964</v>
      </c>
      <c r="R256" s="25">
        <f>IF(MOD(Table9[[#This Row],[Month]],12)=0,Table9[[#This Row],[Q2 ACC FACTOR]],0)</f>
        <v>0</v>
      </c>
      <c r="S256" s="25">
        <f>S255*(1+D255)+Table9[[#This Row],[ACC FACTOR PAYMENTS]]</f>
        <v>534.97975412276139</v>
      </c>
    </row>
    <row r="257" spans="1:19" x14ac:dyDescent="0.25">
      <c r="A257" s="1">
        <v>245</v>
      </c>
      <c r="B257" s="1">
        <f t="shared" si="3"/>
        <v>0</v>
      </c>
      <c r="C257" s="7">
        <f>G$12/-PV(Table7[Monthly mortgage rate], (12*Table7[Amortization period (yrs)]),1 )</f>
        <v>4377.9977174134756</v>
      </c>
      <c r="D257" s="11">
        <f>IF(Table1[[#This Row],[Month]]&lt;=(12*Table7[mortgage term (yrs)]),Table7[Monthly mortgage rate],Table7[Monthly Exp Renewal Rate])</f>
        <v>4.9038466830562122E-3</v>
      </c>
      <c r="E257" s="21">
        <f>Table1[[#This Row],[Current mortgage rate]]*G256</f>
        <v>-86.509882321348101</v>
      </c>
      <c r="F257" s="5">
        <f>Table1[[#This Row],[Payment amount]]-Table1[[#This Row],[Interest paid]]</f>
        <v>4464.507599734824</v>
      </c>
      <c r="G257" s="20">
        <f>G256-Table1[[#This Row],[Principal repaid]]-Table1[[#This Row],[Annual paym]]</f>
        <v>-22105.736600685719</v>
      </c>
      <c r="H257" s="20">
        <f>H256-(Table1[[#This Row],[Payment amount]]-Table1[[#This Row],[Interest Paid W/O LSP]])</f>
        <v>192145.93489626961</v>
      </c>
      <c r="I257">
        <f>H256*Table1[[#This Row],[Current mortgage rate]]</f>
        <v>959.02034634436814</v>
      </c>
      <c r="J257" s="25">
        <f>IF(Table1[[#This Row],[Month]]&gt;Table7[Amortization period (yrs)]*12,0,IF(Table1[[#This Row],[Month]]&lt;Table7[mortgage term (yrs)]*12,0,IF(Table1[[#This Row],[Month]]=Table7[mortgage term (yrs)]*12,-H$5,Table1[[#This Row],[Payment amount]]+B257)))</f>
        <v>0</v>
      </c>
      <c r="K257">
        <v>246</v>
      </c>
      <c r="L257">
        <f>Table7[Initial Monthly Deposit]*Table9[[#This Row],[Inflation Modifier]]</f>
        <v>594.37895839134171</v>
      </c>
      <c r="M257">
        <f xml:space="preserve"> (1+Table7[Inflation])^(QUOTIENT(Table9[[#This Row],[Month]]-1,12))</f>
        <v>1.4859473959783542</v>
      </c>
      <c r="N257">
        <f>N256*(1+Table7[Monthly SF Inter])+Table9[[#This Row],[Monthly Payment]]-O256*(1+Table7[Monthly SF Inter])</f>
        <v>3603.2440735939517</v>
      </c>
      <c r="O257">
        <f>IF(MOD(Table9[[#This Row],[Month]],12)=0,(IF(Table9[[#This Row],[Current Balance]]&lt;Table9[[#This Row],[Max Lump Sum ]],Table9[[#This Row],[Current Balance]],Table9[[#This Row],[Max Lump Sum ]])),0)</f>
        <v>0</v>
      </c>
      <c r="P257" s="21">
        <f>Table7[Max annual lump sum repayment]*SUM(C258:C269)</f>
        <v>7880.3958913442566</v>
      </c>
      <c r="Q257" s="25">
        <f>Q256*(1+Table7[Monthly SF Inter])+Table9[[#This Row],[Inflation Modifier]]-R256*(1+Table7[Monthly SF Inter])</f>
        <v>9.0081101839848809</v>
      </c>
      <c r="R257" s="25">
        <f>IF(MOD(Table9[[#This Row],[Month]],12)=0,Table9[[#This Row],[Q2 ACC FACTOR]],0)</f>
        <v>0</v>
      </c>
      <c r="S257" s="25">
        <f>S256*(1+D256)+Table9[[#This Row],[ACC FACTOR PAYMENTS]]</f>
        <v>537.60321281551853</v>
      </c>
    </row>
    <row r="258" spans="1:19" x14ac:dyDescent="0.25">
      <c r="A258" s="1">
        <v>246</v>
      </c>
      <c r="B258" s="1">
        <f t="shared" si="3"/>
        <v>0</v>
      </c>
      <c r="C258" s="7">
        <f>G$12/-PV(Table7[Monthly mortgage rate], (12*Table7[Amortization period (yrs)]),1 )</f>
        <v>4377.9977174134756</v>
      </c>
      <c r="D258" s="11">
        <f>IF(Table1[[#This Row],[Month]]&lt;=(12*Table7[mortgage term (yrs)]),Table7[Monthly mortgage rate],Table7[Monthly Exp Renewal Rate])</f>
        <v>4.9038466830562122E-3</v>
      </c>
      <c r="E258" s="21">
        <f>Table1[[#This Row],[Current mortgage rate]]*G257</f>
        <v>-108.40314310578697</v>
      </c>
      <c r="F258" s="5">
        <f>Table1[[#This Row],[Payment amount]]-Table1[[#This Row],[Interest paid]]</f>
        <v>4486.400860519263</v>
      </c>
      <c r="G258" s="20">
        <f>G257-Table1[[#This Row],[Principal repaid]]-Table1[[#This Row],[Annual paym]]</f>
        <v>-26592.137461204984</v>
      </c>
      <c r="H258" s="20">
        <f>H257-(Table1[[#This Row],[Payment amount]]-Table1[[#This Row],[Interest Paid W/O LSP]])</f>
        <v>188710.19138435993</v>
      </c>
      <c r="I258">
        <f>H257*Table1[[#This Row],[Current mortgage rate]]</f>
        <v>942.25420550380659</v>
      </c>
      <c r="J258" s="25">
        <f>IF(Table1[[#This Row],[Month]]&gt;Table7[Amortization period (yrs)]*12,0,IF(Table1[[#This Row],[Month]]&lt;Table7[mortgage term (yrs)]*12,0,IF(Table1[[#This Row],[Month]]=Table7[mortgage term (yrs)]*12,-H$5,Table1[[#This Row],[Payment amount]]+B258)))</f>
        <v>0</v>
      </c>
      <c r="K258">
        <v>247</v>
      </c>
      <c r="L258">
        <f>Table7[Initial Monthly Deposit]*Table9[[#This Row],[Inflation Modifier]]</f>
        <v>594.37895839134171</v>
      </c>
      <c r="M258">
        <f xml:space="preserve"> (1+Table7[Inflation])^(QUOTIENT(Table9[[#This Row],[Month]]-1,12))</f>
        <v>1.4859473959783542</v>
      </c>
      <c r="N258">
        <f>N257*(1+Table7[Monthly SF Inter])+Table9[[#This Row],[Monthly Payment]]-O257*(1+Table7[Monthly SF Inter])</f>
        <v>4212.4825059450768</v>
      </c>
      <c r="O258">
        <f>IF(MOD(Table9[[#This Row],[Month]],12)=0,(IF(Table9[[#This Row],[Current Balance]]&lt;Table9[[#This Row],[Max Lump Sum ]],Table9[[#This Row],[Current Balance]],Table9[[#This Row],[Max Lump Sum ]])),0)</f>
        <v>0</v>
      </c>
      <c r="P258" s="21">
        <f>Table7[Max annual lump sum repayment]*SUM(C259:C270)</f>
        <v>7880.3958913442566</v>
      </c>
      <c r="Q258" s="25">
        <f>Q257*(1+Table7[Monthly SF Inter])+Table9[[#This Row],[Inflation Modifier]]-R257*(1+Table7[Monthly SF Inter])</f>
        <v>10.531206264862693</v>
      </c>
      <c r="R258" s="25">
        <f>IF(MOD(Table9[[#This Row],[Month]],12)=0,Table9[[#This Row],[Q2 ACC FACTOR]],0)</f>
        <v>0</v>
      </c>
      <c r="S258" s="25">
        <f>S257*(1+D257)+Table9[[#This Row],[ACC FACTOR PAYMENTS]]</f>
        <v>540.23953654748425</v>
      </c>
    </row>
    <row r="259" spans="1:19" x14ac:dyDescent="0.25">
      <c r="A259" s="1">
        <v>247</v>
      </c>
      <c r="B259" s="1">
        <f t="shared" si="3"/>
        <v>0</v>
      </c>
      <c r="C259" s="7">
        <f>G$12/-PV(Table7[Monthly mortgage rate], (12*Table7[Amortization period (yrs)]),1 )</f>
        <v>4377.9977174134756</v>
      </c>
      <c r="D259" s="11">
        <f>IF(Table1[[#This Row],[Month]]&lt;=(12*Table7[mortgage term (yrs)]),Table7[Monthly mortgage rate],Table7[Monthly Exp Renewal Rate])</f>
        <v>4.9038466830562122E-3</v>
      </c>
      <c r="E259" s="21">
        <f>Table1[[#This Row],[Current mortgage rate]]*G258</f>
        <v>-130.4037650845049</v>
      </c>
      <c r="F259" s="5">
        <f>Table1[[#This Row],[Payment amount]]-Table1[[#This Row],[Interest paid]]</f>
        <v>4508.4014824979804</v>
      </c>
      <c r="G259" s="20">
        <f>G258-Table1[[#This Row],[Principal repaid]]-Table1[[#This Row],[Annual paym]]</f>
        <v>-31100.538943702966</v>
      </c>
      <c r="H259" s="20">
        <f>H258-(Table1[[#This Row],[Payment amount]]-Table1[[#This Row],[Interest Paid W/O LSP]])</f>
        <v>185257.59951302555</v>
      </c>
      <c r="I259">
        <f>H258*Table1[[#This Row],[Current mortgage rate]]</f>
        <v>925.40584607909648</v>
      </c>
      <c r="J259" s="25">
        <f>IF(Table1[[#This Row],[Month]]&gt;Table7[Amortization period (yrs)]*12,0,IF(Table1[[#This Row],[Month]]&lt;Table7[mortgage term (yrs)]*12,0,IF(Table1[[#This Row],[Month]]=Table7[mortgage term (yrs)]*12,-H$5,Table1[[#This Row],[Payment amount]]+B259)))</f>
        <v>0</v>
      </c>
      <c r="K259">
        <v>248</v>
      </c>
      <c r="L259">
        <f>Table7[Initial Monthly Deposit]*Table9[[#This Row],[Inflation Modifier]]</f>
        <v>594.37895839134171</v>
      </c>
      <c r="M259">
        <f xml:space="preserve"> (1+Table7[Inflation])^(QUOTIENT(Table9[[#This Row],[Month]]-1,12))</f>
        <v>1.4859473959783542</v>
      </c>
      <c r="N259">
        <f>N258*(1+Table7[Monthly SF Inter])+Table9[[#This Row],[Monthly Payment]]-O258*(1+Table7[Monthly SF Inter])</f>
        <v>4824.2333860893341</v>
      </c>
      <c r="O259">
        <f>IF(MOD(Table9[[#This Row],[Month]],12)=0,(IF(Table9[[#This Row],[Current Balance]]&lt;Table9[[#This Row],[Max Lump Sum ]],Table9[[#This Row],[Current Balance]],Table9[[#This Row],[Max Lump Sum ]])),0)</f>
        <v>0</v>
      </c>
      <c r="P259" s="21">
        <f>Table7[Max annual lump sum repayment]*SUM(C260:C271)</f>
        <v>7880.3958913442566</v>
      </c>
      <c r="Q259" s="25">
        <f>Q258*(1+Table7[Monthly SF Inter])+Table9[[#This Row],[Inflation Modifier]]-R258*(1+Table7[Monthly SF Inter])</f>
        <v>12.060583465223337</v>
      </c>
      <c r="R259" s="25">
        <f>IF(MOD(Table9[[#This Row],[Month]],12)=0,Table9[[#This Row],[Q2 ACC FACTOR]],0)</f>
        <v>0</v>
      </c>
      <c r="S259" s="25">
        <f>S258*(1+D258)+Table9[[#This Row],[ACC FACTOR PAYMENTS]]</f>
        <v>542.88878840683844</v>
      </c>
    </row>
    <row r="260" spans="1:19" x14ac:dyDescent="0.25">
      <c r="A260" s="1">
        <v>248</v>
      </c>
      <c r="B260" s="1">
        <f t="shared" si="3"/>
        <v>0</v>
      </c>
      <c r="C260" s="7">
        <f>G$12/-PV(Table7[Monthly mortgage rate], (12*Table7[Amortization period (yrs)]),1 )</f>
        <v>4377.9977174134756</v>
      </c>
      <c r="D260" s="11">
        <f>IF(Table1[[#This Row],[Month]]&lt;=(12*Table7[mortgage term (yrs)]),Table7[Monthly mortgage rate],Table7[Monthly Exp Renewal Rate])</f>
        <v>4.9038466830562122E-3</v>
      </c>
      <c r="E260" s="21">
        <f>Table1[[#This Row],[Current mortgage rate]]*G259</f>
        <v>-152.51227474033834</v>
      </c>
      <c r="F260" s="5">
        <f>Table1[[#This Row],[Payment amount]]-Table1[[#This Row],[Interest paid]]</f>
        <v>4530.509992153814</v>
      </c>
      <c r="G260" s="20">
        <f>G259-Table1[[#This Row],[Principal repaid]]-Table1[[#This Row],[Annual paym]]</f>
        <v>-35631.048935856779</v>
      </c>
      <c r="H260" s="20">
        <f>H259-(Table1[[#This Row],[Payment amount]]-Table1[[#This Row],[Interest Paid W/O LSP]])</f>
        <v>181788.07666049499</v>
      </c>
      <c r="I260">
        <f>H259*Table1[[#This Row],[Current mortgage rate]]</f>
        <v>908.47486488290645</v>
      </c>
      <c r="J260" s="25">
        <f>IF(Table1[[#This Row],[Month]]&gt;Table7[Amortization period (yrs)]*12,0,IF(Table1[[#This Row],[Month]]&lt;Table7[mortgage term (yrs)]*12,0,IF(Table1[[#This Row],[Month]]=Table7[mortgage term (yrs)]*12,-H$5,Table1[[#This Row],[Payment amount]]+B260)))</f>
        <v>0</v>
      </c>
      <c r="K260">
        <v>249</v>
      </c>
      <c r="L260">
        <f>Table7[Initial Monthly Deposit]*Table9[[#This Row],[Inflation Modifier]]</f>
        <v>594.37895839134171</v>
      </c>
      <c r="M260">
        <f xml:space="preserve"> (1+Table7[Inflation])^(QUOTIENT(Table9[[#This Row],[Month]]-1,12))</f>
        <v>1.4859473959783542</v>
      </c>
      <c r="N260">
        <f>N259*(1+Table7[Monthly SF Inter])+Table9[[#This Row],[Monthly Payment]]-O259*(1+Table7[Monthly SF Inter])</f>
        <v>5438.5070751490348</v>
      </c>
      <c r="O260">
        <f>IF(MOD(Table9[[#This Row],[Month]],12)=0,(IF(Table9[[#This Row],[Current Balance]]&lt;Table9[[#This Row],[Max Lump Sum ]],Table9[[#This Row],[Current Balance]],Table9[[#This Row],[Max Lump Sum ]])),0)</f>
        <v>0</v>
      </c>
      <c r="P260" s="21">
        <f>Table7[Max annual lump sum repayment]*SUM(C261:C272)</f>
        <v>7880.3958913442566</v>
      </c>
      <c r="Q260" s="25">
        <f>Q259*(1+Table7[Monthly SF Inter])+Table9[[#This Row],[Inflation Modifier]]-R259*(1+Table7[Monthly SF Inter])</f>
        <v>13.596267687872588</v>
      </c>
      <c r="R260" s="25">
        <f>IF(MOD(Table9[[#This Row],[Month]],12)=0,Table9[[#This Row],[Q2 ACC FACTOR]],0)</f>
        <v>0</v>
      </c>
      <c r="S260" s="25">
        <f>S259*(1+D259)+Table9[[#This Row],[ACC FACTOR PAYMENTS]]</f>
        <v>545.55103179113576</v>
      </c>
    </row>
    <row r="261" spans="1:19" x14ac:dyDescent="0.25">
      <c r="A261" s="1">
        <v>249</v>
      </c>
      <c r="B261" s="1">
        <f t="shared" si="3"/>
        <v>0</v>
      </c>
      <c r="C261" s="7">
        <f>G$12/-PV(Table7[Monthly mortgage rate], (12*Table7[Amortization period (yrs)]),1 )</f>
        <v>4377.9977174134756</v>
      </c>
      <c r="D261" s="11">
        <f>IF(Table1[[#This Row],[Month]]&lt;=(12*Table7[mortgage term (yrs)]),Table7[Monthly mortgage rate],Table7[Monthly Exp Renewal Rate])</f>
        <v>4.9038466830562122E-3</v>
      </c>
      <c r="E261" s="21">
        <f>Table1[[#This Row],[Current mortgage rate]]*G260</f>
        <v>-174.72920113791486</v>
      </c>
      <c r="F261" s="5">
        <f>Table1[[#This Row],[Payment amount]]-Table1[[#This Row],[Interest paid]]</f>
        <v>4552.7269185513906</v>
      </c>
      <c r="G261" s="20">
        <f>G260-Table1[[#This Row],[Principal repaid]]-Table1[[#This Row],[Annual paym]]</f>
        <v>-40183.775854408173</v>
      </c>
      <c r="H261" s="20">
        <f>H260-(Table1[[#This Row],[Payment amount]]-Table1[[#This Row],[Interest Paid W/O LSP]])</f>
        <v>178301.53979983224</v>
      </c>
      <c r="I261">
        <f>H260*Table1[[#This Row],[Current mortgage rate]]</f>
        <v>891.46085675073675</v>
      </c>
      <c r="J261" s="25">
        <f>IF(Table1[[#This Row],[Month]]&gt;Table7[Amortization period (yrs)]*12,0,IF(Table1[[#This Row],[Month]]&lt;Table7[mortgage term (yrs)]*12,0,IF(Table1[[#This Row],[Month]]=Table7[mortgage term (yrs)]*12,-H$5,Table1[[#This Row],[Payment amount]]+B261)))</f>
        <v>0</v>
      </c>
      <c r="K261">
        <v>250</v>
      </c>
      <c r="L261">
        <f>Table7[Initial Monthly Deposit]*Table9[[#This Row],[Inflation Modifier]]</f>
        <v>594.37895839134171</v>
      </c>
      <c r="M261">
        <f xml:space="preserve"> (1+Table7[Inflation])^(QUOTIENT(Table9[[#This Row],[Month]]-1,12))</f>
        <v>1.4859473959783542</v>
      </c>
      <c r="N261">
        <f>N260*(1+Table7[Monthly SF Inter])+Table9[[#This Row],[Monthly Payment]]-O260*(1+Table7[Monthly SF Inter])</f>
        <v>6055.3139769748796</v>
      </c>
      <c r="O261">
        <f>IF(MOD(Table9[[#This Row],[Month]],12)=0,(IF(Table9[[#This Row],[Current Balance]]&lt;Table9[[#This Row],[Max Lump Sum ]],Table9[[#This Row],[Current Balance]],Table9[[#This Row],[Max Lump Sum ]])),0)</f>
        <v>0</v>
      </c>
      <c r="P261" s="21">
        <f>Table7[Max annual lump sum repayment]*SUM(C262:C273)</f>
        <v>7880.3958913442566</v>
      </c>
      <c r="Q261" s="25">
        <f>Q260*(1+Table7[Monthly SF Inter])+Table9[[#This Row],[Inflation Modifier]]-R260*(1+Table7[Monthly SF Inter])</f>
        <v>15.138284942437201</v>
      </c>
      <c r="R261" s="25">
        <f>IF(MOD(Table9[[#This Row],[Month]],12)=0,Table9[[#This Row],[Q2 ACC FACTOR]],0)</f>
        <v>0</v>
      </c>
      <c r="S261" s="25">
        <f>S260*(1+D260)+Table9[[#This Row],[ACC FACTOR PAYMENTS]]</f>
        <v>548.22633040882261</v>
      </c>
    </row>
    <row r="262" spans="1:19" x14ac:dyDescent="0.25">
      <c r="A262" s="1">
        <v>250</v>
      </c>
      <c r="B262" s="1">
        <f t="shared" si="3"/>
        <v>0</v>
      </c>
      <c r="C262" s="7">
        <f>G$12/-PV(Table7[Monthly mortgage rate], (12*Table7[Amortization period (yrs)]),1 )</f>
        <v>4377.9977174134756</v>
      </c>
      <c r="D262" s="11">
        <f>IF(Table1[[#This Row],[Month]]&lt;=(12*Table7[mortgage term (yrs)]),Table7[Monthly mortgage rate],Table7[Monthly Exp Renewal Rate])</f>
        <v>4.9038466830562122E-3</v>
      </c>
      <c r="E262" s="21">
        <f>Table1[[#This Row],[Current mortgage rate]]*G261</f>
        <v>-197.05507593631384</v>
      </c>
      <c r="F262" s="5">
        <f>Table1[[#This Row],[Payment amount]]-Table1[[#This Row],[Interest paid]]</f>
        <v>4575.0527933497897</v>
      </c>
      <c r="G262" s="20">
        <f>G261-Table1[[#This Row],[Principal repaid]]-Table1[[#This Row],[Annual paym]]</f>
        <v>-44758.82864775796</v>
      </c>
      <c r="H262" s="20">
        <f>H261-(Table1[[#This Row],[Payment amount]]-Table1[[#This Row],[Interest Paid W/O LSP]])</f>
        <v>174797.90549695</v>
      </c>
      <c r="I262">
        <f>H261*Table1[[#This Row],[Current mortgage rate]]</f>
        <v>874.36341453122259</v>
      </c>
      <c r="J262" s="25">
        <f>IF(Table1[[#This Row],[Month]]&gt;Table7[Amortization period (yrs)]*12,0,IF(Table1[[#This Row],[Month]]&lt;Table7[mortgage term (yrs)]*12,0,IF(Table1[[#This Row],[Month]]=Table7[mortgage term (yrs)]*12,-H$5,Table1[[#This Row],[Payment amount]]+B262)))</f>
        <v>0</v>
      </c>
      <c r="K262">
        <v>251</v>
      </c>
      <c r="L262">
        <f>Table7[Initial Monthly Deposit]*Table9[[#This Row],[Inflation Modifier]]</f>
        <v>594.37895839134171</v>
      </c>
      <c r="M262">
        <f xml:space="preserve"> (1+Table7[Inflation])^(QUOTIENT(Table9[[#This Row],[Month]]-1,12))</f>
        <v>1.4859473959783542</v>
      </c>
      <c r="N262">
        <f>N261*(1+Table7[Monthly SF Inter])+Table9[[#This Row],[Monthly Payment]]-O261*(1+Table7[Monthly SF Inter])</f>
        <v>6674.6645383221712</v>
      </c>
      <c r="O262">
        <f>IF(MOD(Table9[[#This Row],[Month]],12)=0,(IF(Table9[[#This Row],[Current Balance]]&lt;Table9[[#This Row],[Max Lump Sum ]],Table9[[#This Row],[Current Balance]],Table9[[#This Row],[Max Lump Sum ]])),0)</f>
        <v>0</v>
      </c>
      <c r="P262" s="21">
        <f>Table7[Max annual lump sum repayment]*SUM(C263:C274)</f>
        <v>7880.3958913442566</v>
      </c>
      <c r="Q262" s="25">
        <f>Q261*(1+Table7[Monthly SF Inter])+Table9[[#This Row],[Inflation Modifier]]-R261*(1+Table7[Monthly SF Inter])</f>
        <v>16.686661345805433</v>
      </c>
      <c r="R262" s="25">
        <f>IF(MOD(Table9[[#This Row],[Month]],12)=0,Table9[[#This Row],[Q2 ACC FACTOR]],0)</f>
        <v>0</v>
      </c>
      <c r="S262" s="25">
        <f>S261*(1+D261)+Table9[[#This Row],[ACC FACTOR PAYMENTS]]</f>
        <v>550.91474828076196</v>
      </c>
    </row>
    <row r="263" spans="1:19" x14ac:dyDescent="0.25">
      <c r="A263" s="1">
        <v>251</v>
      </c>
      <c r="B263" s="1">
        <f t="shared" si="3"/>
        <v>0</v>
      </c>
      <c r="C263" s="7">
        <f>G$12/-PV(Table7[Monthly mortgage rate], (12*Table7[Amortization period (yrs)]),1 )</f>
        <v>4377.9977174134756</v>
      </c>
      <c r="D263" s="11">
        <f>IF(Table1[[#This Row],[Month]]&lt;=(12*Table7[mortgage term (yrs)]),Table7[Monthly mortgage rate],Table7[Monthly Exp Renewal Rate])</f>
        <v>4.9038466830562122E-3</v>
      </c>
      <c r="E263" s="21">
        <f>Table1[[#This Row],[Current mortgage rate]]*G262</f>
        <v>-219.49043340178923</v>
      </c>
      <c r="F263" s="5">
        <f>Table1[[#This Row],[Payment amount]]-Table1[[#This Row],[Interest paid]]</f>
        <v>4597.4881508152648</v>
      </c>
      <c r="G263" s="20">
        <f>G262-Table1[[#This Row],[Principal repaid]]-Table1[[#This Row],[Annual paym]]</f>
        <v>-49356.316798573229</v>
      </c>
      <c r="H263" s="20">
        <f>H262-(Table1[[#This Row],[Payment amount]]-Table1[[#This Row],[Interest Paid W/O LSP]])</f>
        <v>171277.08990861292</v>
      </c>
      <c r="I263">
        <f>H262*Table1[[#This Row],[Current mortgage rate]]</f>
        <v>857.18212907639145</v>
      </c>
      <c r="J263" s="25">
        <f>IF(Table1[[#This Row],[Month]]&gt;Table7[Amortization period (yrs)]*12,0,IF(Table1[[#This Row],[Month]]&lt;Table7[mortgage term (yrs)]*12,0,IF(Table1[[#This Row],[Month]]=Table7[mortgage term (yrs)]*12,-H$5,Table1[[#This Row],[Payment amount]]+B263)))</f>
        <v>0</v>
      </c>
      <c r="K263">
        <v>252</v>
      </c>
      <c r="L263">
        <f>Table7[Initial Monthly Deposit]*Table9[[#This Row],[Inflation Modifier]]</f>
        <v>594.37895839134171</v>
      </c>
      <c r="M263">
        <f xml:space="preserve"> (1+Table7[Inflation])^(QUOTIENT(Table9[[#This Row],[Month]]-1,12))</f>
        <v>1.4859473959783542</v>
      </c>
      <c r="N263">
        <f>N262*(1+Table7[Monthly SF Inter])+Table9[[#This Row],[Monthly Payment]]-O262*(1+Table7[Monthly SF Inter])</f>
        <v>7296.5692490277488</v>
      </c>
      <c r="O263">
        <f>IF(MOD(Table9[[#This Row],[Month]],12)=0,(IF(Table9[[#This Row],[Current Balance]]&lt;Table9[[#This Row],[Max Lump Sum ]],Table9[[#This Row],[Current Balance]],Table9[[#This Row],[Max Lump Sum ]])),0)</f>
        <v>7296.5692490277488</v>
      </c>
      <c r="P263" s="21">
        <f>Table7[Max annual lump sum repayment]*SUM(C264:C275)</f>
        <v>7880.3958913442566</v>
      </c>
      <c r="Q263" s="25">
        <f>Q262*(1+Table7[Monthly SF Inter])+Table9[[#This Row],[Inflation Modifier]]-R262*(1+Table7[Monthly SF Inter])</f>
        <v>18.24142312256938</v>
      </c>
      <c r="R263" s="25">
        <f>IF(MOD(Table9[[#This Row],[Month]],12)=0,Table9[[#This Row],[Q2 ACC FACTOR]],0)</f>
        <v>18.24142312256938</v>
      </c>
      <c r="S263" s="25">
        <f>S262*(1+D262)+Table9[[#This Row],[ACC FACTOR PAYMENTS]]</f>
        <v>571.85777286433472</v>
      </c>
    </row>
    <row r="264" spans="1:19" x14ac:dyDescent="0.25">
      <c r="A264" s="1">
        <v>252</v>
      </c>
      <c r="B264" s="1">
        <f t="shared" si="3"/>
        <v>7296.5692490277488</v>
      </c>
      <c r="C264" s="7">
        <f>G$12/-PV(Table7[Monthly mortgage rate], (12*Table7[Amortization period (yrs)]),1 )</f>
        <v>4377.9977174134756</v>
      </c>
      <c r="D264" s="11">
        <f>IF(Table1[[#This Row],[Month]]&lt;=(12*Table7[mortgage term (yrs)]),Table7[Monthly mortgage rate],Table7[Monthly Exp Renewal Rate])</f>
        <v>4.9038466830562122E-3</v>
      </c>
      <c r="E264" s="21">
        <f>Table1[[#This Row],[Current mortgage rate]]*G263</f>
        <v>-242.03581042055492</v>
      </c>
      <c r="F264" s="5">
        <f>Table1[[#This Row],[Payment amount]]-Table1[[#This Row],[Interest paid]]</f>
        <v>4620.0335278340308</v>
      </c>
      <c r="G264" s="20">
        <f>G263-Table1[[#This Row],[Principal repaid]]-Table1[[#This Row],[Annual paym]]</f>
        <v>-61272.919575435008</v>
      </c>
      <c r="H264" s="20">
        <f>H263-(Table1[[#This Row],[Payment amount]]-Table1[[#This Row],[Interest Paid W/O LSP]])</f>
        <v>167739.00878043132</v>
      </c>
      <c r="I264">
        <f>H263*Table1[[#This Row],[Current mortgage rate]]</f>
        <v>839.91658923187208</v>
      </c>
      <c r="J264" s="25">
        <f>IF(Table1[[#This Row],[Month]]&gt;Table7[Amortization period (yrs)]*12,0,IF(Table1[[#This Row],[Month]]&lt;Table7[mortgage term (yrs)]*12,0,IF(Table1[[#This Row],[Month]]=Table7[mortgage term (yrs)]*12,-H$5,Table1[[#This Row],[Payment amount]]+B264)))</f>
        <v>0</v>
      </c>
      <c r="K264">
        <v>253</v>
      </c>
      <c r="L264">
        <f>Table7[Initial Monthly Deposit]*Table9[[#This Row],[Inflation Modifier]]</f>
        <v>606.26653755916846</v>
      </c>
      <c r="M264">
        <f xml:space="preserve"> (1+Table7[Inflation])^(QUOTIENT(Table9[[#This Row],[Month]]-1,12))</f>
        <v>1.5156663438979212</v>
      </c>
      <c r="N264">
        <f>N263*(1+Table7[Monthly SF Inter])+Table9[[#This Row],[Monthly Payment]]-O263*(1+Table7[Monthly SF Inter])</f>
        <v>606.26653755916868</v>
      </c>
      <c r="O264">
        <f>IF(MOD(Table9[[#This Row],[Month]],12)=0,(IF(Table9[[#This Row],[Current Balance]]&lt;Table9[[#This Row],[Max Lump Sum ]],Table9[[#This Row],[Current Balance]],Table9[[#This Row],[Max Lump Sum ]])),0)</f>
        <v>0</v>
      </c>
      <c r="P264" s="21">
        <f>Table7[Max annual lump sum repayment]*SUM(C265:C276)</f>
        <v>7880.3958913442566</v>
      </c>
      <c r="Q264" s="25">
        <f>Q263*(1+Table7[Monthly SF Inter])+Table9[[#This Row],[Inflation Modifier]]-R263*(1+Table7[Monthly SF Inter])</f>
        <v>1.5156663438979194</v>
      </c>
      <c r="R264" s="25">
        <f>IF(MOD(Table9[[#This Row],[Month]],12)=0,Table9[[#This Row],[Q2 ACC FACTOR]],0)</f>
        <v>0</v>
      </c>
      <c r="S264" s="25">
        <f>S263*(1+D263)+Table9[[#This Row],[ACC FACTOR PAYMENTS]]</f>
        <v>574.66207570697543</v>
      </c>
    </row>
    <row r="265" spans="1:19" x14ac:dyDescent="0.25">
      <c r="A265" s="1">
        <v>253</v>
      </c>
      <c r="B265" s="1">
        <f t="shared" si="3"/>
        <v>0</v>
      </c>
      <c r="C265" s="7">
        <f>G$12/-PV(Table7[Monthly mortgage rate], (12*Table7[Amortization period (yrs)]),1 )</f>
        <v>4377.9977174134756</v>
      </c>
      <c r="D265" s="11">
        <f>IF(Table1[[#This Row],[Month]]&lt;=(12*Table7[mortgage term (yrs)]),Table7[Monthly mortgage rate],Table7[Monthly Exp Renewal Rate])</f>
        <v>4.9038466830562122E-3</v>
      </c>
      <c r="E265" s="21">
        <f>Table1[[#This Row],[Current mortgage rate]]*G264</f>
        <v>-300.47300342116699</v>
      </c>
      <c r="F265" s="5">
        <f>Table1[[#This Row],[Payment amount]]-Table1[[#This Row],[Interest paid]]</f>
        <v>4678.4707208346426</v>
      </c>
      <c r="G265" s="20">
        <f>G264-Table1[[#This Row],[Principal repaid]]-Table1[[#This Row],[Annual paym]]</f>
        <v>-65951.390296269645</v>
      </c>
      <c r="H265" s="20">
        <f>H264-(Table1[[#This Row],[Payment amount]]-Table1[[#This Row],[Interest Paid W/O LSP]])</f>
        <v>164183.57744484491</v>
      </c>
      <c r="I265">
        <f>H264*Table1[[#This Row],[Current mortgage rate]]</f>
        <v>822.56638182705501</v>
      </c>
      <c r="J265" s="25">
        <f>IF(Table1[[#This Row],[Month]]&gt;Table7[Amortization period (yrs)]*12,0,IF(Table1[[#This Row],[Month]]&lt;Table7[mortgage term (yrs)]*12,0,IF(Table1[[#This Row],[Month]]=Table7[mortgage term (yrs)]*12,-H$5,Table1[[#This Row],[Payment amount]]+B265)))</f>
        <v>0</v>
      </c>
      <c r="K265">
        <v>254</v>
      </c>
      <c r="L265">
        <f>Table7[Initial Monthly Deposit]*Table9[[#This Row],[Inflation Modifier]]</f>
        <v>606.26653755916846</v>
      </c>
      <c r="M265">
        <f xml:space="preserve"> (1+Table7[Inflation])^(QUOTIENT(Table9[[#This Row],[Month]]-1,12))</f>
        <v>1.5156663438979212</v>
      </c>
      <c r="N265">
        <f>N264*(1+Table7[Monthly SF Inter])+Table9[[#This Row],[Monthly Payment]]-O264*(1+Table7[Monthly SF Inter])</f>
        <v>1215.0332670685768</v>
      </c>
      <c r="O265">
        <f>IF(MOD(Table9[[#This Row],[Month]],12)=0,(IF(Table9[[#This Row],[Current Balance]]&lt;Table9[[#This Row],[Max Lump Sum ]],Table9[[#This Row],[Current Balance]],Table9[[#This Row],[Max Lump Sum ]])),0)</f>
        <v>0</v>
      </c>
      <c r="P265" s="21">
        <f>Table7[Max annual lump sum repayment]*SUM(C266:C277)</f>
        <v>7880.3958913442566</v>
      </c>
      <c r="Q265" s="25">
        <f>Q264*(1+Table7[Monthly SF Inter])+Table9[[#This Row],[Inflation Modifier]]-R264*(1+Table7[Monthly SF Inter])</f>
        <v>3.03758316767144</v>
      </c>
      <c r="R265" s="25">
        <f>IF(MOD(Table9[[#This Row],[Month]],12)=0,Table9[[#This Row],[Q2 ACC FACTOR]],0)</f>
        <v>0</v>
      </c>
      <c r="S265" s="25">
        <f>S264*(1+D264)+Table9[[#This Row],[ACC FACTOR PAYMENTS]]</f>
        <v>577.48013042080925</v>
      </c>
    </row>
    <row r="266" spans="1:19" x14ac:dyDescent="0.25">
      <c r="A266" s="1">
        <v>254</v>
      </c>
      <c r="B266" s="1">
        <f t="shared" si="3"/>
        <v>0</v>
      </c>
      <c r="C266" s="7">
        <f>G$12/-PV(Table7[Monthly mortgage rate], (12*Table7[Amortization period (yrs)]),1 )</f>
        <v>4377.9977174134756</v>
      </c>
      <c r="D266" s="11">
        <f>IF(Table1[[#This Row],[Month]]&lt;=(12*Table7[mortgage term (yrs)]),Table7[Monthly mortgage rate],Table7[Monthly Exp Renewal Rate])</f>
        <v>4.9038466830562122E-3</v>
      </c>
      <c r="E266" s="21">
        <f>Table1[[#This Row],[Current mortgage rate]]*G265</f>
        <v>-323.41550654730753</v>
      </c>
      <c r="F266" s="5">
        <f>Table1[[#This Row],[Payment amount]]-Table1[[#This Row],[Interest paid]]</f>
        <v>4701.4132239607834</v>
      </c>
      <c r="G266" s="20">
        <f>G265-Table1[[#This Row],[Principal repaid]]-Table1[[#This Row],[Annual paym]]</f>
        <v>-70652.803520230431</v>
      </c>
      <c r="H266" s="20">
        <f>H265-(Table1[[#This Row],[Payment amount]]-Table1[[#This Row],[Interest Paid W/O LSP]])</f>
        <v>160610.71081909662</v>
      </c>
      <c r="I266">
        <f>H265*Table1[[#This Row],[Current mortgage rate]]</f>
        <v>805.13109166520542</v>
      </c>
      <c r="J266" s="25">
        <f>IF(Table1[[#This Row],[Month]]&gt;Table7[Amortization period (yrs)]*12,0,IF(Table1[[#This Row],[Month]]&lt;Table7[mortgage term (yrs)]*12,0,IF(Table1[[#This Row],[Month]]=Table7[mortgage term (yrs)]*12,-H$5,Table1[[#This Row],[Payment amount]]+B266)))</f>
        <v>0</v>
      </c>
      <c r="K266">
        <v>255</v>
      </c>
      <c r="L266">
        <f>Table7[Initial Monthly Deposit]*Table9[[#This Row],[Inflation Modifier]]</f>
        <v>606.26653755916846</v>
      </c>
      <c r="M266">
        <f xml:space="preserve"> (1+Table7[Inflation])^(QUOTIENT(Table9[[#This Row],[Month]]-1,12))</f>
        <v>1.5156663438979212</v>
      </c>
      <c r="N266">
        <f>N265*(1+Table7[Monthly SF Inter])+Table9[[#This Row],[Monthly Payment]]-O265*(1+Table7[Monthly SF Inter])</f>
        <v>1826.310499108474</v>
      </c>
      <c r="O266">
        <f>IF(MOD(Table9[[#This Row],[Month]],12)=0,(IF(Table9[[#This Row],[Current Balance]]&lt;Table9[[#This Row],[Max Lump Sum ]],Table9[[#This Row],[Current Balance]],Table9[[#This Row],[Max Lump Sum ]])),0)</f>
        <v>0</v>
      </c>
      <c r="P266" s="21">
        <f>Table7[Max annual lump sum repayment]*SUM(C267:C278)</f>
        <v>7880.3958913442566</v>
      </c>
      <c r="Q266" s="25">
        <f>Q265*(1+Table7[Monthly SF Inter])+Table9[[#This Row],[Inflation Modifier]]-R265*(1+Table7[Monthly SF Inter])</f>
        <v>4.5657762477711827</v>
      </c>
      <c r="R266" s="25">
        <f>IF(MOD(Table9[[#This Row],[Month]],12)=0,Table9[[#This Row],[Q2 ACC FACTOR]],0)</f>
        <v>0</v>
      </c>
      <c r="S266" s="25">
        <f>S265*(1+D265)+Table9[[#This Row],[ACC FACTOR PAYMENTS]]</f>
        <v>580.31200444290425</v>
      </c>
    </row>
    <row r="267" spans="1:19" x14ac:dyDescent="0.25">
      <c r="A267" s="1">
        <v>255</v>
      </c>
      <c r="B267" s="1">
        <f t="shared" si="3"/>
        <v>0</v>
      </c>
      <c r="C267" s="7">
        <f>G$12/-PV(Table7[Monthly mortgage rate], (12*Table7[Amortization period (yrs)]),1 )</f>
        <v>4377.9977174134756</v>
      </c>
      <c r="D267" s="11">
        <f>IF(Table1[[#This Row],[Month]]&lt;=(12*Table7[mortgage term (yrs)]),Table7[Monthly mortgage rate],Table7[Monthly Exp Renewal Rate])</f>
        <v>4.9038466830562122E-3</v>
      </c>
      <c r="E267" s="21">
        <f>Table1[[#This Row],[Current mortgage rate]]*G266</f>
        <v>-346.47051619130428</v>
      </c>
      <c r="F267" s="5">
        <f>Table1[[#This Row],[Payment amount]]-Table1[[#This Row],[Interest paid]]</f>
        <v>4724.4682336047799</v>
      </c>
      <c r="G267" s="20">
        <f>G266-Table1[[#This Row],[Principal repaid]]-Table1[[#This Row],[Annual paym]]</f>
        <v>-75377.271753835215</v>
      </c>
      <c r="H267" s="20">
        <f>H266-(Table1[[#This Row],[Payment amount]]-Table1[[#This Row],[Interest Paid W/O LSP]])</f>
        <v>157020.32340319667</v>
      </c>
      <c r="I267">
        <f>H266*Table1[[#This Row],[Current mortgage rate]]</f>
        <v>787.61030151352747</v>
      </c>
      <c r="J267" s="25">
        <f>IF(Table1[[#This Row],[Month]]&gt;Table7[Amortization period (yrs)]*12,0,IF(Table1[[#This Row],[Month]]&lt;Table7[mortgage term (yrs)]*12,0,IF(Table1[[#This Row],[Month]]=Table7[mortgage term (yrs)]*12,-H$5,Table1[[#This Row],[Payment amount]]+B267)))</f>
        <v>0</v>
      </c>
      <c r="K267">
        <v>256</v>
      </c>
      <c r="L267">
        <f>Table7[Initial Monthly Deposit]*Table9[[#This Row],[Inflation Modifier]]</f>
        <v>606.26653755916846</v>
      </c>
      <c r="M267">
        <f xml:space="preserve"> (1+Table7[Inflation])^(QUOTIENT(Table9[[#This Row],[Month]]-1,12))</f>
        <v>1.5156663438979212</v>
      </c>
      <c r="N267">
        <f>N266*(1+Table7[Monthly SF Inter])+Table9[[#This Row],[Monthly Payment]]-O266*(1+Table7[Monthly SF Inter])</f>
        <v>2440.1085867790712</v>
      </c>
      <c r="O267">
        <f>IF(MOD(Table9[[#This Row],[Month]],12)=0,(IF(Table9[[#This Row],[Current Balance]]&lt;Table9[[#This Row],[Max Lump Sum ]],Table9[[#This Row],[Current Balance]],Table9[[#This Row],[Max Lump Sum ]])),0)</f>
        <v>0</v>
      </c>
      <c r="P267" s="21">
        <f>Table7[Max annual lump sum repayment]*SUM(C268:C279)</f>
        <v>7880.3958913442566</v>
      </c>
      <c r="Q267" s="25">
        <f>Q266*(1+Table7[Monthly SF Inter])+Table9[[#This Row],[Inflation Modifier]]-R266*(1+Table7[Monthly SF Inter])</f>
        <v>6.1002714669476754</v>
      </c>
      <c r="R267" s="25">
        <f>IF(MOD(Table9[[#This Row],[Month]],12)=0,Table9[[#This Row],[Q2 ACC FACTOR]],0)</f>
        <v>0</v>
      </c>
      <c r="S267" s="25">
        <f>S266*(1+D266)+Table9[[#This Row],[ACC FACTOR PAYMENTS]]</f>
        <v>583.15776554102933</v>
      </c>
    </row>
    <row r="268" spans="1:19" x14ac:dyDescent="0.25">
      <c r="A268" s="1">
        <v>256</v>
      </c>
      <c r="B268" s="1">
        <f t="shared" si="3"/>
        <v>0</v>
      </c>
      <c r="C268" s="7">
        <f>G$12/-PV(Table7[Monthly mortgage rate], (12*Table7[Amortization period (yrs)]),1 )</f>
        <v>4377.9977174134756</v>
      </c>
      <c r="D268" s="11">
        <f>IF(Table1[[#This Row],[Month]]&lt;=(12*Table7[mortgage term (yrs)]),Table7[Monthly mortgage rate],Table7[Monthly Exp Renewal Rate])</f>
        <v>4.9038466830562122E-3</v>
      </c>
      <c r="E268" s="21">
        <f>Table1[[#This Row],[Current mortgage rate]]*G267</f>
        <v>-369.63858406787153</v>
      </c>
      <c r="F268" s="5">
        <f>Table1[[#This Row],[Payment amount]]-Table1[[#This Row],[Interest paid]]</f>
        <v>4747.6363014813469</v>
      </c>
      <c r="G268" s="20">
        <f>G267-Table1[[#This Row],[Principal repaid]]-Table1[[#This Row],[Annual paym]]</f>
        <v>-80124.90805531657</v>
      </c>
      <c r="H268" s="20">
        <f>H267-(Table1[[#This Row],[Payment amount]]-Table1[[#This Row],[Interest Paid W/O LSP]])</f>
        <v>153412.32927787639</v>
      </c>
      <c r="I268">
        <f>H267*Table1[[#This Row],[Current mortgage rate]]</f>
        <v>770.00359209317969</v>
      </c>
      <c r="J268" s="25">
        <f>IF(Table1[[#This Row],[Month]]&gt;Table7[Amortization period (yrs)]*12,0,IF(Table1[[#This Row],[Month]]&lt;Table7[mortgage term (yrs)]*12,0,IF(Table1[[#This Row],[Month]]=Table7[mortgage term (yrs)]*12,-H$5,Table1[[#This Row],[Payment amount]]+B268)))</f>
        <v>0</v>
      </c>
      <c r="K268">
        <v>257</v>
      </c>
      <c r="L268">
        <f>Table7[Initial Monthly Deposit]*Table9[[#This Row],[Inflation Modifier]]</f>
        <v>606.26653755916846</v>
      </c>
      <c r="M268">
        <f xml:space="preserve"> (1+Table7[Inflation])^(QUOTIENT(Table9[[#This Row],[Month]]-1,12))</f>
        <v>1.5156663438979212</v>
      </c>
      <c r="N268">
        <f>N267*(1+Table7[Monthly SF Inter])+Table9[[#This Row],[Monthly Payment]]-O267*(1+Table7[Monthly SF Inter])</f>
        <v>3056.4379258758891</v>
      </c>
      <c r="O268">
        <f>IF(MOD(Table9[[#This Row],[Month]],12)=0,(IF(Table9[[#This Row],[Current Balance]]&lt;Table9[[#This Row],[Max Lump Sum ]],Table9[[#This Row],[Current Balance]],Table9[[#This Row],[Max Lump Sum ]])),0)</f>
        <v>0</v>
      </c>
      <c r="P268" s="21">
        <f>Table7[Max annual lump sum repayment]*SUM(C269:C280)</f>
        <v>7880.3958913442566</v>
      </c>
      <c r="Q268" s="25">
        <f>Q267*(1+Table7[Monthly SF Inter])+Table9[[#This Row],[Inflation Modifier]]-R267*(1+Table7[Monthly SF Inter])</f>
        <v>7.64109481468972</v>
      </c>
      <c r="R268" s="25">
        <f>IF(MOD(Table9[[#This Row],[Month]],12)=0,Table9[[#This Row],[Q2 ACC FACTOR]],0)</f>
        <v>0</v>
      </c>
      <c r="S268" s="25">
        <f>S267*(1+D267)+Table9[[#This Row],[ACC FACTOR PAYMENTS]]</f>
        <v>586.01748181527614</v>
      </c>
    </row>
    <row r="269" spans="1:19" x14ac:dyDescent="0.25">
      <c r="A269" s="1">
        <v>257</v>
      </c>
      <c r="B269" s="1">
        <f t="shared" ref="B269:B332" si="4">O268</f>
        <v>0</v>
      </c>
      <c r="C269" s="7">
        <f>G$12/-PV(Table7[Monthly mortgage rate], (12*Table7[Amortization period (yrs)]),1 )</f>
        <v>4377.9977174134756</v>
      </c>
      <c r="D269" s="11">
        <f>IF(Table1[[#This Row],[Month]]&lt;=(12*Table7[mortgage term (yrs)]),Table7[Monthly mortgage rate],Table7[Monthly Exp Renewal Rate])</f>
        <v>4.9038466830562122E-3</v>
      </c>
      <c r="E269" s="21">
        <f>Table1[[#This Row],[Current mortgage rate]]*G268</f>
        <v>-392.92026459724815</v>
      </c>
      <c r="F269" s="5">
        <f>Table1[[#This Row],[Payment amount]]-Table1[[#This Row],[Interest paid]]</f>
        <v>4770.9179820107238</v>
      </c>
      <c r="G269" s="20">
        <f>G268-Table1[[#This Row],[Principal repaid]]-Table1[[#This Row],[Annual paym]]</f>
        <v>-84895.826037327293</v>
      </c>
      <c r="H269" s="20">
        <f>H268-(Table1[[#This Row],[Payment amount]]-Table1[[#This Row],[Interest Paid W/O LSP]])</f>
        <v>149786.64210253215</v>
      </c>
      <c r="I269">
        <f>H268*Table1[[#This Row],[Current mortgage rate]]</f>
        <v>752.31054206924159</v>
      </c>
      <c r="J269" s="25">
        <f>IF(Table1[[#This Row],[Month]]&gt;Table7[Amortization period (yrs)]*12,0,IF(Table1[[#This Row],[Month]]&lt;Table7[mortgage term (yrs)]*12,0,IF(Table1[[#This Row],[Month]]=Table7[mortgage term (yrs)]*12,-H$5,Table1[[#This Row],[Payment amount]]+B269)))</f>
        <v>0</v>
      </c>
      <c r="K269">
        <v>258</v>
      </c>
      <c r="L269">
        <f>Table7[Initial Monthly Deposit]*Table9[[#This Row],[Inflation Modifier]]</f>
        <v>606.26653755916846</v>
      </c>
      <c r="M269">
        <f xml:space="preserve"> (1+Table7[Inflation])^(QUOTIENT(Table9[[#This Row],[Month]]-1,12))</f>
        <v>1.5156663438979212</v>
      </c>
      <c r="N269">
        <f>N268*(1+Table7[Monthly SF Inter])+Table9[[#This Row],[Monthly Payment]]-O268*(1+Table7[Monthly SF Inter])</f>
        <v>3675.3089550658306</v>
      </c>
      <c r="O269">
        <f>IF(MOD(Table9[[#This Row],[Month]],12)=0,(IF(Table9[[#This Row],[Current Balance]]&lt;Table9[[#This Row],[Max Lump Sum ]],Table9[[#This Row],[Current Balance]],Table9[[#This Row],[Max Lump Sum ]])),0)</f>
        <v>0</v>
      </c>
      <c r="P269" s="21">
        <f>Table7[Max annual lump sum repayment]*SUM(C270:C281)</f>
        <v>7880.3958913442566</v>
      </c>
      <c r="Q269" s="25">
        <f>Q268*(1+Table7[Monthly SF Inter])+Table9[[#This Row],[Inflation Modifier]]-R268*(1+Table7[Monthly SF Inter])</f>
        <v>9.1882723876645738</v>
      </c>
      <c r="R269" s="25">
        <f>IF(MOD(Table9[[#This Row],[Month]],12)=0,Table9[[#This Row],[Q2 ACC FACTOR]],0)</f>
        <v>0</v>
      </c>
      <c r="S269" s="25">
        <f>S268*(1+D268)+Table9[[#This Row],[ACC FACTOR PAYMENTS]]</f>
        <v>588.89122169968891</v>
      </c>
    </row>
    <row r="270" spans="1:19" x14ac:dyDescent="0.25">
      <c r="A270" s="1">
        <v>258</v>
      </c>
      <c r="B270" s="1">
        <f t="shared" si="4"/>
        <v>0</v>
      </c>
      <c r="C270" s="7">
        <f>G$12/-PV(Table7[Monthly mortgage rate], (12*Table7[Amortization period (yrs)]),1 )</f>
        <v>4377.9977174134756</v>
      </c>
      <c r="D270" s="11">
        <f>IF(Table1[[#This Row],[Month]]&lt;=(12*Table7[mortgage term (yrs)]),Table7[Monthly mortgage rate],Table7[Monthly Exp Renewal Rate])</f>
        <v>4.9038466830562122E-3</v>
      </c>
      <c r="E270" s="21">
        <f>Table1[[#This Row],[Current mortgage rate]]*G269</f>
        <v>-416.31611491846468</v>
      </c>
      <c r="F270" s="5">
        <f>Table1[[#This Row],[Payment amount]]-Table1[[#This Row],[Interest paid]]</f>
        <v>4794.3138323319399</v>
      </c>
      <c r="G270" s="20">
        <f>G269-Table1[[#This Row],[Principal repaid]]-Table1[[#This Row],[Annual paym]]</f>
        <v>-89690.139869659237</v>
      </c>
      <c r="H270" s="20">
        <f>H269-(Table1[[#This Row],[Payment amount]]-Table1[[#This Row],[Interest Paid W/O LSP]])</f>
        <v>146143.17511315929</v>
      </c>
      <c r="I270">
        <f>H269*Table1[[#This Row],[Current mortgage rate]]</f>
        <v>734.53072804063027</v>
      </c>
      <c r="J270" s="25">
        <f>IF(Table1[[#This Row],[Month]]&gt;Table7[Amortization period (yrs)]*12,0,IF(Table1[[#This Row],[Month]]&lt;Table7[mortgage term (yrs)]*12,0,IF(Table1[[#This Row],[Month]]=Table7[mortgage term (yrs)]*12,-H$5,Table1[[#This Row],[Payment amount]]+B270)))</f>
        <v>0</v>
      </c>
      <c r="K270">
        <v>259</v>
      </c>
      <c r="L270">
        <f>Table7[Initial Monthly Deposit]*Table9[[#This Row],[Inflation Modifier]]</f>
        <v>606.26653755916846</v>
      </c>
      <c r="M270">
        <f xml:space="preserve"> (1+Table7[Inflation])^(QUOTIENT(Table9[[#This Row],[Month]]-1,12))</f>
        <v>1.5156663438979212</v>
      </c>
      <c r="N270">
        <f>N269*(1+Table7[Monthly SF Inter])+Table9[[#This Row],[Monthly Payment]]-O269*(1+Table7[Monthly SF Inter])</f>
        <v>4296.7321560639784</v>
      </c>
      <c r="O270">
        <f>IF(MOD(Table9[[#This Row],[Month]],12)=0,(IF(Table9[[#This Row],[Current Balance]]&lt;Table9[[#This Row],[Max Lump Sum ]],Table9[[#This Row],[Current Balance]],Table9[[#This Row],[Max Lump Sum ]])),0)</f>
        <v>0</v>
      </c>
      <c r="P270" s="21">
        <f>Table7[Max annual lump sum repayment]*SUM(C271:C282)</f>
        <v>7880.3958913442566</v>
      </c>
      <c r="Q270" s="25">
        <f>Q269*(1+Table7[Monthly SF Inter])+Table9[[#This Row],[Inflation Modifier]]-R269*(1+Table7[Monthly SF Inter])</f>
        <v>10.741830390159942</v>
      </c>
      <c r="R270" s="25">
        <f>IF(MOD(Table9[[#This Row],[Month]],12)=0,Table9[[#This Row],[Q2 ACC FACTOR]],0)</f>
        <v>0</v>
      </c>
      <c r="S270" s="25">
        <f>S269*(1+D269)+Table9[[#This Row],[ACC FACTOR PAYMENTS]]</f>
        <v>591.7790539639019</v>
      </c>
    </row>
    <row r="271" spans="1:19" x14ac:dyDescent="0.25">
      <c r="A271" s="1">
        <v>259</v>
      </c>
      <c r="B271" s="1">
        <f t="shared" si="4"/>
        <v>0</v>
      </c>
      <c r="C271" s="7">
        <f>G$12/-PV(Table7[Monthly mortgage rate], (12*Table7[Amortization period (yrs)]),1 )</f>
        <v>4377.9977174134756</v>
      </c>
      <c r="D271" s="11">
        <f>IF(Table1[[#This Row],[Month]]&lt;=(12*Table7[mortgage term (yrs)]),Table7[Monthly mortgage rate],Table7[Monthly Exp Renewal Rate])</f>
        <v>4.9038466830562122E-3</v>
      </c>
      <c r="E271" s="21">
        <f>Table1[[#This Row],[Current mortgage rate]]*G270</f>
        <v>-439.82669490267619</v>
      </c>
      <c r="F271" s="5">
        <f>Table1[[#This Row],[Payment amount]]-Table1[[#This Row],[Interest paid]]</f>
        <v>4817.8244123161521</v>
      </c>
      <c r="G271" s="20">
        <f>G270-Table1[[#This Row],[Principal repaid]]-Table1[[#This Row],[Annual paym]]</f>
        <v>-94507.964281975394</v>
      </c>
      <c r="H271" s="20">
        <f>H270-(Table1[[#This Row],[Payment amount]]-Table1[[#This Row],[Interest Paid W/O LSP]])</f>
        <v>142481.84112027579</v>
      </c>
      <c r="I271">
        <f>H270*Table1[[#This Row],[Current mortgage rate]]</f>
        <v>716.66372452996939</v>
      </c>
      <c r="J271" s="25">
        <f>IF(Table1[[#This Row],[Month]]&gt;Table7[Amortization period (yrs)]*12,0,IF(Table1[[#This Row],[Month]]&lt;Table7[mortgage term (yrs)]*12,0,IF(Table1[[#This Row],[Month]]=Table7[mortgage term (yrs)]*12,-H$5,Table1[[#This Row],[Payment amount]]+B271)))</f>
        <v>0</v>
      </c>
      <c r="K271">
        <v>260</v>
      </c>
      <c r="L271">
        <f>Table7[Initial Monthly Deposit]*Table9[[#This Row],[Inflation Modifier]]</f>
        <v>606.26653755916846</v>
      </c>
      <c r="M271">
        <f xml:space="preserve"> (1+Table7[Inflation])^(QUOTIENT(Table9[[#This Row],[Month]]-1,12))</f>
        <v>1.5156663438979212</v>
      </c>
      <c r="N271">
        <f>N270*(1+Table7[Monthly SF Inter])+Table9[[#This Row],[Monthly Payment]]-O270*(1+Table7[Monthly SF Inter])</f>
        <v>4920.7180538111215</v>
      </c>
      <c r="O271">
        <f>IF(MOD(Table9[[#This Row],[Month]],12)=0,(IF(Table9[[#This Row],[Current Balance]]&lt;Table9[[#This Row],[Max Lump Sum ]],Table9[[#This Row],[Current Balance]],Table9[[#This Row],[Max Lump Sum ]])),0)</f>
        <v>0</v>
      </c>
      <c r="P271" s="21">
        <f>Table7[Max annual lump sum repayment]*SUM(C272:C283)</f>
        <v>7880.3958913442566</v>
      </c>
      <c r="Q271" s="25">
        <f>Q270*(1+Table7[Monthly SF Inter])+Table9[[#This Row],[Inflation Modifier]]-R270*(1+Table7[Monthly SF Inter])</f>
        <v>12.301795134527801</v>
      </c>
      <c r="R271" s="25">
        <f>IF(MOD(Table9[[#This Row],[Month]],12)=0,Table9[[#This Row],[Q2 ACC FACTOR]],0)</f>
        <v>0</v>
      </c>
      <c r="S271" s="25">
        <f>S270*(1+D270)+Table9[[#This Row],[ACC FACTOR PAYMENTS]]</f>
        <v>594.68104771478488</v>
      </c>
    </row>
    <row r="272" spans="1:19" x14ac:dyDescent="0.25">
      <c r="A272" s="1">
        <v>260</v>
      </c>
      <c r="B272" s="1">
        <f t="shared" si="4"/>
        <v>0</v>
      </c>
      <c r="C272" s="7">
        <f>G$12/-PV(Table7[Monthly mortgage rate], (12*Table7[Amortization period (yrs)]),1 )</f>
        <v>4377.9977174134756</v>
      </c>
      <c r="D272" s="11">
        <f>IF(Table1[[#This Row],[Month]]&lt;=(12*Table7[mortgage term (yrs)]),Table7[Monthly mortgage rate],Table7[Monthly Exp Renewal Rate])</f>
        <v>4.9038466830562122E-3</v>
      </c>
      <c r="E272" s="21">
        <f>Table1[[#This Row],[Current mortgage rate]]*G271</f>
        <v>-463.45256716656002</v>
      </c>
      <c r="F272" s="5">
        <f>Table1[[#This Row],[Payment amount]]-Table1[[#This Row],[Interest paid]]</f>
        <v>4841.4502845800353</v>
      </c>
      <c r="G272" s="20">
        <f>G271-Table1[[#This Row],[Principal repaid]]-Table1[[#This Row],[Annual paym]]</f>
        <v>-99349.414566555424</v>
      </c>
      <c r="H272" s="20">
        <f>H271-(Table1[[#This Row],[Payment amount]]-Table1[[#This Row],[Interest Paid W/O LSP]])</f>
        <v>138802.55250683572</v>
      </c>
      <c r="I272">
        <f>H271*Table1[[#This Row],[Current mortgage rate]]</f>
        <v>698.70910397340663</v>
      </c>
      <c r="J272" s="25">
        <f>IF(Table1[[#This Row],[Month]]&gt;Table7[Amortization period (yrs)]*12,0,IF(Table1[[#This Row],[Month]]&lt;Table7[mortgage term (yrs)]*12,0,IF(Table1[[#This Row],[Month]]=Table7[mortgage term (yrs)]*12,-H$5,Table1[[#This Row],[Payment amount]]+B272)))</f>
        <v>0</v>
      </c>
      <c r="K272">
        <v>261</v>
      </c>
      <c r="L272">
        <f>Table7[Initial Monthly Deposit]*Table9[[#This Row],[Inflation Modifier]]</f>
        <v>606.26653755916846</v>
      </c>
      <c r="M272">
        <f xml:space="preserve"> (1+Table7[Inflation])^(QUOTIENT(Table9[[#This Row],[Month]]-1,12))</f>
        <v>1.5156663438979212</v>
      </c>
      <c r="N272">
        <f>N271*(1+Table7[Monthly SF Inter])+Table9[[#This Row],[Monthly Payment]]-O271*(1+Table7[Monthly SF Inter])</f>
        <v>5547.2772166520163</v>
      </c>
      <c r="O272">
        <f>IF(MOD(Table9[[#This Row],[Month]],12)=0,(IF(Table9[[#This Row],[Current Balance]]&lt;Table9[[#This Row],[Max Lump Sum ]],Table9[[#This Row],[Current Balance]],Table9[[#This Row],[Max Lump Sum ]])),0)</f>
        <v>0</v>
      </c>
      <c r="P272" s="21">
        <f>Table7[Max annual lump sum repayment]*SUM(C273:C284)</f>
        <v>7880.3958913442566</v>
      </c>
      <c r="Q272" s="25">
        <f>Q271*(1+Table7[Monthly SF Inter])+Table9[[#This Row],[Inflation Modifier]]-R271*(1+Table7[Monthly SF Inter])</f>
        <v>13.868193041630038</v>
      </c>
      <c r="R272" s="25">
        <f>IF(MOD(Table9[[#This Row],[Month]],12)=0,Table9[[#This Row],[Q2 ACC FACTOR]],0)</f>
        <v>0</v>
      </c>
      <c r="S272" s="25">
        <f>S271*(1+D271)+Table9[[#This Row],[ACC FACTOR PAYMENTS]]</f>
        <v>597.5972723980974</v>
      </c>
    </row>
    <row r="273" spans="1:19" x14ac:dyDescent="0.25">
      <c r="A273" s="1">
        <v>261</v>
      </c>
      <c r="B273" s="1">
        <f t="shared" si="4"/>
        <v>0</v>
      </c>
      <c r="C273" s="7">
        <f>G$12/-PV(Table7[Monthly mortgage rate], (12*Table7[Amortization period (yrs)]),1 )</f>
        <v>4377.9977174134756</v>
      </c>
      <c r="D273" s="11">
        <f>IF(Table1[[#This Row],[Month]]&lt;=(12*Table7[mortgage term (yrs)]),Table7[Monthly mortgage rate],Table7[Monthly Exp Renewal Rate])</f>
        <v>4.9038466830562122E-3</v>
      </c>
      <c r="E273" s="21">
        <f>Table1[[#This Row],[Current mortgage rate]]*G272</f>
        <v>-487.19429708577934</v>
      </c>
      <c r="F273" s="5">
        <f>Table1[[#This Row],[Payment amount]]-Table1[[#This Row],[Interest paid]]</f>
        <v>4865.1920144992546</v>
      </c>
      <c r="G273" s="20">
        <f>G272-Table1[[#This Row],[Principal repaid]]-Table1[[#This Row],[Annual paym]]</f>
        <v>-104214.60658105469</v>
      </c>
      <c r="H273" s="20">
        <f>H272-(Table1[[#This Row],[Payment amount]]-Table1[[#This Row],[Interest Paid W/O LSP]])</f>
        <v>135105.22122613262</v>
      </c>
      <c r="I273">
        <f>H272*Table1[[#This Row],[Current mortgage rate]]</f>
        <v>680.66643671038207</v>
      </c>
      <c r="J273" s="25">
        <f>IF(Table1[[#This Row],[Month]]&gt;Table7[Amortization period (yrs)]*12,0,IF(Table1[[#This Row],[Month]]&lt;Table7[mortgage term (yrs)]*12,0,IF(Table1[[#This Row],[Month]]=Table7[mortgage term (yrs)]*12,-H$5,Table1[[#This Row],[Payment amount]]+B273)))</f>
        <v>0</v>
      </c>
      <c r="K273">
        <v>262</v>
      </c>
      <c r="L273">
        <f>Table7[Initial Monthly Deposit]*Table9[[#This Row],[Inflation Modifier]]</f>
        <v>606.26653755916846</v>
      </c>
      <c r="M273">
        <f xml:space="preserve"> (1+Table7[Inflation])^(QUOTIENT(Table9[[#This Row],[Month]]-1,12))</f>
        <v>1.5156663438979212</v>
      </c>
      <c r="N273">
        <f>N272*(1+Table7[Monthly SF Inter])+Table9[[#This Row],[Monthly Payment]]-O272*(1+Table7[Monthly SF Inter])</f>
        <v>6176.4202565143787</v>
      </c>
      <c r="O273">
        <f>IF(MOD(Table9[[#This Row],[Month]],12)=0,(IF(Table9[[#This Row],[Current Balance]]&lt;Table9[[#This Row],[Max Lump Sum ]],Table9[[#This Row],[Current Balance]],Table9[[#This Row],[Max Lump Sum ]])),0)</f>
        <v>0</v>
      </c>
      <c r="P273" s="21">
        <f>Table7[Max annual lump sum repayment]*SUM(C274:C285)</f>
        <v>7880.3958913442566</v>
      </c>
      <c r="Q273" s="25">
        <f>Q272*(1+Table7[Monthly SF Inter])+Table9[[#This Row],[Inflation Modifier]]-R272*(1+Table7[Monthly SF Inter])</f>
        <v>15.441050641285942</v>
      </c>
      <c r="R273" s="25">
        <f>IF(MOD(Table9[[#This Row],[Month]],12)=0,Table9[[#This Row],[Q2 ACC FACTOR]],0)</f>
        <v>0</v>
      </c>
      <c r="S273" s="25">
        <f>S272*(1+D272)+Table9[[#This Row],[ACC FACTOR PAYMENTS]]</f>
        <v>600.52779780015021</v>
      </c>
    </row>
    <row r="274" spans="1:19" x14ac:dyDescent="0.25">
      <c r="A274" s="1">
        <v>262</v>
      </c>
      <c r="B274" s="1">
        <f t="shared" si="4"/>
        <v>0</v>
      </c>
      <c r="C274" s="7">
        <f>G$12/-PV(Table7[Monthly mortgage rate], (12*Table7[Amortization period (yrs)]),1 )</f>
        <v>4377.9977174134756</v>
      </c>
      <c r="D274" s="11">
        <f>IF(Table1[[#This Row],[Month]]&lt;=(12*Table7[mortgage term (yrs)]),Table7[Monthly mortgage rate],Table7[Monthly Exp Renewal Rate])</f>
        <v>4.9038466830562122E-3</v>
      </c>
      <c r="E274" s="21">
        <f>Table1[[#This Row],[Current mortgage rate]]*G273</f>
        <v>-511.05245280851312</v>
      </c>
      <c r="F274" s="5">
        <f>Table1[[#This Row],[Payment amount]]-Table1[[#This Row],[Interest paid]]</f>
        <v>4889.050170221989</v>
      </c>
      <c r="G274" s="20">
        <f>G273-Table1[[#This Row],[Principal repaid]]-Table1[[#This Row],[Annual paym]]</f>
        <v>-109103.65675127668</v>
      </c>
      <c r="H274" s="20">
        <f>H273-(Table1[[#This Row],[Payment amount]]-Table1[[#This Row],[Interest Paid W/O LSP]])</f>
        <v>131389.7587996925</v>
      </c>
      <c r="I274">
        <f>H273*Table1[[#This Row],[Current mortgage rate]]</f>
        <v>662.53529097334615</v>
      </c>
      <c r="J274" s="25">
        <f>IF(Table1[[#This Row],[Month]]&gt;Table7[Amortization period (yrs)]*12,0,IF(Table1[[#This Row],[Month]]&lt;Table7[mortgage term (yrs)]*12,0,IF(Table1[[#This Row],[Month]]=Table7[mortgage term (yrs)]*12,-H$5,Table1[[#This Row],[Payment amount]]+B274)))</f>
        <v>0</v>
      </c>
      <c r="K274">
        <v>263</v>
      </c>
      <c r="L274">
        <f>Table7[Initial Monthly Deposit]*Table9[[#This Row],[Inflation Modifier]]</f>
        <v>606.26653755916846</v>
      </c>
      <c r="M274">
        <f xml:space="preserve"> (1+Table7[Inflation])^(QUOTIENT(Table9[[#This Row],[Month]]-1,12))</f>
        <v>1.5156663438979212</v>
      </c>
      <c r="N274">
        <f>N273*(1+Table7[Monthly SF Inter])+Table9[[#This Row],[Monthly Payment]]-O273*(1+Table7[Monthly SF Inter])</f>
        <v>6808.1578290886173</v>
      </c>
      <c r="O274">
        <f>IF(MOD(Table9[[#This Row],[Month]],12)=0,(IF(Table9[[#This Row],[Current Balance]]&lt;Table9[[#This Row],[Max Lump Sum ]],Table9[[#This Row],[Current Balance]],Table9[[#This Row],[Max Lump Sum ]])),0)</f>
        <v>0</v>
      </c>
      <c r="P274" s="21">
        <f>Table7[Max annual lump sum repayment]*SUM(C275:C286)</f>
        <v>7880.3958913442566</v>
      </c>
      <c r="Q274" s="25">
        <f>Q273*(1+Table7[Monthly SF Inter])+Table9[[#This Row],[Inflation Modifier]]-R273*(1+Table7[Monthly SF Inter])</f>
        <v>17.020394572721536</v>
      </c>
      <c r="R274" s="25">
        <f>IF(MOD(Table9[[#This Row],[Month]],12)=0,Table9[[#This Row],[Q2 ACC FACTOR]],0)</f>
        <v>0</v>
      </c>
      <c r="S274" s="25">
        <f>S273*(1+D273)+Table9[[#This Row],[ACC FACTOR PAYMENTS]]</f>
        <v>603.47269404947554</v>
      </c>
    </row>
    <row r="275" spans="1:19" x14ac:dyDescent="0.25">
      <c r="A275" s="1">
        <v>263</v>
      </c>
      <c r="B275" s="1">
        <f t="shared" si="4"/>
        <v>0</v>
      </c>
      <c r="C275" s="7">
        <f>G$12/-PV(Table7[Monthly mortgage rate], (12*Table7[Amortization period (yrs)]),1 )</f>
        <v>4377.9977174134756</v>
      </c>
      <c r="D275" s="11">
        <f>IF(Table1[[#This Row],[Month]]&lt;=(12*Table7[mortgage term (yrs)]),Table7[Monthly mortgage rate],Table7[Monthly Exp Renewal Rate])</f>
        <v>4.9038466830562122E-3</v>
      </c>
      <c r="E275" s="21">
        <f>Table1[[#This Row],[Current mortgage rate]]*G274</f>
        <v>-535.02760526905161</v>
      </c>
      <c r="F275" s="5">
        <f>Table1[[#This Row],[Payment amount]]-Table1[[#This Row],[Interest paid]]</f>
        <v>4913.0253226825271</v>
      </c>
      <c r="G275" s="20">
        <f>G274-Table1[[#This Row],[Principal repaid]]-Table1[[#This Row],[Annual paym]]</f>
        <v>-114016.68207395921</v>
      </c>
      <c r="H275" s="20">
        <f>H274-(Table1[[#This Row],[Payment amount]]-Table1[[#This Row],[Interest Paid W/O LSP]])</f>
        <v>127656.07631515645</v>
      </c>
      <c r="I275">
        <f>H274*Table1[[#This Row],[Current mortgage rate]]</f>
        <v>644.31523287742777</v>
      </c>
      <c r="J275" s="25">
        <f>IF(Table1[[#This Row],[Month]]&gt;Table7[Amortization period (yrs)]*12,0,IF(Table1[[#This Row],[Month]]&lt;Table7[mortgage term (yrs)]*12,0,IF(Table1[[#This Row],[Month]]=Table7[mortgage term (yrs)]*12,-H$5,Table1[[#This Row],[Payment amount]]+B275)))</f>
        <v>0</v>
      </c>
      <c r="K275">
        <v>264</v>
      </c>
      <c r="L275">
        <f>Table7[Initial Monthly Deposit]*Table9[[#This Row],[Inflation Modifier]]</f>
        <v>606.26653755916846</v>
      </c>
      <c r="M275">
        <f xml:space="preserve"> (1+Table7[Inflation])^(QUOTIENT(Table9[[#This Row],[Month]]-1,12))</f>
        <v>1.5156663438979212</v>
      </c>
      <c r="N275">
        <f>N274*(1+Table7[Monthly SF Inter])+Table9[[#This Row],[Monthly Payment]]-O274*(1+Table7[Monthly SF Inter])</f>
        <v>7442.5006340083073</v>
      </c>
      <c r="O275">
        <f>IF(MOD(Table9[[#This Row],[Month]],12)=0,(IF(Table9[[#This Row],[Current Balance]]&lt;Table9[[#This Row],[Max Lump Sum ]],Table9[[#This Row],[Current Balance]],Table9[[#This Row],[Max Lump Sum ]])),0)</f>
        <v>7442.5006340083073</v>
      </c>
      <c r="P275" s="21">
        <f>Table7[Max annual lump sum repayment]*SUM(C276:C287)</f>
        <v>7880.3958913442566</v>
      </c>
      <c r="Q275" s="25">
        <f>Q274*(1+Table7[Monthly SF Inter])+Table9[[#This Row],[Inflation Modifier]]-R274*(1+Table7[Monthly SF Inter])</f>
        <v>18.606251585020757</v>
      </c>
      <c r="R275" s="25">
        <f>IF(MOD(Table9[[#This Row],[Month]],12)=0,Table9[[#This Row],[Q2 ACC FACTOR]],0)</f>
        <v>18.606251585020757</v>
      </c>
      <c r="S275" s="25">
        <f>S274*(1+D274)+Table9[[#This Row],[ACC FACTOR PAYMENTS]]</f>
        <v>625.03828320352591</v>
      </c>
    </row>
    <row r="276" spans="1:19" x14ac:dyDescent="0.25">
      <c r="A276" s="1">
        <v>264</v>
      </c>
      <c r="B276" s="1">
        <f t="shared" si="4"/>
        <v>7442.5006340083073</v>
      </c>
      <c r="C276" s="7">
        <f>G$12/-PV(Table7[Monthly mortgage rate], (12*Table7[Amortization period (yrs)]),1 )</f>
        <v>4377.9977174134756</v>
      </c>
      <c r="D276" s="11">
        <f>IF(Table1[[#This Row],[Month]]&lt;=(12*Table7[mortgage term (yrs)]),Table7[Monthly mortgage rate],Table7[Monthly Exp Renewal Rate])</f>
        <v>4.9038466830562122E-3</v>
      </c>
      <c r="E276" s="21">
        <f>Table1[[#This Row],[Current mortgage rate]]*G275</f>
        <v>-559.12032820145953</v>
      </c>
      <c r="F276" s="5">
        <f>Table1[[#This Row],[Payment amount]]-Table1[[#This Row],[Interest paid]]</f>
        <v>4937.118045614935</v>
      </c>
      <c r="G276" s="20">
        <f>G275-Table1[[#This Row],[Principal repaid]]-Table1[[#This Row],[Annual paym]]</f>
        <v>-126396.30075358244</v>
      </c>
      <c r="H276" s="20">
        <f>H275-(Table1[[#This Row],[Payment amount]]-Table1[[#This Row],[Interest Paid W/O LSP]])</f>
        <v>123904.08442415303</v>
      </c>
      <c r="I276">
        <f>H275*Table1[[#This Row],[Current mortgage rate]]</f>
        <v>626.00582641005064</v>
      </c>
      <c r="J276" s="25">
        <f>IF(Table1[[#This Row],[Month]]&gt;Table7[Amortization period (yrs)]*12,0,IF(Table1[[#This Row],[Month]]&lt;Table7[mortgage term (yrs)]*12,0,IF(Table1[[#This Row],[Month]]=Table7[mortgage term (yrs)]*12,-H$5,Table1[[#This Row],[Payment amount]]+B276)))</f>
        <v>0</v>
      </c>
      <c r="K276">
        <v>265</v>
      </c>
      <c r="L276">
        <f>Table7[Initial Monthly Deposit]*Table9[[#This Row],[Inflation Modifier]]</f>
        <v>618.39186831035192</v>
      </c>
      <c r="M276">
        <f xml:space="preserve"> (1+Table7[Inflation])^(QUOTIENT(Table9[[#This Row],[Month]]-1,12))</f>
        <v>1.5459796707758797</v>
      </c>
      <c r="N276">
        <f>N275*(1+Table7[Monthly SF Inter])+Table9[[#This Row],[Monthly Payment]]-O275*(1+Table7[Monthly SF Inter])</f>
        <v>618.39186831035204</v>
      </c>
      <c r="O276">
        <f>IF(MOD(Table9[[#This Row],[Month]],12)=0,(IF(Table9[[#This Row],[Current Balance]]&lt;Table9[[#This Row],[Max Lump Sum ]],Table9[[#This Row],[Current Balance]],Table9[[#This Row],[Max Lump Sum ]])),0)</f>
        <v>0</v>
      </c>
      <c r="P276" s="21">
        <f>Table7[Max annual lump sum repayment]*SUM(C277:C288)</f>
        <v>7880.3958913442566</v>
      </c>
      <c r="Q276" s="25">
        <f>Q275*(1+Table7[Monthly SF Inter])+Table9[[#This Row],[Inflation Modifier]]-R275*(1+Table7[Monthly SF Inter])</f>
        <v>1.5459796707758784</v>
      </c>
      <c r="R276" s="25">
        <f>IF(MOD(Table9[[#This Row],[Month]],12)=0,Table9[[#This Row],[Q2 ACC FACTOR]],0)</f>
        <v>0</v>
      </c>
      <c r="S276" s="25">
        <f>S275*(1+D275)+Table9[[#This Row],[ACC FACTOR PAYMENTS]]</f>
        <v>628.10337511539672</v>
      </c>
    </row>
    <row r="277" spans="1:19" x14ac:dyDescent="0.25">
      <c r="A277" s="1">
        <v>265</v>
      </c>
      <c r="B277" s="1">
        <f t="shared" si="4"/>
        <v>0</v>
      </c>
      <c r="C277" s="7">
        <f>G$12/-PV(Table7[Monthly mortgage rate], (12*Table7[Amortization period (yrs)]),1 )</f>
        <v>4377.9977174134756</v>
      </c>
      <c r="D277" s="11">
        <f>IF(Table1[[#This Row],[Month]]&lt;=(12*Table7[mortgage term (yrs)]),Table7[Monthly mortgage rate],Table7[Monthly Exp Renewal Rate])</f>
        <v>4.9038466830562122E-3</v>
      </c>
      <c r="E277" s="21">
        <f>Table1[[#This Row],[Current mortgage rate]]*G276</f>
        <v>-619.82808020103073</v>
      </c>
      <c r="F277" s="5">
        <f>Table1[[#This Row],[Payment amount]]-Table1[[#This Row],[Interest paid]]</f>
        <v>4997.825797614506</v>
      </c>
      <c r="G277" s="20">
        <f>G276-Table1[[#This Row],[Principal repaid]]-Table1[[#This Row],[Annual paym]]</f>
        <v>-131394.12655119694</v>
      </c>
      <c r="H277" s="20">
        <f>H276-(Table1[[#This Row],[Payment amount]]-Table1[[#This Row],[Interest Paid W/O LSP]])</f>
        <v>120133.69334016005</v>
      </c>
      <c r="I277">
        <f>H276*Table1[[#This Row],[Current mortgage rate]]</f>
        <v>607.60663342049975</v>
      </c>
      <c r="J277" s="25">
        <f>IF(Table1[[#This Row],[Month]]&gt;Table7[Amortization period (yrs)]*12,0,IF(Table1[[#This Row],[Month]]&lt;Table7[mortgage term (yrs)]*12,0,IF(Table1[[#This Row],[Month]]=Table7[mortgage term (yrs)]*12,-H$5,Table1[[#This Row],[Payment amount]]+B277)))</f>
        <v>0</v>
      </c>
      <c r="K277">
        <v>266</v>
      </c>
      <c r="L277">
        <f>Table7[Initial Monthly Deposit]*Table9[[#This Row],[Inflation Modifier]]</f>
        <v>618.39186831035192</v>
      </c>
      <c r="M277">
        <f xml:space="preserve"> (1+Table7[Inflation])^(QUOTIENT(Table9[[#This Row],[Month]]-1,12))</f>
        <v>1.5459796707758797</v>
      </c>
      <c r="N277">
        <f>N276*(1+Table7[Monthly SF Inter])+Table9[[#This Row],[Monthly Payment]]-O276*(1+Table7[Monthly SF Inter])</f>
        <v>1239.3339324099484</v>
      </c>
      <c r="O277">
        <f>IF(MOD(Table9[[#This Row],[Month]],12)=0,(IF(Table9[[#This Row],[Current Balance]]&lt;Table9[[#This Row],[Max Lump Sum ]],Table9[[#This Row],[Current Balance]],Table9[[#This Row],[Max Lump Sum ]])),0)</f>
        <v>0</v>
      </c>
      <c r="P277" s="21">
        <f>Table7[Max annual lump sum repayment]*SUM(C278:C289)</f>
        <v>7880.3958913442566</v>
      </c>
      <c r="Q277" s="25">
        <f>Q276*(1+Table7[Monthly SF Inter])+Table9[[#This Row],[Inflation Modifier]]-R276*(1+Table7[Monthly SF Inter])</f>
        <v>3.0983348310248693</v>
      </c>
      <c r="R277" s="25">
        <f>IF(MOD(Table9[[#This Row],[Month]],12)=0,Table9[[#This Row],[Q2 ACC FACTOR]],0)</f>
        <v>0</v>
      </c>
      <c r="S277" s="25">
        <f>S276*(1+D276)+Table9[[#This Row],[ACC FACTOR PAYMENTS]]</f>
        <v>631.18349776807281</v>
      </c>
    </row>
    <row r="278" spans="1:19" x14ac:dyDescent="0.25">
      <c r="A278" s="1">
        <v>266</v>
      </c>
      <c r="B278" s="1">
        <f t="shared" si="4"/>
        <v>0</v>
      </c>
      <c r="C278" s="7">
        <f>G$12/-PV(Table7[Monthly mortgage rate], (12*Table7[Amortization period (yrs)]),1 )</f>
        <v>4377.9977174134756</v>
      </c>
      <c r="D278" s="11">
        <f>IF(Table1[[#This Row],[Month]]&lt;=(12*Table7[mortgage term (yrs)]),Table7[Monthly mortgage rate],Table7[Monthly Exp Renewal Rate])</f>
        <v>4.9038466830562122E-3</v>
      </c>
      <c r="E278" s="21">
        <f>Table1[[#This Row],[Current mortgage rate]]*G277</f>
        <v>-644.33665166115532</v>
      </c>
      <c r="F278" s="5">
        <f>Table1[[#This Row],[Payment amount]]-Table1[[#This Row],[Interest paid]]</f>
        <v>5022.3343690746306</v>
      </c>
      <c r="G278" s="20">
        <f>G277-Table1[[#This Row],[Principal repaid]]-Table1[[#This Row],[Annual paym]]</f>
        <v>-136416.46092027158</v>
      </c>
      <c r="H278" s="20">
        <f>H277-(Table1[[#This Row],[Payment amount]]-Table1[[#This Row],[Interest Paid W/O LSP]])</f>
        <v>116344.81283635601</v>
      </c>
      <c r="I278">
        <f>H277*Table1[[#This Row],[Current mortgage rate]]</f>
        <v>589.11721360943602</v>
      </c>
      <c r="J278" s="25">
        <f>IF(Table1[[#This Row],[Month]]&gt;Table7[Amortization period (yrs)]*12,0,IF(Table1[[#This Row],[Month]]&lt;Table7[mortgage term (yrs)]*12,0,IF(Table1[[#This Row],[Month]]=Table7[mortgage term (yrs)]*12,-H$5,Table1[[#This Row],[Payment amount]]+B278)))</f>
        <v>0</v>
      </c>
      <c r="K278">
        <v>267</v>
      </c>
      <c r="L278">
        <f>Table7[Initial Monthly Deposit]*Table9[[#This Row],[Inflation Modifier]]</f>
        <v>618.39186831035192</v>
      </c>
      <c r="M278">
        <f xml:space="preserve"> (1+Table7[Inflation])^(QUOTIENT(Table9[[#This Row],[Month]]-1,12))</f>
        <v>1.5459796707758797</v>
      </c>
      <c r="N278">
        <f>N277*(1+Table7[Monthly SF Inter])+Table9[[#This Row],[Monthly Payment]]-O277*(1+Table7[Monthly SF Inter])</f>
        <v>1862.8367090906436</v>
      </c>
      <c r="O278">
        <f>IF(MOD(Table9[[#This Row],[Month]],12)=0,(IF(Table9[[#This Row],[Current Balance]]&lt;Table9[[#This Row],[Max Lump Sum ]],Table9[[#This Row],[Current Balance]],Table9[[#This Row],[Max Lump Sum ]])),0)</f>
        <v>0</v>
      </c>
      <c r="P278" s="21">
        <f>Table7[Max annual lump sum repayment]*SUM(C279:C290)</f>
        <v>7880.3958913442566</v>
      </c>
      <c r="Q278" s="25">
        <f>Q277*(1+Table7[Monthly SF Inter])+Table9[[#This Row],[Inflation Modifier]]-R277*(1+Table7[Monthly SF Inter])</f>
        <v>4.6570917727266075</v>
      </c>
      <c r="R278" s="25">
        <f>IF(MOD(Table9[[#This Row],[Month]],12)=0,Table9[[#This Row],[Q2 ACC FACTOR]],0)</f>
        <v>0</v>
      </c>
      <c r="S278" s="25">
        <f>S277*(1+D277)+Table9[[#This Row],[ACC FACTOR PAYMENTS]]</f>
        <v>634.27872487000263</v>
      </c>
    </row>
    <row r="279" spans="1:19" x14ac:dyDescent="0.25">
      <c r="A279" s="1">
        <v>267</v>
      </c>
      <c r="B279" s="1">
        <f t="shared" si="4"/>
        <v>0</v>
      </c>
      <c r="C279" s="7">
        <f>G$12/-PV(Table7[Monthly mortgage rate], (12*Table7[Amortization period (yrs)]),1 )</f>
        <v>4377.9977174134756</v>
      </c>
      <c r="D279" s="11">
        <f>IF(Table1[[#This Row],[Month]]&lt;=(12*Table7[mortgage term (yrs)]),Table7[Monthly mortgage rate],Table7[Monthly Exp Renewal Rate])</f>
        <v>4.9038466830562122E-3</v>
      </c>
      <c r="E279" s="21">
        <f>Table1[[#This Row],[Current mortgage rate]]*G278</f>
        <v>-668.96540939814122</v>
      </c>
      <c r="F279" s="5">
        <f>Table1[[#This Row],[Payment amount]]-Table1[[#This Row],[Interest paid]]</f>
        <v>5046.9631268116173</v>
      </c>
      <c r="G279" s="20">
        <f>G278-Table1[[#This Row],[Principal repaid]]-Table1[[#This Row],[Annual paym]]</f>
        <v>-141463.42404708319</v>
      </c>
      <c r="H279" s="20">
        <f>H278-(Table1[[#This Row],[Payment amount]]-Table1[[#This Row],[Interest Paid W/O LSP]])</f>
        <v>112537.35224346089</v>
      </c>
      <c r="I279">
        <f>H278*Table1[[#This Row],[Current mortgage rate]]</f>
        <v>570.5371245183602</v>
      </c>
      <c r="J279" s="25">
        <f>IF(Table1[[#This Row],[Month]]&gt;Table7[Amortization period (yrs)]*12,0,IF(Table1[[#This Row],[Month]]&lt;Table7[mortgage term (yrs)]*12,0,IF(Table1[[#This Row],[Month]]=Table7[mortgage term (yrs)]*12,-H$5,Table1[[#This Row],[Payment amount]]+B279)))</f>
        <v>0</v>
      </c>
      <c r="K279">
        <v>268</v>
      </c>
      <c r="L279">
        <f>Table7[Initial Monthly Deposit]*Table9[[#This Row],[Inflation Modifier]]</f>
        <v>618.39186831035192</v>
      </c>
      <c r="M279">
        <f xml:space="preserve"> (1+Table7[Inflation])^(QUOTIENT(Table9[[#This Row],[Month]]-1,12))</f>
        <v>1.5459796707758797</v>
      </c>
      <c r="N279">
        <f>N278*(1+Table7[Monthly SF Inter])+Table9[[#This Row],[Monthly Payment]]-O278*(1+Table7[Monthly SF Inter])</f>
        <v>2488.910758514653</v>
      </c>
      <c r="O279">
        <f>IF(MOD(Table9[[#This Row],[Month]],12)=0,(IF(Table9[[#This Row],[Current Balance]]&lt;Table9[[#This Row],[Max Lump Sum ]],Table9[[#This Row],[Current Balance]],Table9[[#This Row],[Max Lump Sum ]])),0)</f>
        <v>0</v>
      </c>
      <c r="P279" s="21">
        <f>Table7[Max annual lump sum repayment]*SUM(C280:C291)</f>
        <v>7880.3958913442566</v>
      </c>
      <c r="Q279" s="25">
        <f>Q278*(1+Table7[Monthly SF Inter])+Table9[[#This Row],[Inflation Modifier]]-R278*(1+Table7[Monthly SF Inter])</f>
        <v>6.2222768962866297</v>
      </c>
      <c r="R279" s="25">
        <f>IF(MOD(Table9[[#This Row],[Month]],12)=0,Table9[[#This Row],[Q2 ACC FACTOR]],0)</f>
        <v>0</v>
      </c>
      <c r="S279" s="25">
        <f>S278*(1+D278)+Table9[[#This Row],[ACC FACTOR PAYMENTS]]</f>
        <v>637.38913049108953</v>
      </c>
    </row>
    <row r="280" spans="1:19" x14ac:dyDescent="0.25">
      <c r="A280" s="1">
        <v>268</v>
      </c>
      <c r="B280" s="1">
        <f t="shared" si="4"/>
        <v>0</v>
      </c>
      <c r="C280" s="7">
        <f>G$12/-PV(Table7[Monthly mortgage rate], (12*Table7[Amortization period (yrs)]),1 )</f>
        <v>4377.9977174134756</v>
      </c>
      <c r="D280" s="11">
        <f>IF(Table1[[#This Row],[Month]]&lt;=(12*Table7[mortgage term (yrs)]),Table7[Monthly mortgage rate],Table7[Monthly Exp Renewal Rate])</f>
        <v>4.9038466830562122E-3</v>
      </c>
      <c r="E280" s="21">
        <f>Table1[[#This Row],[Current mortgage rate]]*G279</f>
        <v>-693.71494278706325</v>
      </c>
      <c r="F280" s="5">
        <f>Table1[[#This Row],[Payment amount]]-Table1[[#This Row],[Interest paid]]</f>
        <v>5071.7126602005392</v>
      </c>
      <c r="G280" s="20">
        <f>G279-Table1[[#This Row],[Principal repaid]]-Table1[[#This Row],[Annual paym]]</f>
        <v>-146535.13670728373</v>
      </c>
      <c r="H280" s="20">
        <f>H279-(Table1[[#This Row],[Payment amount]]-Table1[[#This Row],[Interest Paid W/O LSP]])</f>
        <v>108711.22044756643</v>
      </c>
      <c r="I280">
        <f>H279*Table1[[#This Row],[Current mortgage rate]]</f>
        <v>551.86592151902425</v>
      </c>
      <c r="J280" s="25">
        <f>IF(Table1[[#This Row],[Month]]&gt;Table7[Amortization period (yrs)]*12,0,IF(Table1[[#This Row],[Month]]&lt;Table7[mortgage term (yrs)]*12,0,IF(Table1[[#This Row],[Month]]=Table7[mortgage term (yrs)]*12,-H$5,Table1[[#This Row],[Payment amount]]+B280)))</f>
        <v>0</v>
      </c>
      <c r="K280">
        <v>269</v>
      </c>
      <c r="L280">
        <f>Table7[Initial Monthly Deposit]*Table9[[#This Row],[Inflation Modifier]]</f>
        <v>618.39186831035192</v>
      </c>
      <c r="M280">
        <f xml:space="preserve"> (1+Table7[Inflation])^(QUOTIENT(Table9[[#This Row],[Month]]-1,12))</f>
        <v>1.5459796707758797</v>
      </c>
      <c r="N280">
        <f>N279*(1+Table7[Monthly SF Inter])+Table9[[#This Row],[Monthly Payment]]-O279*(1+Table7[Monthly SF Inter])</f>
        <v>3117.5666843934073</v>
      </c>
      <c r="O280">
        <f>IF(MOD(Table9[[#This Row],[Month]],12)=0,(IF(Table9[[#This Row],[Current Balance]]&lt;Table9[[#This Row],[Max Lump Sum ]],Table9[[#This Row],[Current Balance]],Table9[[#This Row],[Max Lump Sum ]])),0)</f>
        <v>0</v>
      </c>
      <c r="P280" s="21">
        <f>Table7[Max annual lump sum repayment]*SUM(C281:C292)</f>
        <v>7880.3958913442566</v>
      </c>
      <c r="Q280" s="25">
        <f>Q279*(1+Table7[Monthly SF Inter])+Table9[[#This Row],[Inflation Modifier]]-R279*(1+Table7[Monthly SF Inter])</f>
        <v>7.793916710983515</v>
      </c>
      <c r="R280" s="25">
        <f>IF(MOD(Table9[[#This Row],[Month]],12)=0,Table9[[#This Row],[Q2 ACC FACTOR]],0)</f>
        <v>0</v>
      </c>
      <c r="S280" s="25">
        <f>S279*(1+D279)+Table9[[#This Row],[ACC FACTOR PAYMENTS]]</f>
        <v>640.51478906446437</v>
      </c>
    </row>
    <row r="281" spans="1:19" x14ac:dyDescent="0.25">
      <c r="A281" s="1">
        <v>269</v>
      </c>
      <c r="B281" s="1">
        <f t="shared" si="4"/>
        <v>0</v>
      </c>
      <c r="C281" s="7">
        <f>G$12/-PV(Table7[Monthly mortgage rate], (12*Table7[Amortization period (yrs)]),1 )</f>
        <v>4377.9977174134756</v>
      </c>
      <c r="D281" s="11">
        <f>IF(Table1[[#This Row],[Month]]&lt;=(12*Table7[mortgage term (yrs)]),Table7[Monthly mortgage rate],Table7[Monthly Exp Renewal Rate])</f>
        <v>4.9038466830562122E-3</v>
      </c>
      <c r="E281" s="21">
        <f>Table1[[#This Row],[Current mortgage rate]]*G280</f>
        <v>-718.5858440932019</v>
      </c>
      <c r="F281" s="5">
        <f>Table1[[#This Row],[Payment amount]]-Table1[[#This Row],[Interest paid]]</f>
        <v>5096.5835615066771</v>
      </c>
      <c r="G281" s="20">
        <f>G280-Table1[[#This Row],[Principal repaid]]-Table1[[#This Row],[Annual paym]]</f>
        <v>-151631.72026879041</v>
      </c>
      <c r="H281" s="20">
        <f>H280-(Table1[[#This Row],[Payment amount]]-Table1[[#This Row],[Interest Paid W/O LSP]])</f>
        <v>104866.32588795575</v>
      </c>
      <c r="I281">
        <f>H280*Table1[[#This Row],[Current mortgage rate]]</f>
        <v>533.10315780279132</v>
      </c>
      <c r="J281" s="25">
        <f>IF(Table1[[#This Row],[Month]]&gt;Table7[Amortization period (yrs)]*12,0,IF(Table1[[#This Row],[Month]]&lt;Table7[mortgage term (yrs)]*12,0,IF(Table1[[#This Row],[Month]]=Table7[mortgage term (yrs)]*12,-H$5,Table1[[#This Row],[Payment amount]]+B281)))</f>
        <v>0</v>
      </c>
      <c r="K281">
        <v>270</v>
      </c>
      <c r="L281">
        <f>Table7[Initial Monthly Deposit]*Table9[[#This Row],[Inflation Modifier]]</f>
        <v>618.39186831035192</v>
      </c>
      <c r="M281">
        <f xml:space="preserve"> (1+Table7[Inflation])^(QUOTIENT(Table9[[#This Row],[Month]]-1,12))</f>
        <v>1.5459796707758797</v>
      </c>
      <c r="N281">
        <f>N280*(1+Table7[Monthly SF Inter])+Table9[[#This Row],[Monthly Payment]]-O280*(1+Table7[Monthly SF Inter])</f>
        <v>3748.8151341671478</v>
      </c>
      <c r="O281">
        <f>IF(MOD(Table9[[#This Row],[Month]],12)=0,(IF(Table9[[#This Row],[Current Balance]]&lt;Table9[[#This Row],[Max Lump Sum ]],Table9[[#This Row],[Current Balance]],Table9[[#This Row],[Max Lump Sum ]])),0)</f>
        <v>0</v>
      </c>
      <c r="P281" s="21">
        <f>Table7[Max annual lump sum repayment]*SUM(C282:C293)</f>
        <v>7880.3958913442566</v>
      </c>
      <c r="Q281" s="25">
        <f>Q280*(1+Table7[Monthly SF Inter])+Table9[[#This Row],[Inflation Modifier]]-R280*(1+Table7[Monthly SF Inter])</f>
        <v>9.3720378354178653</v>
      </c>
      <c r="R281" s="25">
        <f>IF(MOD(Table9[[#This Row],[Month]],12)=0,Table9[[#This Row],[Q2 ACC FACTOR]],0)</f>
        <v>0</v>
      </c>
      <c r="S281" s="25">
        <f>S280*(1+D280)+Table9[[#This Row],[ACC FACTOR PAYMENTS]]</f>
        <v>643.65577538826653</v>
      </c>
    </row>
    <row r="282" spans="1:19" x14ac:dyDescent="0.25">
      <c r="A282" s="1">
        <v>270</v>
      </c>
      <c r="B282" s="1">
        <f t="shared" si="4"/>
        <v>0</v>
      </c>
      <c r="C282" s="7">
        <f>G$12/-PV(Table7[Monthly mortgage rate], (12*Table7[Amortization period (yrs)]),1 )</f>
        <v>4377.9977174134756</v>
      </c>
      <c r="D282" s="11">
        <f>IF(Table1[[#This Row],[Month]]&lt;=(12*Table7[mortgage term (yrs)]),Table7[Monthly mortgage rate],Table7[Monthly Exp Renewal Rate])</f>
        <v>4.9038466830562122E-3</v>
      </c>
      <c r="E282" s="21">
        <f>Table1[[#This Row],[Current mortgage rate]]*G281</f>
        <v>-743.57870848621531</v>
      </c>
      <c r="F282" s="5">
        <f>Table1[[#This Row],[Payment amount]]-Table1[[#This Row],[Interest paid]]</f>
        <v>5121.5764258996905</v>
      </c>
      <c r="G282" s="20">
        <f>G281-Table1[[#This Row],[Principal repaid]]-Table1[[#This Row],[Annual paym]]</f>
        <v>-156753.2966946901</v>
      </c>
      <c r="H282" s="20">
        <f>H281-(Table1[[#This Row],[Payment amount]]-Table1[[#This Row],[Interest Paid W/O LSP]])</f>
        <v>101002.57655491223</v>
      </c>
      <c r="I282">
        <f>H281*Table1[[#This Row],[Current mortgage rate]]</f>
        <v>514.24838436994366</v>
      </c>
      <c r="J282" s="25">
        <f>IF(Table1[[#This Row],[Month]]&gt;Table7[Amortization period (yrs)]*12,0,IF(Table1[[#This Row],[Month]]&lt;Table7[mortgage term (yrs)]*12,0,IF(Table1[[#This Row],[Month]]=Table7[mortgage term (yrs)]*12,-H$5,Table1[[#This Row],[Payment amount]]+B282)))</f>
        <v>0</v>
      </c>
      <c r="K282">
        <v>271</v>
      </c>
      <c r="L282">
        <f>Table7[Initial Monthly Deposit]*Table9[[#This Row],[Inflation Modifier]]</f>
        <v>618.39186831035192</v>
      </c>
      <c r="M282">
        <f xml:space="preserve"> (1+Table7[Inflation])^(QUOTIENT(Table9[[#This Row],[Month]]-1,12))</f>
        <v>1.5459796707758797</v>
      </c>
      <c r="N282">
        <f>N281*(1+Table7[Monthly SF Inter])+Table9[[#This Row],[Monthly Payment]]-O281*(1+Table7[Monthly SF Inter])</f>
        <v>4382.6667991852582</v>
      </c>
      <c r="O282">
        <f>IF(MOD(Table9[[#This Row],[Month]],12)=0,(IF(Table9[[#This Row],[Current Balance]]&lt;Table9[[#This Row],[Max Lump Sum ]],Table9[[#This Row],[Current Balance]],Table9[[#This Row],[Max Lump Sum ]])),0)</f>
        <v>0</v>
      </c>
      <c r="P282" s="21">
        <f>Table7[Max annual lump sum repayment]*SUM(C283:C294)</f>
        <v>7880.3958913442566</v>
      </c>
      <c r="Q282" s="25">
        <f>Q281*(1+Table7[Monthly SF Inter])+Table9[[#This Row],[Inflation Modifier]]-R281*(1+Table7[Monthly SF Inter])</f>
        <v>10.956666997963142</v>
      </c>
      <c r="R282" s="25">
        <f>IF(MOD(Table9[[#This Row],[Month]],12)=0,Table9[[#This Row],[Q2 ACC FACTOR]],0)</f>
        <v>0</v>
      </c>
      <c r="S282" s="25">
        <f>S281*(1+D281)+Table9[[#This Row],[ACC FACTOR PAYMENTS]]</f>
        <v>646.8121646274343</v>
      </c>
    </row>
    <row r="283" spans="1:19" x14ac:dyDescent="0.25">
      <c r="A283" s="1">
        <v>271</v>
      </c>
      <c r="B283" s="1">
        <f t="shared" si="4"/>
        <v>0</v>
      </c>
      <c r="C283" s="7">
        <f>G$12/-PV(Table7[Monthly mortgage rate], (12*Table7[Amortization period (yrs)]),1 )</f>
        <v>4377.9977174134756</v>
      </c>
      <c r="D283" s="11">
        <f>IF(Table1[[#This Row],[Month]]&lt;=(12*Table7[mortgage term (yrs)]),Table7[Monthly mortgage rate],Table7[Monthly Exp Renewal Rate])</f>
        <v>4.9038466830562122E-3</v>
      </c>
      <c r="E283" s="21">
        <f>Table1[[#This Row],[Current mortgage rate]]*G282</f>
        <v>-768.6941340543824</v>
      </c>
      <c r="F283" s="5">
        <f>Table1[[#This Row],[Payment amount]]-Table1[[#This Row],[Interest paid]]</f>
        <v>5146.6918514678582</v>
      </c>
      <c r="G283" s="20">
        <f>G282-Table1[[#This Row],[Principal repaid]]-Table1[[#This Row],[Annual paym]]</f>
        <v>-161899.98854615795</v>
      </c>
      <c r="H283" s="20">
        <f>H282-(Table1[[#This Row],[Payment amount]]-Table1[[#This Row],[Interest Paid W/O LSP]])</f>
        <v>97119.879987517692</v>
      </c>
      <c r="I283">
        <f>H282*Table1[[#This Row],[Current mortgage rate]]</f>
        <v>495.30115001893751</v>
      </c>
      <c r="J283" s="25">
        <f>IF(Table1[[#This Row],[Month]]&gt;Table7[Amortization period (yrs)]*12,0,IF(Table1[[#This Row],[Month]]&lt;Table7[mortgage term (yrs)]*12,0,IF(Table1[[#This Row],[Month]]=Table7[mortgage term (yrs)]*12,-H$5,Table1[[#This Row],[Payment amount]]+B283)))</f>
        <v>0</v>
      </c>
      <c r="K283">
        <v>272</v>
      </c>
      <c r="L283">
        <f>Table7[Initial Monthly Deposit]*Table9[[#This Row],[Inflation Modifier]]</f>
        <v>618.39186831035192</v>
      </c>
      <c r="M283">
        <f xml:space="preserve"> (1+Table7[Inflation])^(QUOTIENT(Table9[[#This Row],[Month]]-1,12))</f>
        <v>1.5459796707758797</v>
      </c>
      <c r="N283">
        <f>N282*(1+Table7[Monthly SF Inter])+Table9[[#This Row],[Monthly Payment]]-O282*(1+Table7[Monthly SF Inter])</f>
        <v>5019.1324148873446</v>
      </c>
      <c r="O283">
        <f>IF(MOD(Table9[[#This Row],[Month]],12)=0,(IF(Table9[[#This Row],[Current Balance]]&lt;Table9[[#This Row],[Max Lump Sum ]],Table9[[#This Row],[Current Balance]],Table9[[#This Row],[Max Lump Sum ]])),0)</f>
        <v>0</v>
      </c>
      <c r="P283" s="21">
        <f>Table7[Max annual lump sum repayment]*SUM(C284:C295)</f>
        <v>7880.3958913442566</v>
      </c>
      <c r="Q283" s="25">
        <f>Q282*(1+Table7[Monthly SF Inter])+Table9[[#This Row],[Inflation Modifier]]-R282*(1+Table7[Monthly SF Inter])</f>
        <v>12.547831037218357</v>
      </c>
      <c r="R283" s="25">
        <f>IF(MOD(Table9[[#This Row],[Month]],12)=0,Table9[[#This Row],[Q2 ACC FACTOR]],0)</f>
        <v>0</v>
      </c>
      <c r="S283" s="25">
        <f>S282*(1+D282)+Table9[[#This Row],[ACC FACTOR PAYMENTS]]</f>
        <v>649.98403231550299</v>
      </c>
    </row>
    <row r="284" spans="1:19" x14ac:dyDescent="0.25">
      <c r="A284" s="1">
        <v>272</v>
      </c>
      <c r="B284" s="1">
        <f t="shared" si="4"/>
        <v>0</v>
      </c>
      <c r="C284" s="7">
        <f>G$12/-PV(Table7[Monthly mortgage rate], (12*Table7[Amortization period (yrs)]),1 )</f>
        <v>4377.9977174134756</v>
      </c>
      <c r="D284" s="11">
        <f>IF(Table1[[#This Row],[Month]]&lt;=(12*Table7[mortgage term (yrs)]),Table7[Monthly mortgage rate],Table7[Monthly Exp Renewal Rate])</f>
        <v>4.9038466830562122E-3</v>
      </c>
      <c r="E284" s="21">
        <f>Table1[[#This Row],[Current mortgage rate]]*G283</f>
        <v>-793.93272181891541</v>
      </c>
      <c r="F284" s="5">
        <f>Table1[[#This Row],[Payment amount]]-Table1[[#This Row],[Interest paid]]</f>
        <v>5171.9304392323911</v>
      </c>
      <c r="G284" s="20">
        <f>G283-Table1[[#This Row],[Principal repaid]]-Table1[[#This Row],[Annual paym]]</f>
        <v>-167071.91898539034</v>
      </c>
      <c r="H284" s="20">
        <f>H283-(Table1[[#This Row],[Payment amount]]-Table1[[#This Row],[Interest Paid W/O LSP]])</f>
        <v>93218.143271439825</v>
      </c>
      <c r="I284">
        <f>H283*Table1[[#This Row],[Current mortgage rate]]</f>
        <v>476.26100133560601</v>
      </c>
      <c r="J284" s="25">
        <f>IF(Table1[[#This Row],[Month]]&gt;Table7[Amortization period (yrs)]*12,0,IF(Table1[[#This Row],[Month]]&lt;Table7[mortgage term (yrs)]*12,0,IF(Table1[[#This Row],[Month]]=Table7[mortgage term (yrs)]*12,-H$5,Table1[[#This Row],[Payment amount]]+B284)))</f>
        <v>0</v>
      </c>
      <c r="K284">
        <v>273</v>
      </c>
      <c r="L284">
        <f>Table7[Initial Monthly Deposit]*Table9[[#This Row],[Inflation Modifier]]</f>
        <v>618.39186831035192</v>
      </c>
      <c r="M284">
        <f xml:space="preserve"> (1+Table7[Inflation])^(QUOTIENT(Table9[[#This Row],[Month]]-1,12))</f>
        <v>1.5459796707758797</v>
      </c>
      <c r="N284">
        <f>N283*(1+Table7[Monthly SF Inter])+Table9[[#This Row],[Monthly Payment]]-O283*(1+Table7[Monthly SF Inter])</f>
        <v>5658.222760985057</v>
      </c>
      <c r="O284">
        <f>IF(MOD(Table9[[#This Row],[Month]],12)=0,(IF(Table9[[#This Row],[Current Balance]]&lt;Table9[[#This Row],[Max Lump Sum ]],Table9[[#This Row],[Current Balance]],Table9[[#This Row],[Max Lump Sum ]])),0)</f>
        <v>0</v>
      </c>
      <c r="P284" s="21">
        <f>Table7[Max annual lump sum repayment]*SUM(C285:C296)</f>
        <v>7880.3958913442566</v>
      </c>
      <c r="Q284" s="25">
        <f>Q283*(1+Table7[Monthly SF Inter])+Table9[[#This Row],[Inflation Modifier]]-R283*(1+Table7[Monthly SF Inter])</f>
        <v>14.145556902462639</v>
      </c>
      <c r="R284" s="25">
        <f>IF(MOD(Table9[[#This Row],[Month]],12)=0,Table9[[#This Row],[Q2 ACC FACTOR]],0)</f>
        <v>0</v>
      </c>
      <c r="S284" s="25">
        <f>S283*(1+D283)+Table9[[#This Row],[ACC FACTOR PAYMENTS]]</f>
        <v>653.17145435641282</v>
      </c>
    </row>
    <row r="285" spans="1:19" x14ac:dyDescent="0.25">
      <c r="A285" s="1">
        <v>273</v>
      </c>
      <c r="B285" s="1">
        <f t="shared" si="4"/>
        <v>0</v>
      </c>
      <c r="C285" s="7">
        <f>G$12/-PV(Table7[Monthly mortgage rate], (12*Table7[Amortization period (yrs)]),1 )</f>
        <v>4377.9977174134756</v>
      </c>
      <c r="D285" s="11">
        <f>IF(Table1[[#This Row],[Month]]&lt;=(12*Table7[mortgage term (yrs)]),Table7[Monthly mortgage rate],Table7[Monthly Exp Renewal Rate])</f>
        <v>4.9038466830562122E-3</v>
      </c>
      <c r="E285" s="21">
        <f>Table1[[#This Row],[Current mortgage rate]]*G284</f>
        <v>-819.29507574834258</v>
      </c>
      <c r="F285" s="5">
        <f>Table1[[#This Row],[Payment amount]]-Table1[[#This Row],[Interest paid]]</f>
        <v>5197.2927931618178</v>
      </c>
      <c r="G285" s="20">
        <f>G284-Table1[[#This Row],[Principal repaid]]-Table1[[#This Row],[Annual paym]]</f>
        <v>-172269.21177855216</v>
      </c>
      <c r="H285" s="20">
        <f>H284-(Table1[[#This Row],[Payment amount]]-Table1[[#This Row],[Interest Paid W/O LSP]])</f>
        <v>89297.273036708662</v>
      </c>
      <c r="I285">
        <f>H284*Table1[[#This Row],[Current mortgage rate]]</f>
        <v>457.12748268230894</v>
      </c>
      <c r="J285" s="25">
        <f>IF(Table1[[#This Row],[Month]]&gt;Table7[Amortization period (yrs)]*12,0,IF(Table1[[#This Row],[Month]]&lt;Table7[mortgage term (yrs)]*12,0,IF(Table1[[#This Row],[Month]]=Table7[mortgage term (yrs)]*12,-H$5,Table1[[#This Row],[Payment amount]]+B285)))</f>
        <v>0</v>
      </c>
      <c r="K285">
        <v>274</v>
      </c>
      <c r="L285">
        <f>Table7[Initial Monthly Deposit]*Table9[[#This Row],[Inflation Modifier]]</f>
        <v>618.39186831035192</v>
      </c>
      <c r="M285">
        <f xml:space="preserve"> (1+Table7[Inflation])^(QUOTIENT(Table9[[#This Row],[Month]]-1,12))</f>
        <v>1.5459796707758797</v>
      </c>
      <c r="N285">
        <f>N284*(1+Table7[Monthly SF Inter])+Table9[[#This Row],[Monthly Payment]]-O284*(1+Table7[Monthly SF Inter])</f>
        <v>6299.9486616446666</v>
      </c>
      <c r="O285">
        <f>IF(MOD(Table9[[#This Row],[Month]],12)=0,(IF(Table9[[#This Row],[Current Balance]]&lt;Table9[[#This Row],[Max Lump Sum ]],Table9[[#This Row],[Current Balance]],Table9[[#This Row],[Max Lump Sum ]])),0)</f>
        <v>0</v>
      </c>
      <c r="P285" s="21">
        <f>Table7[Max annual lump sum repayment]*SUM(C286:C297)</f>
        <v>7880.3958913442566</v>
      </c>
      <c r="Q285" s="25">
        <f>Q284*(1+Table7[Monthly SF Inter])+Table9[[#This Row],[Inflation Modifier]]-R284*(1+Table7[Monthly SF Inter])</f>
        <v>15.749871654111663</v>
      </c>
      <c r="R285" s="25">
        <f>IF(MOD(Table9[[#This Row],[Month]],12)=0,Table9[[#This Row],[Q2 ACC FACTOR]],0)</f>
        <v>0</v>
      </c>
      <c r="S285" s="25">
        <f>S284*(1+D284)+Table9[[#This Row],[ACC FACTOR PAYMENTS]]</f>
        <v>656.37450702632555</v>
      </c>
    </row>
    <row r="286" spans="1:19" x14ac:dyDescent="0.25">
      <c r="A286" s="1">
        <v>274</v>
      </c>
      <c r="B286" s="1">
        <f t="shared" si="4"/>
        <v>0</v>
      </c>
      <c r="C286" s="7">
        <f>G$12/-PV(Table7[Monthly mortgage rate], (12*Table7[Amortization period (yrs)]),1 )</f>
        <v>4377.9977174134756</v>
      </c>
      <c r="D286" s="11">
        <f>IF(Table1[[#This Row],[Month]]&lt;=(12*Table7[mortgage term (yrs)]),Table7[Monthly mortgage rate],Table7[Monthly Exp Renewal Rate])</f>
        <v>4.9038466830562122E-3</v>
      </c>
      <c r="E286" s="21">
        <f>Table1[[#This Row],[Current mortgage rate]]*G285</f>
        <v>-844.7818027729611</v>
      </c>
      <c r="F286" s="5">
        <f>Table1[[#This Row],[Payment amount]]-Table1[[#This Row],[Interest paid]]</f>
        <v>5222.7795201864365</v>
      </c>
      <c r="G286" s="20">
        <f>G285-Table1[[#This Row],[Principal repaid]]-Table1[[#This Row],[Annual paym]]</f>
        <v>-177491.99129873861</v>
      </c>
      <c r="H286" s="20">
        <f>H285-(Table1[[#This Row],[Payment amount]]-Table1[[#This Row],[Interest Paid W/O LSP]])</f>
        <v>85357.175455482211</v>
      </c>
      <c r="I286">
        <f>H285*Table1[[#This Row],[Current mortgage rate]]</f>
        <v>437.90013618702869</v>
      </c>
      <c r="J286" s="25">
        <f>IF(Table1[[#This Row],[Month]]&gt;Table7[Amortization period (yrs)]*12,0,IF(Table1[[#This Row],[Month]]&lt;Table7[mortgage term (yrs)]*12,0,IF(Table1[[#This Row],[Month]]=Table7[mortgage term (yrs)]*12,-H$5,Table1[[#This Row],[Payment amount]]+B286)))</f>
        <v>0</v>
      </c>
      <c r="K286">
        <v>275</v>
      </c>
      <c r="L286">
        <f>Table7[Initial Monthly Deposit]*Table9[[#This Row],[Inflation Modifier]]</f>
        <v>618.39186831035192</v>
      </c>
      <c r="M286">
        <f xml:space="preserve"> (1+Table7[Inflation])^(QUOTIENT(Table9[[#This Row],[Month]]-1,12))</f>
        <v>1.5459796707758797</v>
      </c>
      <c r="N286">
        <f>N285*(1+Table7[Monthly SF Inter])+Table9[[#This Row],[Monthly Payment]]-O285*(1+Table7[Monthly SF Inter])</f>
        <v>6944.3209856703897</v>
      </c>
      <c r="O286">
        <f>IF(MOD(Table9[[#This Row],[Month]],12)=0,(IF(Table9[[#This Row],[Current Balance]]&lt;Table9[[#This Row],[Max Lump Sum ]],Table9[[#This Row],[Current Balance]],Table9[[#This Row],[Max Lump Sum ]])),0)</f>
        <v>0</v>
      </c>
      <c r="P286" s="21">
        <f>Table7[Max annual lump sum repayment]*SUM(C287:C298)</f>
        <v>7880.3958913442566</v>
      </c>
      <c r="Q286" s="25">
        <f>Q285*(1+Table7[Monthly SF Inter])+Table9[[#This Row],[Inflation Modifier]]-R285*(1+Table7[Monthly SF Inter])</f>
        <v>17.360802464175972</v>
      </c>
      <c r="R286" s="25">
        <f>IF(MOD(Table9[[#This Row],[Month]],12)=0,Table9[[#This Row],[Q2 ACC FACTOR]],0)</f>
        <v>0</v>
      </c>
      <c r="S286" s="25">
        <f>S285*(1+D285)+Table9[[#This Row],[ACC FACTOR PAYMENTS]]</f>
        <v>659.5932669754493</v>
      </c>
    </row>
    <row r="287" spans="1:19" x14ac:dyDescent="0.25">
      <c r="A287" s="1">
        <v>275</v>
      </c>
      <c r="B287" s="1">
        <f t="shared" si="4"/>
        <v>0</v>
      </c>
      <c r="C287" s="7">
        <f>G$12/-PV(Table7[Monthly mortgage rate], (12*Table7[Amortization period (yrs)]),1 )</f>
        <v>4377.9977174134756</v>
      </c>
      <c r="D287" s="11">
        <f>IF(Table1[[#This Row],[Month]]&lt;=(12*Table7[mortgage term (yrs)]),Table7[Monthly mortgage rate],Table7[Monthly Exp Renewal Rate])</f>
        <v>4.9038466830562122E-3</v>
      </c>
      <c r="E287" s="21">
        <f>Table1[[#This Row],[Current mortgage rate]]*G286</f>
        <v>-870.39351279936136</v>
      </c>
      <c r="F287" s="5">
        <f>Table1[[#This Row],[Payment amount]]-Table1[[#This Row],[Interest paid]]</f>
        <v>5248.3912302128374</v>
      </c>
      <c r="G287" s="20">
        <f>G286-Table1[[#This Row],[Principal repaid]]-Table1[[#This Row],[Annual paym]]</f>
        <v>-182740.38252895145</v>
      </c>
      <c r="H287" s="20">
        <f>H286-(Table1[[#This Row],[Payment amount]]-Table1[[#This Row],[Interest Paid W/O LSP]])</f>
        <v>81397.756239801151</v>
      </c>
      <c r="I287">
        <f>H286*Table1[[#This Row],[Current mortgage rate]]</f>
        <v>418.57850173241354</v>
      </c>
      <c r="J287" s="25">
        <f>IF(Table1[[#This Row],[Month]]&gt;Table7[Amortization period (yrs)]*12,0,IF(Table1[[#This Row],[Month]]&lt;Table7[mortgage term (yrs)]*12,0,IF(Table1[[#This Row],[Month]]=Table7[mortgage term (yrs)]*12,-H$5,Table1[[#This Row],[Payment amount]]+B287)))</f>
        <v>0</v>
      </c>
      <c r="K287">
        <v>276</v>
      </c>
      <c r="L287">
        <f>Table7[Initial Monthly Deposit]*Table9[[#This Row],[Inflation Modifier]]</f>
        <v>618.39186831035192</v>
      </c>
      <c r="M287">
        <f xml:space="preserve"> (1+Table7[Inflation])^(QUOTIENT(Table9[[#This Row],[Month]]-1,12))</f>
        <v>1.5459796707758797</v>
      </c>
      <c r="N287">
        <f>N286*(1+Table7[Monthly SF Inter])+Table9[[#This Row],[Monthly Payment]]-O286*(1+Table7[Monthly SF Inter])</f>
        <v>7591.3506466884737</v>
      </c>
      <c r="O287">
        <f>IF(MOD(Table9[[#This Row],[Month]],12)=0,(IF(Table9[[#This Row],[Current Balance]]&lt;Table9[[#This Row],[Max Lump Sum ]],Table9[[#This Row],[Current Balance]],Table9[[#This Row],[Max Lump Sum ]])),0)</f>
        <v>7591.3506466884737</v>
      </c>
      <c r="P287" s="21">
        <f>Table7[Max annual lump sum repayment]*SUM(C288:C299)</f>
        <v>7880.3958913442566</v>
      </c>
      <c r="Q287" s="25">
        <f>Q286*(1+Table7[Monthly SF Inter])+Table9[[#This Row],[Inflation Modifier]]-R286*(1+Table7[Monthly SF Inter])</f>
        <v>18.978376616721178</v>
      </c>
      <c r="R287" s="25">
        <f>IF(MOD(Table9[[#This Row],[Month]],12)=0,Table9[[#This Row],[Q2 ACC FACTOR]],0)</f>
        <v>18.978376616721178</v>
      </c>
      <c r="S287" s="25">
        <f>S286*(1+D286)+Table9[[#This Row],[ACC FACTOR PAYMENTS]]</f>
        <v>681.8061878465943</v>
      </c>
    </row>
    <row r="288" spans="1:19" x14ac:dyDescent="0.25">
      <c r="A288" s="1">
        <v>276</v>
      </c>
      <c r="B288" s="1">
        <f t="shared" si="4"/>
        <v>7591.3506466884737</v>
      </c>
      <c r="C288" s="7">
        <f>G$12/-PV(Table7[Monthly mortgage rate], (12*Table7[Amortization period (yrs)]),1 )</f>
        <v>4377.9977174134756</v>
      </c>
      <c r="D288" s="11">
        <f>IF(Table1[[#This Row],[Month]]&lt;=(12*Table7[mortgage term (yrs)]),Table7[Monthly mortgage rate],Table7[Monthly Exp Renewal Rate])</f>
        <v>4.9038466830562122E-3</v>
      </c>
      <c r="E288" s="21">
        <f>Table1[[#This Row],[Current mortgage rate]]*G287</f>
        <v>-896.13081872502198</v>
      </c>
      <c r="F288" s="5">
        <f>Table1[[#This Row],[Payment amount]]-Table1[[#This Row],[Interest paid]]</f>
        <v>5274.128536138498</v>
      </c>
      <c r="G288" s="20">
        <f>G287-Table1[[#This Row],[Principal repaid]]-Table1[[#This Row],[Annual paym]]</f>
        <v>-195605.86171177845</v>
      </c>
      <c r="H288" s="20">
        <f>H287-(Table1[[#This Row],[Payment amount]]-Table1[[#This Row],[Interest Paid W/O LSP]])</f>
        <v>77418.920639332442</v>
      </c>
      <c r="I288">
        <f>H287*Table1[[#This Row],[Current mortgage rate]]</f>
        <v>399.16211694476698</v>
      </c>
      <c r="J288" s="25">
        <f>IF(Table1[[#This Row],[Month]]&gt;Table7[Amortization period (yrs)]*12,0,IF(Table1[[#This Row],[Month]]&lt;Table7[mortgage term (yrs)]*12,0,IF(Table1[[#This Row],[Month]]=Table7[mortgage term (yrs)]*12,-H$5,Table1[[#This Row],[Payment amount]]+B288)))</f>
        <v>0</v>
      </c>
      <c r="K288">
        <v>277</v>
      </c>
      <c r="L288">
        <f>Table7[Initial Monthly Deposit]*Table9[[#This Row],[Inflation Modifier]]</f>
        <v>630.75970567655884</v>
      </c>
      <c r="M288">
        <f xml:space="preserve"> (1+Table7[Inflation])^(QUOTIENT(Table9[[#This Row],[Month]]-1,12))</f>
        <v>1.576899264191397</v>
      </c>
      <c r="N288">
        <f>N287*(1+Table7[Monthly SF Inter])+Table9[[#This Row],[Monthly Payment]]-O287*(1+Table7[Monthly SF Inter])</f>
        <v>630.75970567655895</v>
      </c>
      <c r="O288">
        <f>IF(MOD(Table9[[#This Row],[Month]],12)=0,(IF(Table9[[#This Row],[Current Balance]]&lt;Table9[[#This Row],[Max Lump Sum ]],Table9[[#This Row],[Current Balance]],Table9[[#This Row],[Max Lump Sum ]])),0)</f>
        <v>0</v>
      </c>
      <c r="P288" s="21">
        <f>Table7[Max annual lump sum repayment]*SUM(C289:C300)</f>
        <v>7880.3958913442566</v>
      </c>
      <c r="Q288" s="25">
        <f>Q287*(1+Table7[Monthly SF Inter])+Table9[[#This Row],[Inflation Modifier]]-R287*(1+Table7[Monthly SF Inter])</f>
        <v>1.5768992641913968</v>
      </c>
      <c r="R288" s="25">
        <f>IF(MOD(Table9[[#This Row],[Month]],12)=0,Table9[[#This Row],[Q2 ACC FACTOR]],0)</f>
        <v>0</v>
      </c>
      <c r="S288" s="25">
        <f>S287*(1+D287)+Table9[[#This Row],[ACC FACTOR PAYMENTS]]</f>
        <v>685.14966085935305</v>
      </c>
    </row>
    <row r="289" spans="1:19" x14ac:dyDescent="0.25">
      <c r="A289" s="1">
        <v>277</v>
      </c>
      <c r="B289" s="1">
        <f t="shared" si="4"/>
        <v>0</v>
      </c>
      <c r="C289" s="7">
        <f>G$12/-PV(Table7[Monthly mortgage rate], (12*Table7[Amortization period (yrs)]),1 )</f>
        <v>4377.9977174134756</v>
      </c>
      <c r="D289" s="11">
        <f>IF(Table1[[#This Row],[Month]]&lt;=(12*Table7[mortgage term (yrs)]),Table7[Monthly mortgage rate],Table7[Monthly Exp Renewal Rate])</f>
        <v>4.9038466830562122E-3</v>
      </c>
      <c r="E289" s="21">
        <f>Table1[[#This Row],[Current mortgage rate]]*G288</f>
        <v>-959.22115614165682</v>
      </c>
      <c r="F289" s="5">
        <f>Table1[[#This Row],[Payment amount]]-Table1[[#This Row],[Interest paid]]</f>
        <v>5337.2188735551326</v>
      </c>
      <c r="G289" s="20">
        <f>G288-Table1[[#This Row],[Principal repaid]]-Table1[[#This Row],[Annual paym]]</f>
        <v>-200943.08058533358</v>
      </c>
      <c r="H289" s="20">
        <f>H288-(Table1[[#This Row],[Payment amount]]-Table1[[#This Row],[Interest Paid W/O LSP]])</f>
        <v>73420.57343910195</v>
      </c>
      <c r="I289">
        <f>H288*Table1[[#This Row],[Current mortgage rate]]</f>
        <v>379.65051718298253</v>
      </c>
      <c r="J289" s="25">
        <f>IF(Table1[[#This Row],[Month]]&gt;Table7[Amortization period (yrs)]*12,0,IF(Table1[[#This Row],[Month]]&lt;Table7[mortgage term (yrs)]*12,0,IF(Table1[[#This Row],[Month]]=Table7[mortgage term (yrs)]*12,-H$5,Table1[[#This Row],[Payment amount]]+B289)))</f>
        <v>0</v>
      </c>
      <c r="K289">
        <v>278</v>
      </c>
      <c r="L289">
        <f>Table7[Initial Monthly Deposit]*Table9[[#This Row],[Inflation Modifier]]</f>
        <v>630.75970567655884</v>
      </c>
      <c r="M289">
        <f xml:space="preserve"> (1+Table7[Inflation])^(QUOTIENT(Table9[[#This Row],[Month]]-1,12))</f>
        <v>1.576899264191397</v>
      </c>
      <c r="N289">
        <f>N288*(1+Table7[Monthly SF Inter])+Table9[[#This Row],[Monthly Payment]]-O288*(1+Table7[Monthly SF Inter])</f>
        <v>1264.120611058147</v>
      </c>
      <c r="O289">
        <f>IF(MOD(Table9[[#This Row],[Month]],12)=0,(IF(Table9[[#This Row],[Current Balance]]&lt;Table9[[#This Row],[Max Lump Sum ]],Table9[[#This Row],[Current Balance]],Table9[[#This Row],[Max Lump Sum ]])),0)</f>
        <v>0</v>
      </c>
      <c r="P289" s="21">
        <f>Table7[Max annual lump sum repayment]*SUM(C290:C301)</f>
        <v>7880.3958913442566</v>
      </c>
      <c r="Q289" s="25">
        <f>Q288*(1+Table7[Monthly SF Inter])+Table9[[#This Row],[Inflation Modifier]]-R288*(1+Table7[Monthly SF Inter])</f>
        <v>3.160301527645367</v>
      </c>
      <c r="R289" s="25">
        <f>IF(MOD(Table9[[#This Row],[Month]],12)=0,Table9[[#This Row],[Q2 ACC FACTOR]],0)</f>
        <v>0</v>
      </c>
      <c r="S289" s="25">
        <f>S288*(1+D288)+Table9[[#This Row],[ACC FACTOR PAYMENTS]]</f>
        <v>688.50952975115524</v>
      </c>
    </row>
    <row r="290" spans="1:19" x14ac:dyDescent="0.25">
      <c r="A290" s="1">
        <v>278</v>
      </c>
      <c r="B290" s="1">
        <f t="shared" si="4"/>
        <v>0</v>
      </c>
      <c r="C290" s="7">
        <f>G$12/-PV(Table7[Monthly mortgage rate], (12*Table7[Amortization period (yrs)]),1 )</f>
        <v>4377.9977174134756</v>
      </c>
      <c r="D290" s="11">
        <f>IF(Table1[[#This Row],[Month]]&lt;=(12*Table7[mortgage term (yrs)]),Table7[Monthly mortgage rate],Table7[Monthly Exp Renewal Rate])</f>
        <v>4.9038466830562122E-3</v>
      </c>
      <c r="E290" s="21">
        <f>Table1[[#This Row],[Current mortgage rate]]*G289</f>
        <v>-985.39405921148523</v>
      </c>
      <c r="F290" s="5">
        <f>Table1[[#This Row],[Payment amount]]-Table1[[#This Row],[Interest paid]]</f>
        <v>5363.3917766249606</v>
      </c>
      <c r="G290" s="20">
        <f>G289-Table1[[#This Row],[Principal repaid]]-Table1[[#This Row],[Annual paym]]</f>
        <v>-206306.47236195853</v>
      </c>
      <c r="H290" s="20">
        <f>H289-(Table1[[#This Row],[Payment amount]]-Table1[[#This Row],[Interest Paid W/O LSP]])</f>
        <v>69402.618957215906</v>
      </c>
      <c r="I290">
        <f>H289*Table1[[#This Row],[Current mortgage rate]]</f>
        <v>360.04323552742511</v>
      </c>
      <c r="J290" s="25">
        <f>IF(Table1[[#This Row],[Month]]&gt;Table7[Amortization period (yrs)]*12,0,IF(Table1[[#This Row],[Month]]&lt;Table7[mortgage term (yrs)]*12,0,IF(Table1[[#This Row],[Month]]=Table7[mortgage term (yrs)]*12,-H$5,Table1[[#This Row],[Payment amount]]+B290)))</f>
        <v>0</v>
      </c>
      <c r="K290">
        <v>279</v>
      </c>
      <c r="L290">
        <f>Table7[Initial Monthly Deposit]*Table9[[#This Row],[Inflation Modifier]]</f>
        <v>630.75970567655884</v>
      </c>
      <c r="M290">
        <f xml:space="preserve"> (1+Table7[Inflation])^(QUOTIENT(Table9[[#This Row],[Month]]-1,12))</f>
        <v>1.576899264191397</v>
      </c>
      <c r="N290">
        <f>N289*(1+Table7[Monthly SF Inter])+Table9[[#This Row],[Monthly Payment]]-O289*(1+Table7[Monthly SF Inter])</f>
        <v>1900.0934432724562</v>
      </c>
      <c r="O290">
        <f>IF(MOD(Table9[[#This Row],[Month]],12)=0,(IF(Table9[[#This Row],[Current Balance]]&lt;Table9[[#This Row],[Max Lump Sum ]],Table9[[#This Row],[Current Balance]],Table9[[#This Row],[Max Lump Sum ]])),0)</f>
        <v>0</v>
      </c>
      <c r="P290" s="21">
        <f>Table7[Max annual lump sum repayment]*SUM(C291:C302)</f>
        <v>7880.3958913442566</v>
      </c>
      <c r="Q290" s="25">
        <f>Q289*(1+Table7[Monthly SF Inter])+Table9[[#This Row],[Inflation Modifier]]-R289*(1+Table7[Monthly SF Inter])</f>
        <v>4.7502336081811398</v>
      </c>
      <c r="R290" s="25">
        <f>IF(MOD(Table9[[#This Row],[Month]],12)=0,Table9[[#This Row],[Q2 ACC FACTOR]],0)</f>
        <v>0</v>
      </c>
      <c r="S290" s="25">
        <f>S289*(1+D289)+Table9[[#This Row],[ACC FACTOR PAYMENTS]]</f>
        <v>691.88587492487807</v>
      </c>
    </row>
    <row r="291" spans="1:19" x14ac:dyDescent="0.25">
      <c r="A291" s="1">
        <v>279</v>
      </c>
      <c r="B291" s="1">
        <f t="shared" si="4"/>
        <v>0</v>
      </c>
      <c r="C291" s="7">
        <f>G$12/-PV(Table7[Monthly mortgage rate], (12*Table7[Amortization period (yrs)]),1 )</f>
        <v>4377.9977174134756</v>
      </c>
      <c r="D291" s="11">
        <f>IF(Table1[[#This Row],[Month]]&lt;=(12*Table7[mortgage term (yrs)]),Table7[Monthly mortgage rate],Table7[Monthly Exp Renewal Rate])</f>
        <v>4.9038466830562122E-3</v>
      </c>
      <c r="E291" s="21">
        <f>Table1[[#This Row],[Current mortgage rate]]*G290</f>
        <v>-1011.6953101852184</v>
      </c>
      <c r="F291" s="5">
        <f>Table1[[#This Row],[Payment amount]]-Table1[[#This Row],[Interest paid]]</f>
        <v>5389.6930275986942</v>
      </c>
      <c r="G291" s="20">
        <f>G290-Table1[[#This Row],[Principal repaid]]-Table1[[#This Row],[Annual paym]]</f>
        <v>-211696.16538955722</v>
      </c>
      <c r="H291" s="20">
        <f>H290-(Table1[[#This Row],[Payment amount]]-Table1[[#This Row],[Interest Paid W/O LSP]])</f>
        <v>65364.961042571187</v>
      </c>
      <c r="I291">
        <f>H290*Table1[[#This Row],[Current mortgage rate]]</f>
        <v>340.33980276875741</v>
      </c>
      <c r="J291" s="25">
        <f>IF(Table1[[#This Row],[Month]]&gt;Table7[Amortization period (yrs)]*12,0,IF(Table1[[#This Row],[Month]]&lt;Table7[mortgage term (yrs)]*12,0,IF(Table1[[#This Row],[Month]]=Table7[mortgage term (yrs)]*12,-H$5,Table1[[#This Row],[Payment amount]]+B291)))</f>
        <v>0</v>
      </c>
      <c r="K291">
        <v>280</v>
      </c>
      <c r="L291">
        <f>Table7[Initial Monthly Deposit]*Table9[[#This Row],[Inflation Modifier]]</f>
        <v>630.75970567655884</v>
      </c>
      <c r="M291">
        <f xml:space="preserve"> (1+Table7[Inflation])^(QUOTIENT(Table9[[#This Row],[Month]]-1,12))</f>
        <v>1.576899264191397</v>
      </c>
      <c r="N291">
        <f>N290*(1+Table7[Monthly SF Inter])+Table9[[#This Row],[Monthly Payment]]-O290*(1+Table7[Monthly SF Inter])</f>
        <v>2538.6889736849453</v>
      </c>
      <c r="O291">
        <f>IF(MOD(Table9[[#This Row],[Month]],12)=0,(IF(Table9[[#This Row],[Current Balance]]&lt;Table9[[#This Row],[Max Lump Sum ]],Table9[[#This Row],[Current Balance]],Table9[[#This Row],[Max Lump Sum ]])),0)</f>
        <v>0</v>
      </c>
      <c r="P291" s="21">
        <f>Table7[Max annual lump sum repayment]*SUM(C292:C303)</f>
        <v>7880.3958913442566</v>
      </c>
      <c r="Q291" s="25">
        <f>Q290*(1+Table7[Monthly SF Inter])+Table9[[#This Row],[Inflation Modifier]]-R290*(1+Table7[Monthly SF Inter])</f>
        <v>6.3467224342123627</v>
      </c>
      <c r="R291" s="25">
        <f>IF(MOD(Table9[[#This Row],[Month]],12)=0,Table9[[#This Row],[Q2 ACC FACTOR]],0)</f>
        <v>0</v>
      </c>
      <c r="S291" s="25">
        <f>S290*(1+D290)+Table9[[#This Row],[ACC FACTOR PAYMENTS]]</f>
        <v>695.27877717768183</v>
      </c>
    </row>
    <row r="292" spans="1:19" x14ac:dyDescent="0.25">
      <c r="A292" s="1">
        <v>280</v>
      </c>
      <c r="B292" s="1">
        <f t="shared" si="4"/>
        <v>0</v>
      </c>
      <c r="C292" s="7">
        <f>G$12/-PV(Table7[Monthly mortgage rate], (12*Table7[Amortization period (yrs)]),1 )</f>
        <v>4377.9977174134756</v>
      </c>
      <c r="D292" s="11">
        <f>IF(Table1[[#This Row],[Month]]&lt;=(12*Table7[mortgage term (yrs)]),Table7[Monthly mortgage rate],Table7[Monthly Exp Renewal Rate])</f>
        <v>4.9038466830562122E-3</v>
      </c>
      <c r="E292" s="21">
        <f>Table1[[#This Row],[Current mortgage rate]]*G291</f>
        <v>-1038.1255384612996</v>
      </c>
      <c r="F292" s="5">
        <f>Table1[[#This Row],[Payment amount]]-Table1[[#This Row],[Interest paid]]</f>
        <v>5416.1232558747752</v>
      </c>
      <c r="G292" s="20">
        <f>G291-Table1[[#This Row],[Principal repaid]]-Table1[[#This Row],[Annual paym]]</f>
        <v>-217112.28864543201</v>
      </c>
      <c r="H292" s="20">
        <f>H291-(Table1[[#This Row],[Payment amount]]-Table1[[#This Row],[Interest Paid W/O LSP]])</f>
        <v>61307.50307255442</v>
      </c>
      <c r="I292">
        <f>H291*Table1[[#This Row],[Current mortgage rate]]</f>
        <v>320.53974739671122</v>
      </c>
      <c r="J292" s="25">
        <f>IF(Table1[[#This Row],[Month]]&gt;Table7[Amortization period (yrs)]*12,0,IF(Table1[[#This Row],[Month]]&lt;Table7[mortgage term (yrs)]*12,0,IF(Table1[[#This Row],[Month]]=Table7[mortgage term (yrs)]*12,-H$5,Table1[[#This Row],[Payment amount]]+B292)))</f>
        <v>0</v>
      </c>
      <c r="K292">
        <v>281</v>
      </c>
      <c r="L292">
        <f>Table7[Initial Monthly Deposit]*Table9[[#This Row],[Inflation Modifier]]</f>
        <v>630.75970567655884</v>
      </c>
      <c r="M292">
        <f xml:space="preserve"> (1+Table7[Inflation])^(QUOTIENT(Table9[[#This Row],[Month]]-1,12))</f>
        <v>1.576899264191397</v>
      </c>
      <c r="N292">
        <f>N291*(1+Table7[Monthly SF Inter])+Table9[[#This Row],[Monthly Payment]]-O291*(1+Table7[Monthly SF Inter])</f>
        <v>3179.9180180812746</v>
      </c>
      <c r="O292">
        <f>IF(MOD(Table9[[#This Row],[Month]],12)=0,(IF(Table9[[#This Row],[Current Balance]]&lt;Table9[[#This Row],[Max Lump Sum ]],Table9[[#This Row],[Current Balance]],Table9[[#This Row],[Max Lump Sum ]])),0)</f>
        <v>0</v>
      </c>
      <c r="P292" s="21">
        <f>Table7[Max annual lump sum repayment]*SUM(C293:C304)</f>
        <v>7880.3958913442566</v>
      </c>
      <c r="Q292" s="25">
        <f>Q291*(1+Table7[Monthly SF Inter])+Table9[[#This Row],[Inflation Modifier]]-R291*(1+Table7[Monthly SF Inter])</f>
        <v>7.949795045203186</v>
      </c>
      <c r="R292" s="25">
        <f>IF(MOD(Table9[[#This Row],[Month]],12)=0,Table9[[#This Row],[Q2 ACC FACTOR]],0)</f>
        <v>0</v>
      </c>
      <c r="S292" s="25">
        <f>S291*(1+D291)+Table9[[#This Row],[ACC FACTOR PAYMENTS]]</f>
        <v>698.688317702944</v>
      </c>
    </row>
    <row r="293" spans="1:19" x14ac:dyDescent="0.25">
      <c r="A293" s="1">
        <v>281</v>
      </c>
      <c r="B293" s="1">
        <f t="shared" si="4"/>
        <v>0</v>
      </c>
      <c r="C293" s="7">
        <f>G$12/-PV(Table7[Monthly mortgage rate], (12*Table7[Amortization period (yrs)]),1 )</f>
        <v>4377.9977174134756</v>
      </c>
      <c r="D293" s="11">
        <f>IF(Table1[[#This Row],[Month]]&lt;=(12*Table7[mortgage term (yrs)]),Table7[Monthly mortgage rate],Table7[Monthly Exp Renewal Rate])</f>
        <v>4.9038466830562122E-3</v>
      </c>
      <c r="E293" s="21">
        <f>Table1[[#This Row],[Current mortgage rate]]*G292</f>
        <v>-1064.6853765246447</v>
      </c>
      <c r="F293" s="5">
        <f>Table1[[#This Row],[Payment amount]]-Table1[[#This Row],[Interest paid]]</f>
        <v>5442.6830939381198</v>
      </c>
      <c r="G293" s="20">
        <f>G292-Table1[[#This Row],[Principal repaid]]-Table1[[#This Row],[Annual paym]]</f>
        <v>-222554.97173937014</v>
      </c>
      <c r="H293" s="20">
        <f>H292-(Table1[[#This Row],[Payment amount]]-Table1[[#This Row],[Interest Paid W/O LSP]])</f>
        <v>57230.147950729748</v>
      </c>
      <c r="I293">
        <f>H292*Table1[[#This Row],[Current mortgage rate]]</f>
        <v>300.64259558880451</v>
      </c>
      <c r="J293" s="25">
        <f>IF(Table1[[#This Row],[Month]]&gt;Table7[Amortization period (yrs)]*12,0,IF(Table1[[#This Row],[Month]]&lt;Table7[mortgage term (yrs)]*12,0,IF(Table1[[#This Row],[Month]]=Table7[mortgage term (yrs)]*12,-H$5,Table1[[#This Row],[Payment amount]]+B293)))</f>
        <v>0</v>
      </c>
      <c r="K293">
        <v>282</v>
      </c>
      <c r="L293">
        <f>Table7[Initial Monthly Deposit]*Table9[[#This Row],[Inflation Modifier]]</f>
        <v>630.75970567655884</v>
      </c>
      <c r="M293">
        <f xml:space="preserve"> (1+Table7[Inflation])^(QUOTIENT(Table9[[#This Row],[Month]]-1,12))</f>
        <v>1.576899264191397</v>
      </c>
      <c r="N293">
        <f>N292*(1+Table7[Monthly SF Inter])+Table9[[#This Row],[Monthly Payment]]-O292*(1+Table7[Monthly SF Inter])</f>
        <v>3823.7914368504898</v>
      </c>
      <c r="O293">
        <f>IF(MOD(Table9[[#This Row],[Month]],12)=0,(IF(Table9[[#This Row],[Current Balance]]&lt;Table9[[#This Row],[Max Lump Sum ]],Table9[[#This Row],[Current Balance]],Table9[[#This Row],[Max Lump Sum ]])),0)</f>
        <v>0</v>
      </c>
      <c r="P293" s="21">
        <f>Table7[Max annual lump sum repayment]*SUM(C294:C305)</f>
        <v>7880.3958913442566</v>
      </c>
      <c r="Q293" s="25">
        <f>Q292*(1+Table7[Monthly SF Inter])+Table9[[#This Row],[Inflation Modifier]]-R292*(1+Table7[Monthly SF Inter])</f>
        <v>9.559478592126224</v>
      </c>
      <c r="R293" s="25">
        <f>IF(MOD(Table9[[#This Row],[Month]],12)=0,Table9[[#This Row],[Q2 ACC FACTOR]],0)</f>
        <v>0</v>
      </c>
      <c r="S293" s="25">
        <f>S292*(1+D292)+Table9[[#This Row],[ACC FACTOR PAYMENTS]]</f>
        <v>702.11457809220167</v>
      </c>
    </row>
    <row r="294" spans="1:19" x14ac:dyDescent="0.25">
      <c r="A294" s="1">
        <v>282</v>
      </c>
      <c r="B294" s="1">
        <f t="shared" si="4"/>
        <v>0</v>
      </c>
      <c r="C294" s="7">
        <f>G$12/-PV(Table7[Monthly mortgage rate], (12*Table7[Amortization period (yrs)]),1 )</f>
        <v>4377.9977174134756</v>
      </c>
      <c r="D294" s="11">
        <f>IF(Table1[[#This Row],[Month]]&lt;=(12*Table7[mortgage term (yrs)]),Table7[Monthly mortgage rate],Table7[Monthly Exp Renewal Rate])</f>
        <v>4.9038466830562122E-3</v>
      </c>
      <c r="E294" s="21">
        <f>Table1[[#This Row],[Current mortgage rate]]*G293</f>
        <v>-1091.3754599617794</v>
      </c>
      <c r="F294" s="5">
        <f>Table1[[#This Row],[Payment amount]]-Table1[[#This Row],[Interest paid]]</f>
        <v>5469.3731773752552</v>
      </c>
      <c r="G294" s="20">
        <f>G293-Table1[[#This Row],[Principal repaid]]-Table1[[#This Row],[Annual paym]]</f>
        <v>-228024.34491674541</v>
      </c>
      <c r="H294" s="20">
        <f>H293-(Table1[[#This Row],[Payment amount]]-Table1[[#This Row],[Interest Paid W/O LSP]])</f>
        <v>53132.798104515277</v>
      </c>
      <c r="I294">
        <f>H293*Table1[[#This Row],[Current mortgage rate]]</f>
        <v>280.64787119900234</v>
      </c>
      <c r="J294" s="25">
        <f>IF(Table1[[#This Row],[Month]]&gt;Table7[Amortization period (yrs)]*12,0,IF(Table1[[#This Row],[Month]]&lt;Table7[mortgage term (yrs)]*12,0,IF(Table1[[#This Row],[Month]]=Table7[mortgage term (yrs)]*12,-H$5,Table1[[#This Row],[Payment amount]]+B294)))</f>
        <v>0</v>
      </c>
      <c r="K294">
        <v>283</v>
      </c>
      <c r="L294">
        <f>Table7[Initial Monthly Deposit]*Table9[[#This Row],[Inflation Modifier]]</f>
        <v>630.75970567655884</v>
      </c>
      <c r="M294">
        <f xml:space="preserve"> (1+Table7[Inflation])^(QUOTIENT(Table9[[#This Row],[Month]]-1,12))</f>
        <v>1.576899264191397</v>
      </c>
      <c r="N294">
        <f>N293*(1+Table7[Monthly SF Inter])+Table9[[#This Row],[Monthly Payment]]-O293*(1+Table7[Monthly SF Inter])</f>
        <v>4470.3201351689622</v>
      </c>
      <c r="O294">
        <f>IF(MOD(Table9[[#This Row],[Month]],12)=0,(IF(Table9[[#This Row],[Current Balance]]&lt;Table9[[#This Row],[Max Lump Sum ]],Table9[[#This Row],[Current Balance]],Table9[[#This Row],[Max Lump Sum ]])),0)</f>
        <v>0</v>
      </c>
      <c r="P294" s="21">
        <f>Table7[Max annual lump sum repayment]*SUM(C295:C306)</f>
        <v>7880.3958913442566</v>
      </c>
      <c r="Q294" s="25">
        <f>Q293*(1+Table7[Monthly SF Inter])+Table9[[#This Row],[Inflation Modifier]]-R293*(1+Table7[Monthly SF Inter])</f>
        <v>11.175800337922405</v>
      </c>
      <c r="R294" s="25">
        <f>IF(MOD(Table9[[#This Row],[Month]],12)=0,Table9[[#This Row],[Q2 ACC FACTOR]],0)</f>
        <v>0</v>
      </c>
      <c r="S294" s="25">
        <f>S293*(1+D293)+Table9[[#This Row],[ACC FACTOR PAYMENTS]]</f>
        <v>705.55764033710454</v>
      </c>
    </row>
    <row r="295" spans="1:19" x14ac:dyDescent="0.25">
      <c r="A295" s="1">
        <v>283</v>
      </c>
      <c r="B295" s="1">
        <f t="shared" si="4"/>
        <v>0</v>
      </c>
      <c r="C295" s="7">
        <f>G$12/-PV(Table7[Monthly mortgage rate], (12*Table7[Amortization period (yrs)]),1 )</f>
        <v>4377.9977174134756</v>
      </c>
      <c r="D295" s="11">
        <f>IF(Table1[[#This Row],[Month]]&lt;=(12*Table7[mortgage term (yrs)]),Table7[Monthly mortgage rate],Table7[Monthly Exp Renewal Rate])</f>
        <v>4.9038466830562122E-3</v>
      </c>
      <c r="E295" s="21">
        <f>Table1[[#This Row],[Current mortgage rate]]*G294</f>
        <v>-1118.1964274760476</v>
      </c>
      <c r="F295" s="5">
        <f>Table1[[#This Row],[Payment amount]]-Table1[[#This Row],[Interest paid]]</f>
        <v>5496.1941448895232</v>
      </c>
      <c r="G295" s="20">
        <f>G294-Table1[[#This Row],[Principal repaid]]-Table1[[#This Row],[Annual paym]]</f>
        <v>-233520.53906163492</v>
      </c>
      <c r="H295" s="20">
        <f>H294-(Table1[[#This Row],[Payment amount]]-Table1[[#This Row],[Interest Paid W/O LSP]])</f>
        <v>49015.355482848128</v>
      </c>
      <c r="I295">
        <f>H294*Table1[[#This Row],[Current mortgage rate]]</f>
        <v>260.55509574632265</v>
      </c>
      <c r="J295" s="25">
        <f>IF(Table1[[#This Row],[Month]]&gt;Table7[Amortization period (yrs)]*12,0,IF(Table1[[#This Row],[Month]]&lt;Table7[mortgage term (yrs)]*12,0,IF(Table1[[#This Row],[Month]]=Table7[mortgage term (yrs)]*12,-H$5,Table1[[#This Row],[Payment amount]]+B295)))</f>
        <v>0</v>
      </c>
      <c r="K295">
        <v>284</v>
      </c>
      <c r="L295">
        <f>Table7[Initial Monthly Deposit]*Table9[[#This Row],[Inflation Modifier]]</f>
        <v>630.75970567655884</v>
      </c>
      <c r="M295">
        <f xml:space="preserve"> (1+Table7[Inflation])^(QUOTIENT(Table9[[#This Row],[Month]]-1,12))</f>
        <v>1.576899264191397</v>
      </c>
      <c r="N295">
        <f>N294*(1+Table7[Monthly SF Inter])+Table9[[#This Row],[Monthly Payment]]-O294*(1+Table7[Monthly SF Inter])</f>
        <v>5119.5150631850902</v>
      </c>
      <c r="O295">
        <f>IF(MOD(Table9[[#This Row],[Month]],12)=0,(IF(Table9[[#This Row],[Current Balance]]&lt;Table9[[#This Row],[Max Lump Sum ]],Table9[[#This Row],[Current Balance]],Table9[[#This Row],[Max Lump Sum ]])),0)</f>
        <v>0</v>
      </c>
      <c r="P295" s="21">
        <f>Table7[Max annual lump sum repayment]*SUM(C296:C307)</f>
        <v>7880.3958913442566</v>
      </c>
      <c r="Q295" s="25">
        <f>Q294*(1+Table7[Monthly SF Inter])+Table9[[#This Row],[Inflation Modifier]]-R294*(1+Table7[Monthly SF Inter])</f>
        <v>12.798787657962725</v>
      </c>
      <c r="R295" s="25">
        <f>IF(MOD(Table9[[#This Row],[Month]],12)=0,Table9[[#This Row],[Q2 ACC FACTOR]],0)</f>
        <v>0</v>
      </c>
      <c r="S295" s="25">
        <f>S294*(1+D294)+Table9[[#This Row],[ACC FACTOR PAYMENTS]]</f>
        <v>709.01758683137666</v>
      </c>
    </row>
    <row r="296" spans="1:19" x14ac:dyDescent="0.25">
      <c r="A296" s="1">
        <v>284</v>
      </c>
      <c r="B296" s="1">
        <f t="shared" si="4"/>
        <v>0</v>
      </c>
      <c r="C296" s="7">
        <f>G$12/-PV(Table7[Monthly mortgage rate], (12*Table7[Amortization period (yrs)]),1 )</f>
        <v>4377.9977174134756</v>
      </c>
      <c r="D296" s="11">
        <f>IF(Table1[[#This Row],[Month]]&lt;=(12*Table7[mortgage term (yrs)]),Table7[Monthly mortgage rate],Table7[Monthly Exp Renewal Rate])</f>
        <v>4.9038466830562122E-3</v>
      </c>
      <c r="E296" s="21">
        <f>Table1[[#This Row],[Current mortgage rate]]*G295</f>
        <v>-1145.1489209028971</v>
      </c>
      <c r="F296" s="5">
        <f>Table1[[#This Row],[Payment amount]]-Table1[[#This Row],[Interest paid]]</f>
        <v>5523.1466383163724</v>
      </c>
      <c r="G296" s="20">
        <f>G295-Table1[[#This Row],[Principal repaid]]-Table1[[#This Row],[Annual paym]]</f>
        <v>-239043.68569995128</v>
      </c>
      <c r="H296" s="20">
        <f>H295-(Table1[[#This Row],[Payment amount]]-Table1[[#This Row],[Interest Paid W/O LSP]])</f>
        <v>44877.721553838041</v>
      </c>
      <c r="I296">
        <f>H295*Table1[[#This Row],[Current mortgage rate]]</f>
        <v>240.36378840338591</v>
      </c>
      <c r="J296" s="25">
        <f>IF(Table1[[#This Row],[Month]]&gt;Table7[Amortization period (yrs)]*12,0,IF(Table1[[#This Row],[Month]]&lt;Table7[mortgage term (yrs)]*12,0,IF(Table1[[#This Row],[Month]]=Table7[mortgage term (yrs)]*12,-H$5,Table1[[#This Row],[Payment amount]]+B296)))</f>
        <v>0</v>
      </c>
      <c r="K296">
        <v>285</v>
      </c>
      <c r="L296">
        <f>Table7[Initial Monthly Deposit]*Table9[[#This Row],[Inflation Modifier]]</f>
        <v>630.75970567655884</v>
      </c>
      <c r="M296">
        <f xml:space="preserve"> (1+Table7[Inflation])^(QUOTIENT(Table9[[#This Row],[Month]]-1,12))</f>
        <v>1.576899264191397</v>
      </c>
      <c r="N296">
        <f>N295*(1+Table7[Monthly SF Inter])+Table9[[#This Row],[Monthly Payment]]-O295*(1+Table7[Monthly SF Inter])</f>
        <v>5771.3872162047574</v>
      </c>
      <c r="O296">
        <f>IF(MOD(Table9[[#This Row],[Month]],12)=0,(IF(Table9[[#This Row],[Current Balance]]&lt;Table9[[#This Row],[Max Lump Sum ]],Table9[[#This Row],[Current Balance]],Table9[[#This Row],[Max Lump Sum ]])),0)</f>
        <v>0</v>
      </c>
      <c r="P296" s="21">
        <f>Table7[Max annual lump sum repayment]*SUM(C297:C308)</f>
        <v>7880.3958913442566</v>
      </c>
      <c r="Q296" s="25">
        <f>Q295*(1+Table7[Monthly SF Inter])+Table9[[#This Row],[Inflation Modifier]]-R295*(1+Table7[Monthly SF Inter])</f>
        <v>14.428468040511891</v>
      </c>
      <c r="R296" s="25">
        <f>IF(MOD(Table9[[#This Row],[Month]],12)=0,Table9[[#This Row],[Q2 ACC FACTOR]],0)</f>
        <v>0</v>
      </c>
      <c r="S296" s="25">
        <f>S295*(1+D295)+Table9[[#This Row],[ACC FACTOR PAYMENTS]]</f>
        <v>712.49450037278825</v>
      </c>
    </row>
    <row r="297" spans="1:19" x14ac:dyDescent="0.25">
      <c r="A297" s="1">
        <v>285</v>
      </c>
      <c r="B297" s="1">
        <f t="shared" si="4"/>
        <v>0</v>
      </c>
      <c r="C297" s="7">
        <f>G$12/-PV(Table7[Monthly mortgage rate], (12*Table7[Amortization period (yrs)]),1 )</f>
        <v>4377.9977174134756</v>
      </c>
      <c r="D297" s="11">
        <f>IF(Table1[[#This Row],[Month]]&lt;=(12*Table7[mortgage term (yrs)]),Table7[Monthly mortgage rate],Table7[Monthly Exp Renewal Rate])</f>
        <v>4.9038466830562122E-3</v>
      </c>
      <c r="E297" s="21">
        <f>Table1[[#This Row],[Current mortgage rate]]*G296</f>
        <v>-1172.2335852252379</v>
      </c>
      <c r="F297" s="5">
        <f>Table1[[#This Row],[Payment amount]]-Table1[[#This Row],[Interest paid]]</f>
        <v>5550.2313026387137</v>
      </c>
      <c r="G297" s="20">
        <f>G296-Table1[[#This Row],[Principal repaid]]-Table1[[#This Row],[Annual paym]]</f>
        <v>-244593.91700258999</v>
      </c>
      <c r="H297" s="20">
        <f>H296-(Table1[[#This Row],[Payment amount]]-Table1[[#This Row],[Interest Paid W/O LSP]])</f>
        <v>40719.797302409475</v>
      </c>
      <c r="I297">
        <f>H296*Table1[[#This Row],[Current mortgage rate]]</f>
        <v>220.07346598490895</v>
      </c>
      <c r="J297" s="25">
        <f>IF(Table1[[#This Row],[Month]]&gt;Table7[Amortization period (yrs)]*12,0,IF(Table1[[#This Row],[Month]]&lt;Table7[mortgage term (yrs)]*12,0,IF(Table1[[#This Row],[Month]]=Table7[mortgage term (yrs)]*12,-H$5,Table1[[#This Row],[Payment amount]]+B297)))</f>
        <v>0</v>
      </c>
      <c r="K297">
        <v>286</v>
      </c>
      <c r="L297">
        <f>Table7[Initial Monthly Deposit]*Table9[[#This Row],[Inflation Modifier]]</f>
        <v>630.75970567655884</v>
      </c>
      <c r="M297">
        <f xml:space="preserve"> (1+Table7[Inflation])^(QUOTIENT(Table9[[#This Row],[Month]]-1,12))</f>
        <v>1.576899264191397</v>
      </c>
      <c r="N297">
        <f>N296*(1+Table7[Monthly SF Inter])+Table9[[#This Row],[Monthly Payment]]-O296*(1+Table7[Monthly SF Inter])</f>
        <v>6425.9476348775588</v>
      </c>
      <c r="O297">
        <f>IF(MOD(Table9[[#This Row],[Month]],12)=0,(IF(Table9[[#This Row],[Current Balance]]&lt;Table9[[#This Row],[Max Lump Sum ]],Table9[[#This Row],[Current Balance]],Table9[[#This Row],[Max Lump Sum ]])),0)</f>
        <v>0</v>
      </c>
      <c r="P297" s="21">
        <f>Table7[Max annual lump sum repayment]*SUM(C298:C309)</f>
        <v>7880.3958913442566</v>
      </c>
      <c r="Q297" s="25">
        <f>Q296*(1+Table7[Monthly SF Inter])+Table9[[#This Row],[Inflation Modifier]]-R296*(1+Table7[Monthly SF Inter])</f>
        <v>16.064869087193895</v>
      </c>
      <c r="R297" s="25">
        <f>IF(MOD(Table9[[#This Row],[Month]],12)=0,Table9[[#This Row],[Q2 ACC FACTOR]],0)</f>
        <v>0</v>
      </c>
      <c r="S297" s="25">
        <f>S296*(1+D296)+Table9[[#This Row],[ACC FACTOR PAYMENTS]]</f>
        <v>715.98846416513709</v>
      </c>
    </row>
    <row r="298" spans="1:19" x14ac:dyDescent="0.25">
      <c r="A298" s="1">
        <v>286</v>
      </c>
      <c r="B298" s="1">
        <f t="shared" si="4"/>
        <v>0</v>
      </c>
      <c r="C298" s="7">
        <f>G$12/-PV(Table7[Monthly mortgage rate], (12*Table7[Amortization period (yrs)]),1 )</f>
        <v>4377.9977174134756</v>
      </c>
      <c r="D298" s="11">
        <f>IF(Table1[[#This Row],[Month]]&lt;=(12*Table7[mortgage term (yrs)]),Table7[Monthly mortgage rate],Table7[Monthly Exp Renewal Rate])</f>
        <v>4.9038466830562122E-3</v>
      </c>
      <c r="E298" s="21">
        <f>Table1[[#This Row],[Current mortgage rate]]*G297</f>
        <v>-1199.4510685888774</v>
      </c>
      <c r="F298" s="5">
        <f>Table1[[#This Row],[Payment amount]]-Table1[[#This Row],[Interest paid]]</f>
        <v>5577.4487860023528</v>
      </c>
      <c r="G298" s="20">
        <f>G297-Table1[[#This Row],[Principal repaid]]-Table1[[#This Row],[Annual paym]]</f>
        <v>-250171.36578859235</v>
      </c>
      <c r="H298" s="20">
        <f>H297-(Table1[[#This Row],[Payment amount]]-Table1[[#This Row],[Interest Paid W/O LSP]])</f>
        <v>36541.483227932142</v>
      </c>
      <c r="I298">
        <f>H297*Table1[[#This Row],[Current mortgage rate]]</f>
        <v>199.68364293614201</v>
      </c>
      <c r="J298" s="25">
        <f>IF(Table1[[#This Row],[Month]]&gt;Table7[Amortization period (yrs)]*12,0,IF(Table1[[#This Row],[Month]]&lt;Table7[mortgage term (yrs)]*12,0,IF(Table1[[#This Row],[Month]]=Table7[mortgage term (yrs)]*12,-H$5,Table1[[#This Row],[Payment amount]]+B298)))</f>
        <v>0</v>
      </c>
      <c r="K298">
        <v>287</v>
      </c>
      <c r="L298">
        <f>Table7[Initial Monthly Deposit]*Table9[[#This Row],[Inflation Modifier]]</f>
        <v>630.75970567655884</v>
      </c>
      <c r="M298">
        <f xml:space="preserve"> (1+Table7[Inflation])^(QUOTIENT(Table9[[#This Row],[Month]]-1,12))</f>
        <v>1.576899264191397</v>
      </c>
      <c r="N298">
        <f>N297*(1+Table7[Monthly SF Inter])+Table9[[#This Row],[Monthly Payment]]-O297*(1+Table7[Monthly SF Inter])</f>
        <v>7083.207405383796</v>
      </c>
      <c r="O298">
        <f>IF(MOD(Table9[[#This Row],[Month]],12)=0,(IF(Table9[[#This Row],[Current Balance]]&lt;Table9[[#This Row],[Max Lump Sum ]],Table9[[#This Row],[Current Balance]],Table9[[#This Row],[Max Lump Sum ]])),0)</f>
        <v>0</v>
      </c>
      <c r="P298" s="21">
        <f>Table7[Max annual lump sum repayment]*SUM(C299:C310)</f>
        <v>7880.3958913442566</v>
      </c>
      <c r="Q298" s="25">
        <f>Q297*(1+Table7[Monthly SF Inter])+Table9[[#This Row],[Inflation Modifier]]-R297*(1+Table7[Monthly SF Inter])</f>
        <v>17.708018513459489</v>
      </c>
      <c r="R298" s="25">
        <f>IF(MOD(Table9[[#This Row],[Month]],12)=0,Table9[[#This Row],[Q2 ACC FACTOR]],0)</f>
        <v>0</v>
      </c>
      <c r="S298" s="25">
        <f>S297*(1+D297)+Table9[[#This Row],[ACC FACTOR PAYMENTS]]</f>
        <v>719.49956182023982</v>
      </c>
    </row>
    <row r="299" spans="1:19" x14ac:dyDescent="0.25">
      <c r="A299" s="1">
        <v>287</v>
      </c>
      <c r="B299" s="1">
        <f t="shared" si="4"/>
        <v>0</v>
      </c>
      <c r="C299" s="7">
        <f>G$12/-PV(Table7[Monthly mortgage rate], (12*Table7[Amortization period (yrs)]),1 )</f>
        <v>4377.9977174134756</v>
      </c>
      <c r="D299" s="11">
        <f>IF(Table1[[#This Row],[Month]]&lt;=(12*Table7[mortgage term (yrs)]),Table7[Monthly mortgage rate],Table7[Monthly Exp Renewal Rate])</f>
        <v>4.9038466830562122E-3</v>
      </c>
      <c r="E299" s="21">
        <f>Table1[[#This Row],[Current mortgage rate]]*G298</f>
        <v>-1226.8020223180308</v>
      </c>
      <c r="F299" s="5">
        <f>Table1[[#This Row],[Payment amount]]-Table1[[#This Row],[Interest paid]]</f>
        <v>5604.7997397315066</v>
      </c>
      <c r="G299" s="20">
        <f>G298-Table1[[#This Row],[Principal repaid]]-Table1[[#This Row],[Annual paym]]</f>
        <v>-255776.16552832385</v>
      </c>
      <c r="H299" s="20">
        <f>H298-(Table1[[#This Row],[Payment amount]]-Table1[[#This Row],[Interest Paid W/O LSP]])</f>
        <v>32342.679341839917</v>
      </c>
      <c r="I299">
        <f>H298*Table1[[#This Row],[Current mortgage rate]]</f>
        <v>179.19383132124923</v>
      </c>
      <c r="J299" s="25">
        <f>IF(Table1[[#This Row],[Month]]&gt;Table7[Amortization period (yrs)]*12,0,IF(Table1[[#This Row],[Month]]&lt;Table7[mortgage term (yrs)]*12,0,IF(Table1[[#This Row],[Month]]=Table7[mortgage term (yrs)]*12,-H$5,Table1[[#This Row],[Payment amount]]+B299)))</f>
        <v>0</v>
      </c>
      <c r="K299">
        <v>288</v>
      </c>
      <c r="L299">
        <f>Table7[Initial Monthly Deposit]*Table9[[#This Row],[Inflation Modifier]]</f>
        <v>630.75970567655884</v>
      </c>
      <c r="M299">
        <f xml:space="preserve"> (1+Table7[Inflation])^(QUOTIENT(Table9[[#This Row],[Month]]-1,12))</f>
        <v>1.576899264191397</v>
      </c>
      <c r="N299">
        <f>N298*(1+Table7[Monthly SF Inter])+Table9[[#This Row],[Monthly Payment]]-O298*(1+Table7[Monthly SF Inter])</f>
        <v>7743.1776596222417</v>
      </c>
      <c r="O299">
        <f>IF(MOD(Table9[[#This Row],[Month]],12)=0,(IF(Table9[[#This Row],[Current Balance]]&lt;Table9[[#This Row],[Max Lump Sum ]],Table9[[#This Row],[Current Balance]],Table9[[#This Row],[Max Lump Sum ]])),0)</f>
        <v>7743.1776596222417</v>
      </c>
      <c r="P299" s="21">
        <f>Table7[Max annual lump sum repayment]*SUM(C300:C311)</f>
        <v>7880.3958913442566</v>
      </c>
      <c r="Q299" s="25">
        <f>Q298*(1+Table7[Monthly SF Inter])+Table9[[#This Row],[Inflation Modifier]]-R298*(1+Table7[Monthly SF Inter])</f>
        <v>19.357944149055601</v>
      </c>
      <c r="R299" s="25">
        <f>IF(MOD(Table9[[#This Row],[Month]],12)=0,Table9[[#This Row],[Q2 ACC FACTOR]],0)</f>
        <v>19.357944149055601</v>
      </c>
      <c r="S299" s="25">
        <f>S298*(1+D298)+Table9[[#This Row],[ACC FACTOR PAYMENTS]]</f>
        <v>742.38582150898799</v>
      </c>
    </row>
    <row r="300" spans="1:19" x14ac:dyDescent="0.25">
      <c r="A300" s="1">
        <v>288</v>
      </c>
      <c r="B300" s="1">
        <f t="shared" si="4"/>
        <v>7743.1776596222417</v>
      </c>
      <c r="C300" s="7">
        <f>G$12/-PV(Table7[Monthly mortgage rate], (12*Table7[Amortization period (yrs)]),1 )</f>
        <v>4377.9977174134756</v>
      </c>
      <c r="D300" s="11">
        <f>IF(Table1[[#This Row],[Month]]&lt;=(12*Table7[mortgage term (yrs)]),Table7[Monthly mortgage rate],Table7[Monthly Exp Renewal Rate])</f>
        <v>4.9038466830562122E-3</v>
      </c>
      <c r="E300" s="21">
        <f>Table1[[#This Row],[Current mortgage rate]]*G299</f>
        <v>-1254.2871009309076</v>
      </c>
      <c r="F300" s="5">
        <f>Table1[[#This Row],[Payment amount]]-Table1[[#This Row],[Interest paid]]</f>
        <v>5632.284818344383</v>
      </c>
      <c r="G300" s="20">
        <f>G299-Table1[[#This Row],[Principal repaid]]-Table1[[#This Row],[Annual paym]]</f>
        <v>-269151.62800629047</v>
      </c>
      <c r="H300" s="20">
        <f>H299-(Table1[[#This Row],[Payment amount]]-Table1[[#This Row],[Interest Paid W/O LSP]])</f>
        <v>28123.285165238074</v>
      </c>
      <c r="I300">
        <f>H299*Table1[[#This Row],[Current mortgage rate]]</f>
        <v>158.60354081163234</v>
      </c>
      <c r="J300" s="25">
        <f>IF(Table1[[#This Row],[Month]]&gt;Table7[Amortization period (yrs)]*12,0,IF(Table1[[#This Row],[Month]]&lt;Table7[mortgage term (yrs)]*12,0,IF(Table1[[#This Row],[Month]]=Table7[mortgage term (yrs)]*12,-H$5,Table1[[#This Row],[Payment amount]]+B300)))</f>
        <v>0</v>
      </c>
      <c r="K300">
        <v>289</v>
      </c>
      <c r="L300">
        <f>Table7[Initial Monthly Deposit]*Table9[[#This Row],[Inflation Modifier]]</f>
        <v>643.37489979009001</v>
      </c>
      <c r="M300">
        <f xml:space="preserve"> (1+Table7[Inflation])^(QUOTIENT(Table9[[#This Row],[Month]]-1,12))</f>
        <v>1.608437249475225</v>
      </c>
      <c r="N300">
        <f>N299*(1+Table7[Monthly SF Inter])+Table9[[#This Row],[Monthly Payment]]-O299*(1+Table7[Monthly SF Inter])</f>
        <v>643.37489979008933</v>
      </c>
      <c r="O300">
        <f>IF(MOD(Table9[[#This Row],[Month]],12)=0,(IF(Table9[[#This Row],[Current Balance]]&lt;Table9[[#This Row],[Max Lump Sum ]],Table9[[#This Row],[Current Balance]],Table9[[#This Row],[Max Lump Sum ]])),0)</f>
        <v>0</v>
      </c>
      <c r="P300" s="21">
        <f>Table7[Max annual lump sum repayment]*SUM(C301:C312)</f>
        <v>7880.3958913442566</v>
      </c>
      <c r="Q300" s="25">
        <f>Q299*(1+Table7[Monthly SF Inter])+Table9[[#This Row],[Inflation Modifier]]-R299*(1+Table7[Monthly SF Inter])</f>
        <v>1.6084372494752266</v>
      </c>
      <c r="R300" s="25">
        <f>IF(MOD(Table9[[#This Row],[Month]],12)=0,Table9[[#This Row],[Q2 ACC FACTOR]],0)</f>
        <v>0</v>
      </c>
      <c r="S300" s="25">
        <f>S299*(1+D299)+Table9[[#This Row],[ACC FACTOR PAYMENTS]]</f>
        <v>746.02636775734277</v>
      </c>
    </row>
    <row r="301" spans="1:19" x14ac:dyDescent="0.25">
      <c r="A301" s="1">
        <v>289</v>
      </c>
      <c r="B301" s="1">
        <f t="shared" si="4"/>
        <v>0</v>
      </c>
      <c r="C301" s="7">
        <f>G$12/-PV(Table7[Monthly mortgage rate], (12*Table7[Amortization period (yrs)]),1 )</f>
        <v>4377.9977174134756</v>
      </c>
      <c r="D301" s="11">
        <f>IF(Table1[[#This Row],[Month]]&lt;=(12*Table7[mortgage term (yrs)]),Table7[Monthly mortgage rate],Table7[Monthly Exp Renewal Rate])</f>
        <v>4.9038466830562122E-3</v>
      </c>
      <c r="E301" s="21">
        <f>Table1[[#This Row],[Current mortgage rate]]*G300</f>
        <v>-1319.878318237827</v>
      </c>
      <c r="F301" s="5">
        <f>Table1[[#This Row],[Payment amount]]-Table1[[#This Row],[Interest paid]]</f>
        <v>5697.876035651303</v>
      </c>
      <c r="G301" s="20">
        <f>G300-Table1[[#This Row],[Principal repaid]]-Table1[[#This Row],[Annual paym]]</f>
        <v>-274849.50404194178</v>
      </c>
      <c r="H301" s="20">
        <f>H300-(Table1[[#This Row],[Payment amount]]-Table1[[#This Row],[Interest Paid W/O LSP]])</f>
        <v>23883.199726498795</v>
      </c>
      <c r="I301">
        <f>H300*Table1[[#This Row],[Current mortgage rate]]</f>
        <v>137.9122786741967</v>
      </c>
      <c r="J301" s="25">
        <f>IF(Table1[[#This Row],[Month]]&gt;Table7[Amortization period (yrs)]*12,0,IF(Table1[[#This Row],[Month]]&lt;Table7[mortgage term (yrs)]*12,0,IF(Table1[[#This Row],[Month]]=Table7[mortgage term (yrs)]*12,-H$5,Table1[[#This Row],[Payment amount]]+B301)))</f>
        <v>0</v>
      </c>
      <c r="K301">
        <v>290</v>
      </c>
      <c r="L301">
        <f>Table7[Initial Monthly Deposit]*Table9[[#This Row],[Inflation Modifier]]</f>
        <v>643.37489979009001</v>
      </c>
      <c r="M301">
        <f xml:space="preserve"> (1+Table7[Inflation])^(QUOTIENT(Table9[[#This Row],[Month]]-1,12))</f>
        <v>1.608437249475225</v>
      </c>
      <c r="N301">
        <f>N300*(1+Table7[Monthly SF Inter])+Table9[[#This Row],[Monthly Payment]]-O300*(1+Table7[Monthly SF Inter])</f>
        <v>1289.4030232793093</v>
      </c>
      <c r="O301">
        <f>IF(MOD(Table9[[#This Row],[Month]],12)=0,(IF(Table9[[#This Row],[Current Balance]]&lt;Table9[[#This Row],[Max Lump Sum ]],Table9[[#This Row],[Current Balance]],Table9[[#This Row],[Max Lump Sum ]])),0)</f>
        <v>0</v>
      </c>
      <c r="P301" s="21">
        <f>Table7[Max annual lump sum repayment]*SUM(C302:C313)</f>
        <v>7880.3958913442566</v>
      </c>
      <c r="Q301" s="25">
        <f>Q300*(1+Table7[Monthly SF Inter])+Table9[[#This Row],[Inflation Modifier]]-R300*(1+Table7[Monthly SF Inter])</f>
        <v>3.2235075581982766</v>
      </c>
      <c r="R301" s="25">
        <f>IF(MOD(Table9[[#This Row],[Month]],12)=0,Table9[[#This Row],[Q2 ACC FACTOR]],0)</f>
        <v>0</v>
      </c>
      <c r="S301" s="25">
        <f>S300*(1+D300)+Table9[[#This Row],[ACC FACTOR PAYMENTS]]</f>
        <v>749.68476668634207</v>
      </c>
    </row>
    <row r="302" spans="1:19" x14ac:dyDescent="0.25">
      <c r="A302" s="1">
        <v>290</v>
      </c>
      <c r="B302" s="1">
        <f t="shared" si="4"/>
        <v>0</v>
      </c>
      <c r="C302" s="7">
        <f>G$12/-PV(Table7[Monthly mortgage rate], (12*Table7[Amortization period (yrs)]),1 )</f>
        <v>4377.9977174134756</v>
      </c>
      <c r="D302" s="11">
        <f>IF(Table1[[#This Row],[Month]]&lt;=(12*Table7[mortgage term (yrs)]),Table7[Monthly mortgage rate],Table7[Monthly Exp Renewal Rate])</f>
        <v>4.9038466830562122E-3</v>
      </c>
      <c r="E302" s="21">
        <f>Table1[[#This Row],[Current mortgage rate]]*G301</f>
        <v>-1347.8198287357211</v>
      </c>
      <c r="F302" s="5">
        <f>Table1[[#This Row],[Payment amount]]-Table1[[#This Row],[Interest paid]]</f>
        <v>5725.8175461491965</v>
      </c>
      <c r="G302" s="20">
        <f>G301-Table1[[#This Row],[Principal repaid]]-Table1[[#This Row],[Annual paym]]</f>
        <v>-280575.32158809097</v>
      </c>
      <c r="H302" s="20">
        <f>H301-(Table1[[#This Row],[Payment amount]]-Table1[[#This Row],[Interest Paid W/O LSP]])</f>
        <v>19622.32155884488</v>
      </c>
      <c r="I302">
        <f>H301*Table1[[#This Row],[Current mortgage rate]]</f>
        <v>117.11954975956014</v>
      </c>
      <c r="J302" s="25">
        <f>IF(Table1[[#This Row],[Month]]&gt;Table7[Amortization period (yrs)]*12,0,IF(Table1[[#This Row],[Month]]&lt;Table7[mortgage term (yrs)]*12,0,IF(Table1[[#This Row],[Month]]=Table7[mortgage term (yrs)]*12,-H$5,Table1[[#This Row],[Payment amount]]+B302)))</f>
        <v>0</v>
      </c>
      <c r="K302">
        <v>291</v>
      </c>
      <c r="L302">
        <f>Table7[Initial Monthly Deposit]*Table9[[#This Row],[Inflation Modifier]]</f>
        <v>643.37489979009001</v>
      </c>
      <c r="M302">
        <f xml:space="preserve"> (1+Table7[Inflation])^(QUOTIENT(Table9[[#This Row],[Month]]-1,12))</f>
        <v>1.608437249475225</v>
      </c>
      <c r="N302">
        <f>N301*(1+Table7[Monthly SF Inter])+Table9[[#This Row],[Monthly Payment]]-O301*(1+Table7[Monthly SF Inter])</f>
        <v>1938.0953121379046</v>
      </c>
      <c r="O302">
        <f>IF(MOD(Table9[[#This Row],[Month]],12)=0,(IF(Table9[[#This Row],[Current Balance]]&lt;Table9[[#This Row],[Max Lump Sum ]],Table9[[#This Row],[Current Balance]],Table9[[#This Row],[Max Lump Sum ]])),0)</f>
        <v>0</v>
      </c>
      <c r="P302" s="21">
        <f>Table7[Max annual lump sum repayment]*SUM(C303:C314)</f>
        <v>7880.3958913442566</v>
      </c>
      <c r="Q302" s="25">
        <f>Q301*(1+Table7[Monthly SF Inter])+Table9[[#This Row],[Inflation Modifier]]-R301*(1+Table7[Monthly SF Inter])</f>
        <v>4.8452382803447644</v>
      </c>
      <c r="R302" s="25">
        <f>IF(MOD(Table9[[#This Row],[Month]],12)=0,Table9[[#This Row],[Q2 ACC FACTOR]],0)</f>
        <v>0</v>
      </c>
      <c r="S302" s="25">
        <f>S301*(1+D301)+Table9[[#This Row],[ACC FACTOR PAYMENTS]]</f>
        <v>753.3611058427947</v>
      </c>
    </row>
    <row r="303" spans="1:19" x14ac:dyDescent="0.25">
      <c r="A303" s="1">
        <v>291</v>
      </c>
      <c r="B303" s="1">
        <f t="shared" si="4"/>
        <v>0</v>
      </c>
      <c r="C303" s="7">
        <f>G$12/-PV(Table7[Monthly mortgage rate], (12*Table7[Amortization period (yrs)]),1 )</f>
        <v>4377.9977174134756</v>
      </c>
      <c r="D303" s="11">
        <f>IF(Table1[[#This Row],[Month]]&lt;=(12*Table7[mortgage term (yrs)]),Table7[Monthly mortgage rate],Table7[Monthly Exp Renewal Rate])</f>
        <v>4.9038466830562122E-3</v>
      </c>
      <c r="E303" s="21">
        <f>Table1[[#This Row],[Current mortgage rate]]*G302</f>
        <v>-1375.8983601171899</v>
      </c>
      <c r="F303" s="5">
        <f>Table1[[#This Row],[Payment amount]]-Table1[[#This Row],[Interest paid]]</f>
        <v>5753.8960775306659</v>
      </c>
      <c r="G303" s="20">
        <f>G302-Table1[[#This Row],[Principal repaid]]-Table1[[#This Row],[Annual paym]]</f>
        <v>-286329.21766562166</v>
      </c>
      <c r="H303" s="20">
        <f>H302-(Table1[[#This Row],[Payment amount]]-Table1[[#This Row],[Interest Paid W/O LSP]])</f>
        <v>15340.548697921608</v>
      </c>
      <c r="I303">
        <f>H302*Table1[[#This Row],[Current mortgage rate]]</f>
        <v>96.224856490203862</v>
      </c>
      <c r="J303" s="25">
        <f>IF(Table1[[#This Row],[Month]]&gt;Table7[Amortization period (yrs)]*12,0,IF(Table1[[#This Row],[Month]]&lt;Table7[mortgage term (yrs)]*12,0,IF(Table1[[#This Row],[Month]]=Table7[mortgage term (yrs)]*12,-H$5,Table1[[#This Row],[Payment amount]]+B303)))</f>
        <v>0</v>
      </c>
      <c r="K303">
        <v>292</v>
      </c>
      <c r="L303">
        <f>Table7[Initial Monthly Deposit]*Table9[[#This Row],[Inflation Modifier]]</f>
        <v>643.37489979009001</v>
      </c>
      <c r="M303">
        <f xml:space="preserve"> (1+Table7[Inflation])^(QUOTIENT(Table9[[#This Row],[Month]]-1,12))</f>
        <v>1.608437249475225</v>
      </c>
      <c r="N303">
        <f>N302*(1+Table7[Monthly SF Inter])+Table9[[#This Row],[Monthly Payment]]-O302*(1+Table7[Monthly SF Inter])</f>
        <v>2589.4627531586439</v>
      </c>
      <c r="O303">
        <f>IF(MOD(Table9[[#This Row],[Month]],12)=0,(IF(Table9[[#This Row],[Current Balance]]&lt;Table9[[#This Row],[Max Lump Sum ]],Table9[[#This Row],[Current Balance]],Table9[[#This Row],[Max Lump Sum ]])),0)</f>
        <v>0</v>
      </c>
      <c r="P303" s="21">
        <f>Table7[Max annual lump sum repayment]*SUM(C304:C315)</f>
        <v>7880.3958913442566</v>
      </c>
      <c r="Q303" s="25">
        <f>Q302*(1+Table7[Monthly SF Inter])+Table9[[#This Row],[Inflation Modifier]]-R302*(1+Table7[Monthly SF Inter])</f>
        <v>6.4736568828966119</v>
      </c>
      <c r="R303" s="25">
        <f>IF(MOD(Table9[[#This Row],[Month]],12)=0,Table9[[#This Row],[Q2 ACC FACTOR]],0)</f>
        <v>0</v>
      </c>
      <c r="S303" s="25">
        <f>S302*(1+D302)+Table9[[#This Row],[ACC FACTOR PAYMENTS]]</f>
        <v>757.0554732028254</v>
      </c>
    </row>
    <row r="304" spans="1:19" x14ac:dyDescent="0.25">
      <c r="A304" s="1">
        <v>292</v>
      </c>
      <c r="B304" s="1">
        <f t="shared" si="4"/>
        <v>0</v>
      </c>
      <c r="C304" s="7">
        <f>G$12/-PV(Table7[Monthly mortgage rate], (12*Table7[Amortization period (yrs)]),1 )</f>
        <v>4377.9977174134756</v>
      </c>
      <c r="D304" s="11">
        <f>IF(Table1[[#This Row],[Month]]&lt;=(12*Table7[mortgage term (yrs)]),Table7[Monthly mortgage rate],Table7[Monthly Exp Renewal Rate])</f>
        <v>4.9038466830562122E-3</v>
      </c>
      <c r="E304" s="21">
        <f>Table1[[#This Row],[Current mortgage rate]]*G303</f>
        <v>-1404.114584311639</v>
      </c>
      <c r="F304" s="5">
        <f>Table1[[#This Row],[Payment amount]]-Table1[[#This Row],[Interest paid]]</f>
        <v>5782.1123017251148</v>
      </c>
      <c r="G304" s="20">
        <f>G303-Table1[[#This Row],[Principal repaid]]-Table1[[#This Row],[Annual paym]]</f>
        <v>-292111.3299673468</v>
      </c>
      <c r="H304" s="20">
        <f>H303-(Table1[[#This Row],[Payment amount]]-Table1[[#This Row],[Interest Paid W/O LSP]])</f>
        <v>11037.778679356697</v>
      </c>
      <c r="I304">
        <f>H303*Table1[[#This Row],[Current mortgage rate]]</f>
        <v>75.227698848565169</v>
      </c>
      <c r="J304" s="25">
        <f>IF(Table1[[#This Row],[Month]]&gt;Table7[Amortization period (yrs)]*12,0,IF(Table1[[#This Row],[Month]]&lt;Table7[mortgage term (yrs)]*12,0,IF(Table1[[#This Row],[Month]]=Table7[mortgage term (yrs)]*12,-H$5,Table1[[#This Row],[Payment amount]]+B304)))</f>
        <v>0</v>
      </c>
      <c r="K304">
        <v>293</v>
      </c>
      <c r="L304">
        <f>Table7[Initial Monthly Deposit]*Table9[[#This Row],[Inflation Modifier]]</f>
        <v>643.37489979009001</v>
      </c>
      <c r="M304">
        <f xml:space="preserve"> (1+Table7[Inflation])^(QUOTIENT(Table9[[#This Row],[Month]]-1,12))</f>
        <v>1.608437249475225</v>
      </c>
      <c r="N304">
        <f>N303*(1+Table7[Monthly SF Inter])+Table9[[#This Row],[Monthly Payment]]-O303*(1+Table7[Monthly SF Inter])</f>
        <v>3243.5163784428996</v>
      </c>
      <c r="O304">
        <f>IF(MOD(Table9[[#This Row],[Month]],12)=0,(IF(Table9[[#This Row],[Current Balance]]&lt;Table9[[#This Row],[Max Lump Sum ]],Table9[[#This Row],[Current Balance]],Table9[[#This Row],[Max Lump Sum ]])),0)</f>
        <v>0</v>
      </c>
      <c r="P304" s="21">
        <f>Table7[Max annual lump sum repayment]*SUM(C305:C316)</f>
        <v>7880.3958913442566</v>
      </c>
      <c r="Q304" s="25">
        <f>Q303*(1+Table7[Monthly SF Inter])+Table9[[#This Row],[Inflation Modifier]]-R303*(1+Table7[Monthly SF Inter])</f>
        <v>8.108790946107252</v>
      </c>
      <c r="R304" s="25">
        <f>IF(MOD(Table9[[#This Row],[Month]],12)=0,Table9[[#This Row],[Q2 ACC FACTOR]],0)</f>
        <v>0</v>
      </c>
      <c r="S304" s="25">
        <f>S303*(1+D303)+Table9[[#This Row],[ACC FACTOR PAYMENTS]]</f>
        <v>760.76795717398068</v>
      </c>
    </row>
    <row r="305" spans="1:19" x14ac:dyDescent="0.25">
      <c r="A305" s="1">
        <v>293</v>
      </c>
      <c r="B305" s="1">
        <f t="shared" si="4"/>
        <v>0</v>
      </c>
      <c r="C305" s="7">
        <f>G$12/-PV(Table7[Monthly mortgage rate], (12*Table7[Amortization period (yrs)]),1 )</f>
        <v>4377.9977174134756</v>
      </c>
      <c r="D305" s="11">
        <f>IF(Table1[[#This Row],[Month]]&lt;=(12*Table7[mortgage term (yrs)]),Table7[Monthly mortgage rate],Table7[Monthly Exp Renewal Rate])</f>
        <v>4.9038466830562122E-3</v>
      </c>
      <c r="E305" s="21">
        <f>Table1[[#This Row],[Current mortgage rate]]*G304</f>
        <v>-1432.4691765435123</v>
      </c>
      <c r="F305" s="5">
        <f>Table1[[#This Row],[Payment amount]]-Table1[[#This Row],[Interest paid]]</f>
        <v>5810.4668939569874</v>
      </c>
      <c r="G305" s="20">
        <f>G304-Table1[[#This Row],[Principal repaid]]-Table1[[#This Row],[Annual paym]]</f>
        <v>-297921.7968613038</v>
      </c>
      <c r="H305" s="20">
        <f>H304-(Table1[[#This Row],[Payment amount]]-Table1[[#This Row],[Interest Paid W/O LSP]])</f>
        <v>6713.9085363082941</v>
      </c>
      <c r="I305">
        <f>H304*Table1[[#This Row],[Current mortgage rate]]</f>
        <v>54.127574365071922</v>
      </c>
      <c r="J305" s="25">
        <f>IF(Table1[[#This Row],[Month]]&gt;Table7[Amortization period (yrs)]*12,0,IF(Table1[[#This Row],[Month]]&lt;Table7[mortgage term (yrs)]*12,0,IF(Table1[[#This Row],[Month]]=Table7[mortgage term (yrs)]*12,-H$5,Table1[[#This Row],[Payment amount]]+B305)))</f>
        <v>0</v>
      </c>
      <c r="K305">
        <v>294</v>
      </c>
      <c r="L305">
        <f>Table7[Initial Monthly Deposit]*Table9[[#This Row],[Inflation Modifier]]</f>
        <v>643.37489979009001</v>
      </c>
      <c r="M305">
        <f xml:space="preserve"> (1+Table7[Inflation])^(QUOTIENT(Table9[[#This Row],[Month]]-1,12))</f>
        <v>1.608437249475225</v>
      </c>
      <c r="N305">
        <f>N304*(1+Table7[Monthly SF Inter])+Table9[[#This Row],[Monthly Payment]]-O304*(1+Table7[Monthly SF Inter])</f>
        <v>3900.2672655874985</v>
      </c>
      <c r="O305">
        <f>IF(MOD(Table9[[#This Row],[Month]],12)=0,(IF(Table9[[#This Row],[Current Balance]]&lt;Table9[[#This Row],[Max Lump Sum ]],Table9[[#This Row],[Current Balance]],Table9[[#This Row],[Max Lump Sum ]])),0)</f>
        <v>0</v>
      </c>
      <c r="P305" s="21">
        <f>Table7[Max annual lump sum repayment]*SUM(C306:C317)</f>
        <v>7880.3958913442566</v>
      </c>
      <c r="Q305" s="25">
        <f>Q304*(1+Table7[Monthly SF Inter])+Table9[[#This Row],[Inflation Modifier]]-R304*(1+Table7[Monthly SF Inter])</f>
        <v>9.7506681639687507</v>
      </c>
      <c r="R305" s="25">
        <f>IF(MOD(Table9[[#This Row],[Month]],12)=0,Table9[[#This Row],[Q2 ACC FACTOR]],0)</f>
        <v>0</v>
      </c>
      <c r="S305" s="25">
        <f>S304*(1+D304)+Table9[[#This Row],[ACC FACTOR PAYMENTS]]</f>
        <v>764.49864659734374</v>
      </c>
    </row>
    <row r="306" spans="1:19" x14ac:dyDescent="0.25">
      <c r="A306" s="1">
        <v>294</v>
      </c>
      <c r="B306" s="1">
        <f t="shared" si="4"/>
        <v>0</v>
      </c>
      <c r="C306" s="7">
        <f>G$12/-PV(Table7[Monthly mortgage rate], (12*Table7[Amortization period (yrs)]),1 )</f>
        <v>4377.9977174134756</v>
      </c>
      <c r="D306" s="11">
        <f>IF(Table1[[#This Row],[Month]]&lt;=(12*Table7[mortgage term (yrs)]),Table7[Monthly mortgage rate],Table7[Monthly Exp Renewal Rate])</f>
        <v>4.9038466830562122E-3</v>
      </c>
      <c r="E306" s="21">
        <f>Table1[[#This Row],[Current mortgage rate]]*G305</f>
        <v>-1460.9628153484512</v>
      </c>
      <c r="F306" s="5">
        <f>Table1[[#This Row],[Payment amount]]-Table1[[#This Row],[Interest paid]]</f>
        <v>5838.9605327619265</v>
      </c>
      <c r="G306" s="20">
        <f>G305-Table1[[#This Row],[Principal repaid]]-Table1[[#This Row],[Annual paym]]</f>
        <v>-303760.75739406573</v>
      </c>
      <c r="H306" s="20">
        <f>H305-(Table1[[#This Row],[Payment amount]]-Table1[[#This Row],[Interest Paid W/O LSP]])</f>
        <v>2368.8347970009363</v>
      </c>
      <c r="I306">
        <f>H305*Table1[[#This Row],[Current mortgage rate]]</f>
        <v>32.923978106118213</v>
      </c>
      <c r="J306" s="25">
        <f>IF(Table1[[#This Row],[Month]]&gt;Table7[Amortization period (yrs)]*12,0,IF(Table1[[#This Row],[Month]]&lt;Table7[mortgage term (yrs)]*12,0,IF(Table1[[#This Row],[Month]]=Table7[mortgage term (yrs)]*12,-H$5,Table1[[#This Row],[Payment amount]]+B306)))</f>
        <v>0</v>
      </c>
      <c r="K306">
        <v>295</v>
      </c>
      <c r="L306">
        <f>Table7[Initial Monthly Deposit]*Table9[[#This Row],[Inflation Modifier]]</f>
        <v>643.37489979009001</v>
      </c>
      <c r="M306">
        <f xml:space="preserve"> (1+Table7[Inflation])^(QUOTIENT(Table9[[#This Row],[Month]]-1,12))</f>
        <v>1.608437249475225</v>
      </c>
      <c r="N306">
        <f>N305*(1+Table7[Monthly SF Inter])+Table9[[#This Row],[Monthly Payment]]-O305*(1+Table7[Monthly SF Inter])</f>
        <v>4559.7265378723405</v>
      </c>
      <c r="O306">
        <f>IF(MOD(Table9[[#This Row],[Month]],12)=0,(IF(Table9[[#This Row],[Current Balance]]&lt;Table9[[#This Row],[Max Lump Sum ]],Table9[[#This Row],[Current Balance]],Table9[[#This Row],[Max Lump Sum ]])),0)</f>
        <v>0</v>
      </c>
      <c r="P306" s="21">
        <f>Table7[Max annual lump sum repayment]*SUM(C307:C318)</f>
        <v>7880.3958913442566</v>
      </c>
      <c r="Q306" s="25">
        <f>Q305*(1+Table7[Monthly SF Inter])+Table9[[#This Row],[Inflation Modifier]]-R305*(1+Table7[Monthly SF Inter])</f>
        <v>11.399316344680855</v>
      </c>
      <c r="R306" s="25">
        <f>IF(MOD(Table9[[#This Row],[Month]],12)=0,Table9[[#This Row],[Q2 ACC FACTOR]],0)</f>
        <v>0</v>
      </c>
      <c r="S306" s="25">
        <f>S305*(1+D305)+Table9[[#This Row],[ACC FACTOR PAYMENTS]]</f>
        <v>768.24763074966108</v>
      </c>
    </row>
    <row r="307" spans="1:19" x14ac:dyDescent="0.25">
      <c r="A307" s="1">
        <v>295</v>
      </c>
      <c r="B307" s="1">
        <f t="shared" si="4"/>
        <v>0</v>
      </c>
      <c r="C307" s="7">
        <f>G$12/-PV(Table7[Monthly mortgage rate], (12*Table7[Amortization period (yrs)]),1 )</f>
        <v>4377.9977174134756</v>
      </c>
      <c r="D307" s="11">
        <f>IF(Table1[[#This Row],[Month]]&lt;=(12*Table7[mortgage term (yrs)]),Table7[Monthly mortgage rate],Table7[Monthly Exp Renewal Rate])</f>
        <v>4.9038466830562122E-3</v>
      </c>
      <c r="E307" s="21">
        <f>Table1[[#This Row],[Current mortgage rate]]*G306</f>
        <v>-1489.596182589532</v>
      </c>
      <c r="F307" s="5">
        <f>Table1[[#This Row],[Payment amount]]-Table1[[#This Row],[Interest paid]]</f>
        <v>5867.5939000030075</v>
      </c>
      <c r="G307" s="20">
        <f>G306-Table1[[#This Row],[Principal repaid]]-Table1[[#This Row],[Annual paym]]</f>
        <v>-309628.35129406874</v>
      </c>
      <c r="H307" s="20">
        <f>H306-(Table1[[#This Row],[Payment amount]]-Table1[[#This Row],[Interest Paid W/O LSP]])</f>
        <v>-1997.5465177505585</v>
      </c>
      <c r="I307">
        <f>H306*Table1[[#This Row],[Current mortgage rate]]</f>
        <v>11.616402661981176</v>
      </c>
      <c r="J307" s="25">
        <f>IF(Table1[[#This Row],[Month]]&gt;Table7[Amortization period (yrs)]*12,0,IF(Table1[[#This Row],[Month]]&lt;Table7[mortgage term (yrs)]*12,0,IF(Table1[[#This Row],[Month]]=Table7[mortgage term (yrs)]*12,-H$5,Table1[[#This Row],[Payment amount]]+B307)))</f>
        <v>0</v>
      </c>
      <c r="K307">
        <v>296</v>
      </c>
      <c r="L307">
        <f>Table7[Initial Monthly Deposit]*Table9[[#This Row],[Inflation Modifier]]</f>
        <v>643.37489979009001</v>
      </c>
      <c r="M307">
        <f xml:space="preserve"> (1+Table7[Inflation])^(QUOTIENT(Table9[[#This Row],[Month]]-1,12))</f>
        <v>1.608437249475225</v>
      </c>
      <c r="N307">
        <f>N306*(1+Table7[Monthly SF Inter])+Table9[[#This Row],[Monthly Payment]]-O306*(1+Table7[Monthly SF Inter])</f>
        <v>5221.9053644487913</v>
      </c>
      <c r="O307">
        <f>IF(MOD(Table9[[#This Row],[Month]],12)=0,(IF(Table9[[#This Row],[Current Balance]]&lt;Table9[[#This Row],[Max Lump Sum ]],Table9[[#This Row],[Current Balance]],Table9[[#This Row],[Max Lump Sum ]])),0)</f>
        <v>0</v>
      </c>
      <c r="P307" s="21">
        <f>Table7[Max annual lump sum repayment]*SUM(C308:C319)</f>
        <v>7880.3958913442566</v>
      </c>
      <c r="Q307" s="25">
        <f>Q306*(1+Table7[Monthly SF Inter])+Table9[[#This Row],[Inflation Modifier]]-R306*(1+Table7[Monthly SF Inter])</f>
        <v>13.05476341112198</v>
      </c>
      <c r="R307" s="25">
        <f>IF(MOD(Table9[[#This Row],[Month]],12)=0,Table9[[#This Row],[Q2 ACC FACTOR]],0)</f>
        <v>0</v>
      </c>
      <c r="S307" s="25">
        <f>S306*(1+D306)+Table9[[#This Row],[ACC FACTOR PAYMENTS]]</f>
        <v>772.0149993454786</v>
      </c>
    </row>
    <row r="308" spans="1:19" x14ac:dyDescent="0.25">
      <c r="A308" s="1">
        <v>296</v>
      </c>
      <c r="B308" s="1">
        <f t="shared" si="4"/>
        <v>0</v>
      </c>
      <c r="C308" s="7">
        <f>G$12/-PV(Table7[Monthly mortgage rate], (12*Table7[Amortization period (yrs)]),1 )</f>
        <v>4377.9977174134756</v>
      </c>
      <c r="D308" s="11">
        <f>IF(Table1[[#This Row],[Month]]&lt;=(12*Table7[mortgage term (yrs)]),Table7[Monthly mortgage rate],Table7[Monthly Exp Renewal Rate])</f>
        <v>4.9038466830562122E-3</v>
      </c>
      <c r="E308" s="21">
        <f>Table1[[#This Row],[Current mortgage rate]]*G307</f>
        <v>-1518.3699634735826</v>
      </c>
      <c r="F308" s="5">
        <f>Table1[[#This Row],[Payment amount]]-Table1[[#This Row],[Interest paid]]</f>
        <v>5896.3676808870587</v>
      </c>
      <c r="G308" s="20">
        <f>G307-Table1[[#This Row],[Principal repaid]]-Table1[[#This Row],[Annual paym]]</f>
        <v>-315524.71897495579</v>
      </c>
      <c r="H308" s="20">
        <f>H307-(Table1[[#This Row],[Payment amount]]-Table1[[#This Row],[Interest Paid W/O LSP]])</f>
        <v>-6385.3398970293556</v>
      </c>
      <c r="I308">
        <f>H307*Table1[[#This Row],[Current mortgage rate]]</f>
        <v>-9.7956618653215628</v>
      </c>
      <c r="J308" s="25">
        <f>IF(Table1[[#This Row],[Month]]&gt;Table7[Amortization period (yrs)]*12,0,IF(Table1[[#This Row],[Month]]&lt;Table7[mortgage term (yrs)]*12,0,IF(Table1[[#This Row],[Month]]=Table7[mortgage term (yrs)]*12,-H$5,Table1[[#This Row],[Payment amount]]+B308)))</f>
        <v>0</v>
      </c>
      <c r="K308">
        <v>297</v>
      </c>
      <c r="L308">
        <f>Table7[Initial Monthly Deposit]*Table9[[#This Row],[Inflation Modifier]]</f>
        <v>643.37489979009001</v>
      </c>
      <c r="M308">
        <f xml:space="preserve"> (1+Table7[Inflation])^(QUOTIENT(Table9[[#This Row],[Month]]-1,12))</f>
        <v>1.608437249475225</v>
      </c>
      <c r="N308">
        <f>N307*(1+Table7[Monthly SF Inter])+Table9[[#This Row],[Monthly Payment]]-O307*(1+Table7[Monthly SF Inter])</f>
        <v>5886.8149605288518</v>
      </c>
      <c r="O308">
        <f>IF(MOD(Table9[[#This Row],[Month]],12)=0,(IF(Table9[[#This Row],[Current Balance]]&lt;Table9[[#This Row],[Max Lump Sum ]],Table9[[#This Row],[Current Balance]],Table9[[#This Row],[Max Lump Sum ]])),0)</f>
        <v>0</v>
      </c>
      <c r="P308" s="21">
        <f>Table7[Max annual lump sum repayment]*SUM(C309:C320)</f>
        <v>7880.3958913442566</v>
      </c>
      <c r="Q308" s="25">
        <f>Q307*(1+Table7[Monthly SF Inter])+Table9[[#This Row],[Inflation Modifier]]-R307*(1+Table7[Monthly SF Inter])</f>
        <v>14.717037401322131</v>
      </c>
      <c r="R308" s="25">
        <f>IF(MOD(Table9[[#This Row],[Month]],12)=0,Table9[[#This Row],[Q2 ACC FACTOR]],0)</f>
        <v>0</v>
      </c>
      <c r="S308" s="25">
        <f>S307*(1+D307)+Table9[[#This Row],[ACC FACTOR PAYMENTS]]</f>
        <v>775.80084253928862</v>
      </c>
    </row>
    <row r="309" spans="1:19" x14ac:dyDescent="0.25">
      <c r="A309" s="1">
        <v>297</v>
      </c>
      <c r="B309" s="1">
        <f t="shared" si="4"/>
        <v>0</v>
      </c>
      <c r="C309" s="7">
        <f>G$12/-PV(Table7[Monthly mortgage rate], (12*Table7[Amortization period (yrs)]),1 )</f>
        <v>4377.9977174134756</v>
      </c>
      <c r="D309" s="11">
        <f>IF(Table1[[#This Row],[Month]]&lt;=(12*Table7[mortgage term (yrs)]),Table7[Monthly mortgage rate],Table7[Monthly Exp Renewal Rate])</f>
        <v>4.9038466830562122E-3</v>
      </c>
      <c r="E309" s="21">
        <f>Table1[[#This Row],[Current mortgage rate]]*G308</f>
        <v>-1547.2848465675804</v>
      </c>
      <c r="F309" s="5">
        <f>Table1[[#This Row],[Payment amount]]-Table1[[#This Row],[Interest paid]]</f>
        <v>5925.2825639810562</v>
      </c>
      <c r="G309" s="20">
        <f>G308-Table1[[#This Row],[Principal repaid]]-Table1[[#This Row],[Annual paym]]</f>
        <v>-321450.00153893686</v>
      </c>
      <c r="H309" s="20">
        <f>H308-(Table1[[#This Row],[Payment amount]]-Table1[[#This Row],[Interest Paid W/O LSP]])</f>
        <v>-10794.650342317065</v>
      </c>
      <c r="I309">
        <f>H308*Table1[[#This Row],[Current mortgage rate]]</f>
        <v>-31.3127278742339</v>
      </c>
      <c r="J309" s="25">
        <f>IF(Table1[[#This Row],[Month]]&gt;Table7[Amortization period (yrs)]*12,0,IF(Table1[[#This Row],[Month]]&lt;Table7[mortgage term (yrs)]*12,0,IF(Table1[[#This Row],[Month]]=Table7[mortgage term (yrs)]*12,-H$5,Table1[[#This Row],[Payment amount]]+B309)))</f>
        <v>0</v>
      </c>
      <c r="K309">
        <v>298</v>
      </c>
      <c r="L309">
        <f>Table7[Initial Monthly Deposit]*Table9[[#This Row],[Inflation Modifier]]</f>
        <v>643.37489979009001</v>
      </c>
      <c r="M309">
        <f xml:space="preserve"> (1+Table7[Inflation])^(QUOTIENT(Table9[[#This Row],[Month]]-1,12))</f>
        <v>1.608437249475225</v>
      </c>
      <c r="N309">
        <f>N308*(1+Table7[Monthly SF Inter])+Table9[[#This Row],[Monthly Payment]]-O308*(1+Table7[Monthly SF Inter])</f>
        <v>6554.4665875751098</v>
      </c>
      <c r="O309">
        <f>IF(MOD(Table9[[#This Row],[Month]],12)=0,(IF(Table9[[#This Row],[Current Balance]]&lt;Table9[[#This Row],[Max Lump Sum ]],Table9[[#This Row],[Current Balance]],Table9[[#This Row],[Max Lump Sum ]])),0)</f>
        <v>0</v>
      </c>
      <c r="P309" s="21">
        <f>Table7[Max annual lump sum repayment]*SUM(C310:C321)</f>
        <v>7880.3958913442566</v>
      </c>
      <c r="Q309" s="25">
        <f>Q308*(1+Table7[Monthly SF Inter])+Table9[[#This Row],[Inflation Modifier]]-R308*(1+Table7[Monthly SF Inter])</f>
        <v>16.386166468937773</v>
      </c>
      <c r="R309" s="25">
        <f>IF(MOD(Table9[[#This Row],[Month]],12)=0,Table9[[#This Row],[Q2 ACC FACTOR]],0)</f>
        <v>0</v>
      </c>
      <c r="S309" s="25">
        <f>S308*(1+D308)+Table9[[#This Row],[ACC FACTOR PAYMENTS]]</f>
        <v>779.60525092768717</v>
      </c>
    </row>
    <row r="310" spans="1:19" x14ac:dyDescent="0.25">
      <c r="A310" s="1">
        <v>298</v>
      </c>
      <c r="B310" s="1">
        <f t="shared" si="4"/>
        <v>0</v>
      </c>
      <c r="C310" s="7">
        <f>G$12/-PV(Table7[Monthly mortgage rate], (12*Table7[Amortization period (yrs)]),1 )</f>
        <v>4377.9977174134756</v>
      </c>
      <c r="D310" s="11">
        <f>IF(Table1[[#This Row],[Month]]&lt;=(12*Table7[mortgage term (yrs)]),Table7[Monthly mortgage rate],Table7[Monthly Exp Renewal Rate])</f>
        <v>4.9038466830562122E-3</v>
      </c>
      <c r="E310" s="21">
        <f>Table1[[#This Row],[Current mortgage rate]]*G309</f>
        <v>-1576.3415238151299</v>
      </c>
      <c r="F310" s="5">
        <f>Table1[[#This Row],[Payment amount]]-Table1[[#This Row],[Interest paid]]</f>
        <v>5954.3392412286057</v>
      </c>
      <c r="G310" s="20">
        <f>G309-Table1[[#This Row],[Principal repaid]]-Table1[[#This Row],[Annual paym]]</f>
        <v>-327404.34078016545</v>
      </c>
      <c r="H310" s="20">
        <f>H309-(Table1[[#This Row],[Payment amount]]-Table1[[#This Row],[Interest Paid W/O LSP]])</f>
        <v>-15225.583370006465</v>
      </c>
      <c r="I310">
        <f>H309*Table1[[#This Row],[Current mortgage rate]]</f>
        <v>-52.935310275923143</v>
      </c>
      <c r="J310" s="25">
        <f>IF(Table1[[#This Row],[Month]]&gt;Table7[Amortization period (yrs)]*12,0,IF(Table1[[#This Row],[Month]]&lt;Table7[mortgage term (yrs)]*12,0,IF(Table1[[#This Row],[Month]]=Table7[mortgage term (yrs)]*12,-H$5,Table1[[#This Row],[Payment amount]]+B310)))</f>
        <v>0</v>
      </c>
      <c r="K310">
        <v>299</v>
      </c>
      <c r="L310">
        <f>Table7[Initial Monthly Deposit]*Table9[[#This Row],[Inflation Modifier]]</f>
        <v>643.37489979009001</v>
      </c>
      <c r="M310">
        <f xml:space="preserve"> (1+Table7[Inflation])^(QUOTIENT(Table9[[#This Row],[Month]]-1,12))</f>
        <v>1.608437249475225</v>
      </c>
      <c r="N310">
        <f>N309*(1+Table7[Monthly SF Inter])+Table9[[#This Row],[Monthly Payment]]-O309*(1+Table7[Monthly SF Inter])</f>
        <v>7224.8715534914718</v>
      </c>
      <c r="O310">
        <f>IF(MOD(Table9[[#This Row],[Month]],12)=0,(IF(Table9[[#This Row],[Current Balance]]&lt;Table9[[#This Row],[Max Lump Sum ]],Table9[[#This Row],[Current Balance]],Table9[[#This Row],[Max Lump Sum ]])),0)</f>
        <v>0</v>
      </c>
      <c r="P310" s="21">
        <f>Table7[Max annual lump sum repayment]*SUM(C311:C322)</f>
        <v>7880.3958913442566</v>
      </c>
      <c r="Q310" s="25">
        <f>Q309*(1+Table7[Monthly SF Inter])+Table9[[#This Row],[Inflation Modifier]]-R309*(1+Table7[Monthly SF Inter])</f>
        <v>18.062178883728681</v>
      </c>
      <c r="R310" s="25">
        <f>IF(MOD(Table9[[#This Row],[Month]],12)=0,Table9[[#This Row],[Q2 ACC FACTOR]],0)</f>
        <v>0</v>
      </c>
      <c r="S310" s="25">
        <f>S309*(1+D309)+Table9[[#This Row],[ACC FACTOR PAYMENTS]]</f>
        <v>783.42831555154214</v>
      </c>
    </row>
    <row r="311" spans="1:19" x14ac:dyDescent="0.25">
      <c r="A311" s="1">
        <v>299</v>
      </c>
      <c r="B311" s="1">
        <f t="shared" si="4"/>
        <v>0</v>
      </c>
      <c r="C311" s="7">
        <f>G$12/-PV(Table7[Monthly mortgage rate], (12*Table7[Amortization period (yrs)]),1 )</f>
        <v>4377.9977174134756</v>
      </c>
      <c r="D311" s="11">
        <f>IF(Table1[[#This Row],[Month]]&lt;=(12*Table7[mortgage term (yrs)]),Table7[Monthly mortgage rate],Table7[Monthly Exp Renewal Rate])</f>
        <v>4.9038466830562122E-3</v>
      </c>
      <c r="E311" s="21">
        <f>Table1[[#This Row],[Current mortgage rate]]*G310</f>
        <v>-1605.5406905530201</v>
      </c>
      <c r="F311" s="5">
        <f>Table1[[#This Row],[Payment amount]]-Table1[[#This Row],[Interest paid]]</f>
        <v>5983.5384079664955</v>
      </c>
      <c r="G311" s="20">
        <f>G310-Table1[[#This Row],[Principal repaid]]-Table1[[#This Row],[Annual paym]]</f>
        <v>-333387.87918813195</v>
      </c>
      <c r="H311" s="20">
        <f>H310-(Table1[[#This Row],[Payment amount]]-Table1[[#This Row],[Interest Paid W/O LSP]])</f>
        <v>-19678.245013926542</v>
      </c>
      <c r="I311">
        <f>H310*Table1[[#This Row],[Current mortgage rate]]</f>
        <v>-74.663926506602024</v>
      </c>
      <c r="J311" s="25">
        <f>IF(Table1[[#This Row],[Month]]&gt;Table7[Amortization period (yrs)]*12,0,IF(Table1[[#This Row],[Month]]&lt;Table7[mortgage term (yrs)]*12,0,IF(Table1[[#This Row],[Month]]=Table7[mortgage term (yrs)]*12,-H$5,Table1[[#This Row],[Payment amount]]+B311)))</f>
        <v>0</v>
      </c>
      <c r="K311">
        <v>300</v>
      </c>
      <c r="L311">
        <f>Table7[Initial Monthly Deposit]*Table9[[#This Row],[Inflation Modifier]]</f>
        <v>643.37489979009001</v>
      </c>
      <c r="M311">
        <f xml:space="preserve"> (1+Table7[Inflation])^(QUOTIENT(Table9[[#This Row],[Month]]-1,12))</f>
        <v>1.608437249475225</v>
      </c>
      <c r="N311">
        <f>N310*(1+Table7[Monthly SF Inter])+Table9[[#This Row],[Monthly Payment]]-O310*(1+Table7[Monthly SF Inter])</f>
        <v>7898.0412128146863</v>
      </c>
      <c r="O311">
        <f>IF(MOD(Table9[[#This Row],[Month]],12)=0,(IF(Table9[[#This Row],[Current Balance]]&lt;Table9[[#This Row],[Max Lump Sum ]],Table9[[#This Row],[Current Balance]],Table9[[#This Row],[Max Lump Sum ]])),0)</f>
        <v>7880.3958913442566</v>
      </c>
      <c r="P311" s="21">
        <f>Table7[Max annual lump sum repayment]*SUM(C312:C323)</f>
        <v>7880.3958913442566</v>
      </c>
      <c r="Q311" s="25">
        <f>Q310*(1+Table7[Monthly SF Inter])+Table9[[#This Row],[Inflation Modifier]]-R310*(1+Table7[Monthly SF Inter])</f>
        <v>19.745103032036717</v>
      </c>
      <c r="R311" s="25">
        <f>IF(MOD(Table9[[#This Row],[Month]],12)=0,Table9[[#This Row],[Q2 ACC FACTOR]],0)</f>
        <v>19.745103032036717</v>
      </c>
      <c r="S311" s="25">
        <f>S310*(1+D310)+Table9[[#This Row],[ACC FACTOR PAYMENTS]]</f>
        <v>807.01523093020853</v>
      </c>
    </row>
    <row r="312" spans="1:19" x14ac:dyDescent="0.25">
      <c r="A312" s="1">
        <v>300</v>
      </c>
      <c r="B312" s="1">
        <f t="shared" si="4"/>
        <v>7880.3958913442566</v>
      </c>
      <c r="C312" s="7">
        <f>G$12/-PV(Table7[Monthly mortgage rate], (12*Table7[Amortization period (yrs)]),1 )</f>
        <v>4377.9977174134756</v>
      </c>
      <c r="D312" s="11">
        <f>IF(Table1[[#This Row],[Month]]&lt;=(12*Table7[mortgage term (yrs)]),Table7[Monthly mortgage rate],Table7[Monthly Exp Renewal Rate])</f>
        <v>4.9038466830562122E-3</v>
      </c>
      <c r="E312" s="21">
        <f>Table1[[#This Row],[Current mortgage rate]]*G311</f>
        <v>-1634.883045527866</v>
      </c>
      <c r="F312" s="5">
        <f>Table1[[#This Row],[Payment amount]]-Table1[[#This Row],[Interest paid]]</f>
        <v>6012.8807629413413</v>
      </c>
      <c r="G312" s="20">
        <f>G311-Table1[[#This Row],[Principal repaid]]-Table1[[#This Row],[Annual paym]]</f>
        <v>-347281.1558424175</v>
      </c>
      <c r="H312" s="20">
        <f>H311-(Table1[[#This Row],[Payment amount]]-Table1[[#This Row],[Interest Paid W/O LSP]])</f>
        <v>-24152.74182787993</v>
      </c>
      <c r="I312">
        <f>H311*Table1[[#This Row],[Current mortgage rate]]</f>
        <v>-96.499096539911122</v>
      </c>
      <c r="J312" s="25">
        <f>IF(Table1[[#This Row],[Month]]&gt;Table7[Amortization period (yrs)]*12,0,IF(Table1[[#This Row],[Month]]&lt;Table7[mortgage term (yrs)]*12,0,IF(Table1[[#This Row],[Month]]=Table7[mortgage term (yrs)]*12,-H$5,Table1[[#This Row],[Payment amount]]+B312)))</f>
        <v>0</v>
      </c>
      <c r="K312">
        <v>301</v>
      </c>
      <c r="L312">
        <f>Table7[Initial Monthly Deposit]*Table9[[#This Row],[Inflation Modifier]]</f>
        <v>656.24239778589185</v>
      </c>
      <c r="M312">
        <f xml:space="preserve"> (1+Table7[Inflation])^(QUOTIENT(Table9[[#This Row],[Month]]-1,12))</f>
        <v>1.6406059944647295</v>
      </c>
      <c r="N312">
        <f>N311*(1+Table7[Monthly SF Inter])+Table9[[#This Row],[Monthly Payment]]-O311*(1+Table7[Monthly SF Inter])</f>
        <v>673.96048707042155</v>
      </c>
      <c r="O312">
        <f>IF(MOD(Table9[[#This Row],[Month]],12)=0,(IF(Table9[[#This Row],[Current Balance]]&lt;Table9[[#This Row],[Max Lump Sum ]],Table9[[#This Row],[Current Balance]],Table9[[#This Row],[Max Lump Sum ]])),0)</f>
        <v>0</v>
      </c>
      <c r="P312" s="21">
        <f>Table7[Max annual lump sum repayment]*SUM(C313:C324)</f>
        <v>7880.3958913442566</v>
      </c>
      <c r="Q312" s="25">
        <f>Q311*(1+Table7[Monthly SF Inter])+Table9[[#This Row],[Inflation Modifier]]-R311*(1+Table7[Monthly SF Inter])</f>
        <v>1.6406059944647282</v>
      </c>
      <c r="R312" s="25">
        <f>IF(MOD(Table9[[#This Row],[Month]],12)=0,Table9[[#This Row],[Q2 ACC FACTOR]],0)</f>
        <v>0</v>
      </c>
      <c r="S312" s="25">
        <f>S311*(1+D311)+Table9[[#This Row],[ACC FACTOR PAYMENTS]]</f>
        <v>810.97270989358151</v>
      </c>
    </row>
    <row r="313" spans="1:19" x14ac:dyDescent="0.25">
      <c r="A313" s="1">
        <v>301</v>
      </c>
      <c r="B313" s="1">
        <f t="shared" si="4"/>
        <v>0</v>
      </c>
      <c r="C313" s="7">
        <f>G$12/-PV(Table7[Monthly mortgage rate], (12*Table7[Amortization period (yrs)]),1 )</f>
        <v>4377.9977174134756</v>
      </c>
      <c r="D313" s="11">
        <f>IF(Table1[[#This Row],[Month]]&lt;=(12*Table7[mortgage term (yrs)]),Table7[Monthly mortgage rate],Table7[Monthly Exp Renewal Rate])</f>
        <v>4.9038466830562122E-3</v>
      </c>
      <c r="E313" s="21">
        <f>Table1[[#This Row],[Current mortgage rate]]*G312</f>
        <v>-1703.0135441657665</v>
      </c>
      <c r="F313" s="5">
        <f>Table1[[#This Row],[Payment amount]]-Table1[[#This Row],[Interest paid]]</f>
        <v>6081.0112615792423</v>
      </c>
      <c r="G313" s="20">
        <f>G312-Table1[[#This Row],[Principal repaid]]-Table1[[#This Row],[Annual paym]]</f>
        <v>-353362.16710399673</v>
      </c>
      <c r="H313" s="20">
        <f>H312-(Table1[[#This Row],[Payment amount]]-Table1[[#This Row],[Interest Paid W/O LSP]])</f>
        <v>-28649.180888192768</v>
      </c>
      <c r="I313">
        <f>H312*Table1[[#This Row],[Current mortgage rate]]</f>
        <v>-118.44134289936203</v>
      </c>
      <c r="J313" s="25">
        <f>IF(Table1[[#This Row],[Month]]&gt;Table7[Amortization period (yrs)]*12,0,IF(Table1[[#This Row],[Month]]&lt;Table7[mortgage term (yrs)]*12,0,IF(Table1[[#This Row],[Month]]=Table7[mortgage term (yrs)]*12,-H$5,Table1[[#This Row],[Payment amount]]+B313)))</f>
        <v>0</v>
      </c>
      <c r="K313">
        <v>302</v>
      </c>
      <c r="L313">
        <f>Table7[Initial Monthly Deposit]*Table9[[#This Row],[Inflation Modifier]]</f>
        <v>656.24239778589185</v>
      </c>
      <c r="M313">
        <f xml:space="preserve"> (1+Table7[Inflation])^(QUOTIENT(Table9[[#This Row],[Month]]-1,12))</f>
        <v>1.6406059944647295</v>
      </c>
      <c r="N313">
        <f>N312*(1+Table7[Monthly SF Inter])+Table9[[#This Row],[Monthly Payment]]-O312*(1+Table7[Monthly SF Inter])</f>
        <v>1332.9822409318392</v>
      </c>
      <c r="O313">
        <f>IF(MOD(Table9[[#This Row],[Month]],12)=0,(IF(Table9[[#This Row],[Current Balance]]&lt;Table9[[#This Row],[Max Lump Sum ]],Table9[[#This Row],[Current Balance]],Table9[[#This Row],[Max Lump Sum ]])),0)</f>
        <v>0</v>
      </c>
      <c r="P313" s="21">
        <f>Table7[Max annual lump sum repayment]*SUM(C314:C325)</f>
        <v>7880.3958913442566</v>
      </c>
      <c r="Q313" s="25">
        <f>Q312*(1+Table7[Monthly SF Inter])+Table9[[#This Row],[Inflation Modifier]]-R312*(1+Table7[Monthly SF Inter])</f>
        <v>3.2879777093622389</v>
      </c>
      <c r="R313" s="25">
        <f>IF(MOD(Table9[[#This Row],[Month]],12)=0,Table9[[#This Row],[Q2 ACC FACTOR]],0)</f>
        <v>0</v>
      </c>
      <c r="S313" s="25">
        <f>S312*(1+D312)+Table9[[#This Row],[ACC FACTOR PAYMENTS]]</f>
        <v>814.94959572704227</v>
      </c>
    </row>
    <row r="314" spans="1:19" x14ac:dyDescent="0.25">
      <c r="A314" s="1">
        <v>302</v>
      </c>
      <c r="B314" s="1">
        <f t="shared" si="4"/>
        <v>0</v>
      </c>
      <c r="C314" s="7">
        <f>G$12/-PV(Table7[Monthly mortgage rate], (12*Table7[Amortization period (yrs)]),1 )</f>
        <v>4377.9977174134756</v>
      </c>
      <c r="D314" s="11">
        <f>IF(Table1[[#This Row],[Month]]&lt;=(12*Table7[mortgage term (yrs)]),Table7[Monthly mortgage rate],Table7[Monthly Exp Renewal Rate])</f>
        <v>4.9038466830562122E-3</v>
      </c>
      <c r="E314" s="21">
        <f>Table1[[#This Row],[Current mortgage rate]]*G313</f>
        <v>-1732.8338910704892</v>
      </c>
      <c r="F314" s="5">
        <f>Table1[[#This Row],[Payment amount]]-Table1[[#This Row],[Interest paid]]</f>
        <v>6110.8316084839644</v>
      </c>
      <c r="G314" s="20">
        <f>G313-Table1[[#This Row],[Principal repaid]]-Table1[[#This Row],[Annual paym]]</f>
        <v>-359472.99871248071</v>
      </c>
      <c r="H314" s="20">
        <f>H313-(Table1[[#This Row],[Payment amount]]-Table1[[#This Row],[Interest Paid W/O LSP]])</f>
        <v>-33167.669796277085</v>
      </c>
      <c r="I314">
        <f>H313*Table1[[#This Row],[Current mortgage rate]]</f>
        <v>-140.49119067084155</v>
      </c>
      <c r="J314" s="25">
        <f>IF(Table1[[#This Row],[Month]]&gt;Table7[Amortization period (yrs)]*12,0,IF(Table1[[#This Row],[Month]]&lt;Table7[mortgage term (yrs)]*12,0,IF(Table1[[#This Row],[Month]]=Table7[mortgage term (yrs)]*12,-H$5,Table1[[#This Row],[Payment amount]]+B314)))</f>
        <v>0</v>
      </c>
      <c r="K314">
        <v>303</v>
      </c>
      <c r="L314">
        <f>Table7[Initial Monthly Deposit]*Table9[[#This Row],[Inflation Modifier]]</f>
        <v>656.24239778589185</v>
      </c>
      <c r="M314">
        <f xml:space="preserve"> (1+Table7[Inflation])^(QUOTIENT(Table9[[#This Row],[Month]]-1,12))</f>
        <v>1.6406059944647295</v>
      </c>
      <c r="N314">
        <f>N313*(1+Table7[Monthly SF Inter])+Table9[[#This Row],[Monthly Payment]]-O313*(1+Table7[Monthly SF Inter])</f>
        <v>1994.7217447958726</v>
      </c>
      <c r="O314">
        <f>IF(MOD(Table9[[#This Row],[Month]],12)=0,(IF(Table9[[#This Row],[Current Balance]]&lt;Table9[[#This Row],[Max Lump Sum ]],Table9[[#This Row],[Current Balance]],Table9[[#This Row],[Max Lump Sum ]])),0)</f>
        <v>0</v>
      </c>
      <c r="P314" s="21">
        <f>Table7[Max annual lump sum repayment]*SUM(C315:C326)</f>
        <v>7880.3958913442566</v>
      </c>
      <c r="Q314" s="25">
        <f>Q313*(1+Table7[Monthly SF Inter])+Table9[[#This Row],[Inflation Modifier]]-R313*(1+Table7[Monthly SF Inter])</f>
        <v>4.9421430459516564</v>
      </c>
      <c r="R314" s="25">
        <f>IF(MOD(Table9[[#This Row],[Month]],12)=0,Table9[[#This Row],[Q2 ACC FACTOR]],0)</f>
        <v>0</v>
      </c>
      <c r="S314" s="25">
        <f>S313*(1+D313)+Table9[[#This Row],[ACC FACTOR PAYMENTS]]</f>
        <v>818.94598359890631</v>
      </c>
    </row>
    <row r="315" spans="1:19" x14ac:dyDescent="0.25">
      <c r="A315" s="1">
        <v>303</v>
      </c>
      <c r="B315" s="1">
        <f t="shared" si="4"/>
        <v>0</v>
      </c>
      <c r="C315" s="7">
        <f>G$12/-PV(Table7[Monthly mortgage rate], (12*Table7[Amortization period (yrs)]),1 )</f>
        <v>4377.9977174134756</v>
      </c>
      <c r="D315" s="11">
        <f>IF(Table1[[#This Row],[Month]]&lt;=(12*Table7[mortgage term (yrs)]),Table7[Monthly mortgage rate],Table7[Monthly Exp Renewal Rate])</f>
        <v>4.9038466830562122E-3</v>
      </c>
      <c r="E315" s="21">
        <f>Table1[[#This Row],[Current mortgage rate]]*G314</f>
        <v>-1762.8004723844685</v>
      </c>
      <c r="F315" s="5">
        <f>Table1[[#This Row],[Payment amount]]-Table1[[#This Row],[Interest paid]]</f>
        <v>6140.7981897979444</v>
      </c>
      <c r="G315" s="20">
        <f>G314-Table1[[#This Row],[Principal repaid]]-Table1[[#This Row],[Annual paym]]</f>
        <v>-365613.79690227867</v>
      </c>
      <c r="H315" s="20">
        <f>H314-(Table1[[#This Row],[Payment amount]]-Table1[[#This Row],[Interest Paid W/O LSP]])</f>
        <v>-37708.316681205739</v>
      </c>
      <c r="I315">
        <f>H314*Table1[[#This Row],[Current mortgage rate]]</f>
        <v>-162.64916751517708</v>
      </c>
      <c r="J315" s="25">
        <f>IF(Table1[[#This Row],[Month]]&gt;Table7[Amortization period (yrs)]*12,0,IF(Table1[[#This Row],[Month]]&lt;Table7[mortgage term (yrs)]*12,0,IF(Table1[[#This Row],[Month]]=Table7[mortgage term (yrs)]*12,-H$5,Table1[[#This Row],[Payment amount]]+B315)))</f>
        <v>0</v>
      </c>
      <c r="K315">
        <v>304</v>
      </c>
      <c r="L315">
        <f>Table7[Initial Monthly Deposit]*Table9[[#This Row],[Inflation Modifier]]</f>
        <v>656.24239778589185</v>
      </c>
      <c r="M315">
        <f xml:space="preserve"> (1+Table7[Inflation])^(QUOTIENT(Table9[[#This Row],[Month]]-1,12))</f>
        <v>1.6406059944647295</v>
      </c>
      <c r="N315">
        <f>N314*(1+Table7[Monthly SF Inter])+Table9[[#This Row],[Monthly Payment]]-O314*(1+Table7[Monthly SF Inter])</f>
        <v>2659.1902064337874</v>
      </c>
      <c r="O315">
        <f>IF(MOD(Table9[[#This Row],[Month]],12)=0,(IF(Table9[[#This Row],[Current Balance]]&lt;Table9[[#This Row],[Max Lump Sum ]],Table9[[#This Row],[Current Balance]],Table9[[#This Row],[Max Lump Sum ]])),0)</f>
        <v>0</v>
      </c>
      <c r="P315" s="21">
        <f>Table7[Max annual lump sum repayment]*SUM(C316:C327)</f>
        <v>7880.3958913442566</v>
      </c>
      <c r="Q315" s="25">
        <f>Q314*(1+Table7[Monthly SF Inter])+Table9[[#This Row],[Inflation Modifier]]-R314*(1+Table7[Monthly SF Inter])</f>
        <v>6.6031300205545413</v>
      </c>
      <c r="R315" s="25">
        <f>IF(MOD(Table9[[#This Row],[Month]],12)=0,Table9[[#This Row],[Q2 ACC FACTOR]],0)</f>
        <v>0</v>
      </c>
      <c r="S315" s="25">
        <f>S314*(1+D314)+Table9[[#This Row],[ACC FACTOR PAYMENTS]]</f>
        <v>822.96196914417999</v>
      </c>
    </row>
    <row r="316" spans="1:19" x14ac:dyDescent="0.25">
      <c r="A316" s="1">
        <v>304</v>
      </c>
      <c r="B316" s="1">
        <f t="shared" si="4"/>
        <v>0</v>
      </c>
      <c r="C316" s="7">
        <f>G$12/-PV(Table7[Monthly mortgage rate], (12*Table7[Amortization period (yrs)]),1 )</f>
        <v>4377.9977174134756</v>
      </c>
      <c r="D316" s="11">
        <f>IF(Table1[[#This Row],[Month]]&lt;=(12*Table7[mortgage term (yrs)]),Table7[Monthly mortgage rate],Table7[Monthly Exp Renewal Rate])</f>
        <v>4.9038466830562122E-3</v>
      </c>
      <c r="E316" s="21">
        <f>Table1[[#This Row],[Current mortgage rate]]*G315</f>
        <v>-1792.9140052188268</v>
      </c>
      <c r="F316" s="5">
        <f>Table1[[#This Row],[Payment amount]]-Table1[[#This Row],[Interest paid]]</f>
        <v>6170.9117226323024</v>
      </c>
      <c r="G316" s="20">
        <f>G315-Table1[[#This Row],[Principal repaid]]-Table1[[#This Row],[Annual paym]]</f>
        <v>-371784.70862491097</v>
      </c>
      <c r="H316" s="20">
        <f>H315-(Table1[[#This Row],[Payment amount]]-Table1[[#This Row],[Interest Paid W/O LSP]])</f>
        <v>-42271.230202299979</v>
      </c>
      <c r="I316">
        <f>H315*Table1[[#This Row],[Current mortgage rate]]</f>
        <v>-184.91580368076399</v>
      </c>
      <c r="J316" s="25">
        <f>IF(Table1[[#This Row],[Month]]&gt;Table7[Amortization period (yrs)]*12,0,IF(Table1[[#This Row],[Month]]&lt;Table7[mortgage term (yrs)]*12,0,IF(Table1[[#This Row],[Month]]=Table7[mortgage term (yrs)]*12,-H$5,Table1[[#This Row],[Payment amount]]+B316)))</f>
        <v>0</v>
      </c>
      <c r="K316">
        <v>305</v>
      </c>
      <c r="L316">
        <f>Table7[Initial Monthly Deposit]*Table9[[#This Row],[Inflation Modifier]]</f>
        <v>656.24239778589185</v>
      </c>
      <c r="M316">
        <f xml:space="preserve"> (1+Table7[Inflation])^(QUOTIENT(Table9[[#This Row],[Month]]-1,12))</f>
        <v>1.6406059944647295</v>
      </c>
      <c r="N316">
        <f>N315*(1+Table7[Monthly SF Inter])+Table9[[#This Row],[Monthly Payment]]-O315*(1+Table7[Monthly SF Inter])</f>
        <v>3326.3988798367518</v>
      </c>
      <c r="O316">
        <f>IF(MOD(Table9[[#This Row],[Month]],12)=0,(IF(Table9[[#This Row],[Current Balance]]&lt;Table9[[#This Row],[Max Lump Sum ]],Table9[[#This Row],[Current Balance]],Table9[[#This Row],[Max Lump Sum ]])),0)</f>
        <v>0</v>
      </c>
      <c r="P316" s="21">
        <f>Table7[Max annual lump sum repayment]*SUM(C317:C328)</f>
        <v>7880.3958913442566</v>
      </c>
      <c r="Q316" s="25">
        <f>Q315*(1+Table7[Monthly SF Inter])+Table9[[#This Row],[Inflation Modifier]]-R315*(1+Table7[Monthly SF Inter])</f>
        <v>8.2709667650293941</v>
      </c>
      <c r="R316" s="25">
        <f>IF(MOD(Table9[[#This Row],[Month]],12)=0,Table9[[#This Row],[Q2 ACC FACTOR]],0)</f>
        <v>0</v>
      </c>
      <c r="S316" s="25">
        <f>S315*(1+D315)+Table9[[#This Row],[ACC FACTOR PAYMENTS]]</f>
        <v>826.99764846684911</v>
      </c>
    </row>
    <row r="317" spans="1:19" x14ac:dyDescent="0.25">
      <c r="A317" s="1">
        <v>305</v>
      </c>
      <c r="B317" s="1">
        <f t="shared" si="4"/>
        <v>0</v>
      </c>
      <c r="C317" s="7">
        <f>G$12/-PV(Table7[Monthly mortgage rate], (12*Table7[Amortization period (yrs)]),1 )</f>
        <v>4377.9977174134756</v>
      </c>
      <c r="D317" s="11">
        <f>IF(Table1[[#This Row],[Month]]&lt;=(12*Table7[mortgage term (yrs)]),Table7[Monthly mortgage rate],Table7[Monthly Exp Renewal Rate])</f>
        <v>4.9038466830562122E-3</v>
      </c>
      <c r="E317" s="21">
        <f>Table1[[#This Row],[Current mortgage rate]]*G316</f>
        <v>-1823.1752102012899</v>
      </c>
      <c r="F317" s="5">
        <f>Table1[[#This Row],[Payment amount]]-Table1[[#This Row],[Interest paid]]</f>
        <v>6201.1729276147653</v>
      </c>
      <c r="G317" s="20">
        <f>G316-Table1[[#This Row],[Principal repaid]]-Table1[[#This Row],[Annual paym]]</f>
        <v>-377985.88155252574</v>
      </c>
      <c r="H317" s="20">
        <f>H316-(Table1[[#This Row],[Payment amount]]-Table1[[#This Row],[Interest Paid W/O LSP]])</f>
        <v>-46856.519551729711</v>
      </c>
      <c r="I317">
        <f>H316*Table1[[#This Row],[Current mortgage rate]]</f>
        <v>-207.29163201625434</v>
      </c>
      <c r="J317" s="25">
        <f>IF(Table1[[#This Row],[Month]]&gt;Table7[Amortization period (yrs)]*12,0,IF(Table1[[#This Row],[Month]]&lt;Table7[mortgage term (yrs)]*12,0,IF(Table1[[#This Row],[Month]]=Table7[mortgage term (yrs)]*12,-H$5,Table1[[#This Row],[Payment amount]]+B317)))</f>
        <v>0</v>
      </c>
      <c r="K317">
        <v>306</v>
      </c>
      <c r="L317">
        <f>Table7[Initial Monthly Deposit]*Table9[[#This Row],[Inflation Modifier]]</f>
        <v>656.24239778589185</v>
      </c>
      <c r="M317">
        <f xml:space="preserve"> (1+Table7[Inflation])^(QUOTIENT(Table9[[#This Row],[Month]]-1,12))</f>
        <v>1.6406059944647295</v>
      </c>
      <c r="N317">
        <f>N316*(1+Table7[Monthly SF Inter])+Table9[[#This Row],[Monthly Payment]]-O316*(1+Table7[Monthly SF Inter])</f>
        <v>3996.359065406441</v>
      </c>
      <c r="O317">
        <f>IF(MOD(Table9[[#This Row],[Month]],12)=0,(IF(Table9[[#This Row],[Current Balance]]&lt;Table9[[#This Row],[Max Lump Sum ]],Table9[[#This Row],[Current Balance]],Table9[[#This Row],[Max Lump Sum ]])),0)</f>
        <v>0</v>
      </c>
      <c r="P317" s="21">
        <f>Table7[Max annual lump sum repayment]*SUM(C318:C329)</f>
        <v>7880.3958913442566</v>
      </c>
      <c r="Q317" s="25">
        <f>Q316*(1+Table7[Monthly SF Inter])+Table9[[#This Row],[Inflation Modifier]]-R316*(1+Table7[Monthly SF Inter])</f>
        <v>9.9456815272481229</v>
      </c>
      <c r="R317" s="25">
        <f>IF(MOD(Table9[[#This Row],[Month]],12)=0,Table9[[#This Row],[Q2 ACC FACTOR]],0)</f>
        <v>0</v>
      </c>
      <c r="S317" s="25">
        <f>S316*(1+D316)+Table9[[#This Row],[ACC FACTOR PAYMENTS]]</f>
        <v>831.0531181421785</v>
      </c>
    </row>
    <row r="318" spans="1:19" x14ac:dyDescent="0.25">
      <c r="A318" s="1">
        <v>306</v>
      </c>
      <c r="B318" s="1">
        <f t="shared" si="4"/>
        <v>0</v>
      </c>
      <c r="C318" s="7">
        <f>G$12/-PV(Table7[Monthly mortgage rate], (12*Table7[Amortization period (yrs)]),1 )</f>
        <v>4377.9977174134756</v>
      </c>
      <c r="D318" s="11">
        <f>IF(Table1[[#This Row],[Month]]&lt;=(12*Table7[mortgage term (yrs)]),Table7[Monthly mortgage rate],Table7[Monthly Exp Renewal Rate])</f>
        <v>4.9038466830562122E-3</v>
      </c>
      <c r="E318" s="21">
        <f>Table1[[#This Row],[Current mortgage rate]]*G317</f>
        <v>-1853.5848114934317</v>
      </c>
      <c r="F318" s="5">
        <f>Table1[[#This Row],[Payment amount]]-Table1[[#This Row],[Interest paid]]</f>
        <v>6231.5825289069071</v>
      </c>
      <c r="G318" s="20">
        <f>G317-Table1[[#This Row],[Principal repaid]]-Table1[[#This Row],[Annual paym]]</f>
        <v>-384217.46408143267</v>
      </c>
      <c r="H318" s="20">
        <f>H317-(Table1[[#This Row],[Payment amount]]-Table1[[#This Row],[Interest Paid W/O LSP]])</f>
        <v>-51464.294457126496</v>
      </c>
      <c r="I318">
        <f>H317*Table1[[#This Row],[Current mortgage rate]]</f>
        <v>-229.77718798330829</v>
      </c>
      <c r="J318" s="25">
        <f>IF(Table1[[#This Row],[Month]]&gt;Table7[Amortization period (yrs)]*12,0,IF(Table1[[#This Row],[Month]]&lt;Table7[mortgage term (yrs)]*12,0,IF(Table1[[#This Row],[Month]]=Table7[mortgage term (yrs)]*12,-H$5,Table1[[#This Row],[Payment amount]]+B318)))</f>
        <v>0</v>
      </c>
      <c r="K318">
        <v>307</v>
      </c>
      <c r="L318">
        <f>Table7[Initial Monthly Deposit]*Table9[[#This Row],[Inflation Modifier]]</f>
        <v>656.24239778589185</v>
      </c>
      <c r="M318">
        <f xml:space="preserve"> (1+Table7[Inflation])^(QUOTIENT(Table9[[#This Row],[Month]]-1,12))</f>
        <v>1.6406059944647295</v>
      </c>
      <c r="N318">
        <f>N317*(1+Table7[Monthly SF Inter])+Table9[[#This Row],[Monthly Payment]]-O317*(1+Table7[Monthly SF Inter])</f>
        <v>4669.0821101464317</v>
      </c>
      <c r="O318">
        <f>IF(MOD(Table9[[#This Row],[Month]],12)=0,(IF(Table9[[#This Row],[Current Balance]]&lt;Table9[[#This Row],[Max Lump Sum ]],Table9[[#This Row],[Current Balance]],Table9[[#This Row],[Max Lump Sum ]])),0)</f>
        <v>0</v>
      </c>
      <c r="P318" s="21">
        <f>Table7[Max annual lump sum repayment]*SUM(C319:C330)</f>
        <v>7880.3958913442566</v>
      </c>
      <c r="Q318" s="25">
        <f>Q317*(1+Table7[Monthly SF Inter])+Table9[[#This Row],[Inflation Modifier]]-R317*(1+Table7[Monthly SF Inter])</f>
        <v>11.627302671574471</v>
      </c>
      <c r="R318" s="25">
        <f>IF(MOD(Table9[[#This Row],[Month]],12)=0,Table9[[#This Row],[Q2 ACC FACTOR]],0)</f>
        <v>0</v>
      </c>
      <c r="S318" s="25">
        <f>S317*(1+D317)+Table9[[#This Row],[ACC FACTOR PAYMENTS]]</f>
        <v>835.12847521902358</v>
      </c>
    </row>
    <row r="319" spans="1:19" x14ac:dyDescent="0.25">
      <c r="A319" s="1">
        <v>307</v>
      </c>
      <c r="B319" s="1">
        <f t="shared" si="4"/>
        <v>0</v>
      </c>
      <c r="C319" s="7">
        <f>G$12/-PV(Table7[Monthly mortgage rate], (12*Table7[Amortization period (yrs)]),1 )</f>
        <v>4377.9977174134756</v>
      </c>
      <c r="D319" s="11">
        <f>IF(Table1[[#This Row],[Month]]&lt;=(12*Table7[mortgage term (yrs)]),Table7[Monthly mortgage rate],Table7[Monthly Exp Renewal Rate])</f>
        <v>4.9038466830562122E-3</v>
      </c>
      <c r="E319" s="21">
        <f>Table1[[#This Row],[Current mortgage rate]]*G318</f>
        <v>-1884.1435368080029</v>
      </c>
      <c r="F319" s="5">
        <f>Table1[[#This Row],[Payment amount]]-Table1[[#This Row],[Interest paid]]</f>
        <v>6262.1412542214784</v>
      </c>
      <c r="G319" s="20">
        <f>G318-Table1[[#This Row],[Principal repaid]]-Table1[[#This Row],[Annual paym]]</f>
        <v>-390479.60533565417</v>
      </c>
      <c r="H319" s="20">
        <f>H318-(Table1[[#This Row],[Payment amount]]-Table1[[#This Row],[Interest Paid W/O LSP]])</f>
        <v>-56094.665184209378</v>
      </c>
      <c r="I319">
        <f>H318*Table1[[#This Row],[Current mortgage rate]]</f>
        <v>-252.37300966940796</v>
      </c>
      <c r="J319" s="25">
        <f>IF(Table1[[#This Row],[Month]]&gt;Table7[Amortization period (yrs)]*12,0,IF(Table1[[#This Row],[Month]]&lt;Table7[mortgage term (yrs)]*12,0,IF(Table1[[#This Row],[Month]]=Table7[mortgage term (yrs)]*12,-H$5,Table1[[#This Row],[Payment amount]]+B319)))</f>
        <v>0</v>
      </c>
      <c r="K319">
        <v>308</v>
      </c>
      <c r="L319">
        <f>Table7[Initial Monthly Deposit]*Table9[[#This Row],[Inflation Modifier]]</f>
        <v>656.24239778589185</v>
      </c>
      <c r="M319">
        <f xml:space="preserve"> (1+Table7[Inflation])^(QUOTIENT(Table9[[#This Row],[Month]]-1,12))</f>
        <v>1.6406059944647295</v>
      </c>
      <c r="N319">
        <f>N318*(1+Table7[Monthly SF Inter])+Table9[[#This Row],[Monthly Payment]]-O318*(1+Table7[Monthly SF Inter])</f>
        <v>5344.579407854384</v>
      </c>
      <c r="O319">
        <f>IF(MOD(Table9[[#This Row],[Month]],12)=0,(IF(Table9[[#This Row],[Current Balance]]&lt;Table9[[#This Row],[Max Lump Sum ]],Table9[[#This Row],[Current Balance]],Table9[[#This Row],[Max Lump Sum ]])),0)</f>
        <v>0</v>
      </c>
      <c r="P319" s="21">
        <f>Table7[Max annual lump sum repayment]*SUM(C320:C331)</f>
        <v>7880.3958913442566</v>
      </c>
      <c r="Q319" s="25">
        <f>Q318*(1+Table7[Monthly SF Inter])+Table9[[#This Row],[Inflation Modifier]]-R318*(1+Table7[Monthly SF Inter])</f>
        <v>13.315858679344419</v>
      </c>
      <c r="R319" s="25">
        <f>IF(MOD(Table9[[#This Row],[Month]],12)=0,Table9[[#This Row],[Q2 ACC FACTOR]],0)</f>
        <v>0</v>
      </c>
      <c r="S319" s="25">
        <f>S318*(1+D318)+Table9[[#This Row],[ACC FACTOR PAYMENTS]]</f>
        <v>839.22381722215221</v>
      </c>
    </row>
    <row r="320" spans="1:19" x14ac:dyDescent="0.25">
      <c r="A320" s="1">
        <v>308</v>
      </c>
      <c r="B320" s="1">
        <f t="shared" si="4"/>
        <v>0</v>
      </c>
      <c r="C320" s="7">
        <f>G$12/-PV(Table7[Monthly mortgage rate], (12*Table7[Amortization period (yrs)]),1 )</f>
        <v>4377.9977174134756</v>
      </c>
      <c r="D320" s="11">
        <f>IF(Table1[[#This Row],[Month]]&lt;=(12*Table7[mortgage term (yrs)]),Table7[Monthly mortgage rate],Table7[Monthly Exp Renewal Rate])</f>
        <v>4.9038466830562122E-3</v>
      </c>
      <c r="E320" s="21">
        <f>Table1[[#This Row],[Current mortgage rate]]*G319</f>
        <v>-1914.8521174263465</v>
      </c>
      <c r="F320" s="5">
        <f>Table1[[#This Row],[Payment amount]]-Table1[[#This Row],[Interest paid]]</f>
        <v>6292.8498348398225</v>
      </c>
      <c r="G320" s="20">
        <f>G319-Table1[[#This Row],[Principal repaid]]-Table1[[#This Row],[Annual paym]]</f>
        <v>-396772.45517049398</v>
      </c>
      <c r="H320" s="20">
        <f>H319-(Table1[[#This Row],[Payment amount]]-Table1[[#This Row],[Interest Paid W/O LSP]])</f>
        <v>-60747.742539423591</v>
      </c>
      <c r="I320">
        <f>H319*Table1[[#This Row],[Current mortgage rate]]</f>
        <v>-275.07963780073396</v>
      </c>
      <c r="J320" s="25">
        <f>IF(Table1[[#This Row],[Month]]&gt;Table7[Amortization period (yrs)]*12,0,IF(Table1[[#This Row],[Month]]&lt;Table7[mortgage term (yrs)]*12,0,IF(Table1[[#This Row],[Month]]=Table7[mortgage term (yrs)]*12,-H$5,Table1[[#This Row],[Payment amount]]+B320)))</f>
        <v>0</v>
      </c>
      <c r="K320">
        <v>309</v>
      </c>
      <c r="L320">
        <f>Table7[Initial Monthly Deposit]*Table9[[#This Row],[Inflation Modifier]]</f>
        <v>656.24239778589185</v>
      </c>
      <c r="M320">
        <f xml:space="preserve"> (1+Table7[Inflation])^(QUOTIENT(Table9[[#This Row],[Month]]-1,12))</f>
        <v>1.6406059944647295</v>
      </c>
      <c r="N320">
        <f>N319*(1+Table7[Monthly SF Inter])+Table9[[#This Row],[Monthly Payment]]-O319*(1+Table7[Monthly SF Inter])</f>
        <v>6022.8623993150177</v>
      </c>
      <c r="O320">
        <f>IF(MOD(Table9[[#This Row],[Month]],12)=0,(IF(Table9[[#This Row],[Current Balance]]&lt;Table9[[#This Row],[Max Lump Sum ]],Table9[[#This Row],[Current Balance]],Table9[[#This Row],[Max Lump Sum ]])),0)</f>
        <v>0</v>
      </c>
      <c r="P320" s="21">
        <f>Table7[Max annual lump sum repayment]*SUM(C321:C332)</f>
        <v>7880.3958913442566</v>
      </c>
      <c r="Q320" s="25">
        <f>Q319*(1+Table7[Monthly SF Inter])+Table9[[#This Row],[Inflation Modifier]]-R319*(1+Table7[Monthly SF Inter])</f>
        <v>15.011378149348573</v>
      </c>
      <c r="R320" s="25">
        <f>IF(MOD(Table9[[#This Row],[Month]],12)=0,Table9[[#This Row],[Q2 ACC FACTOR]],0)</f>
        <v>0</v>
      </c>
      <c r="S320" s="25">
        <f>S319*(1+D319)+Table9[[#This Row],[ACC FACTOR PAYMENTS]]</f>
        <v>843.33924215457887</v>
      </c>
    </row>
    <row r="321" spans="1:19" x14ac:dyDescent="0.25">
      <c r="A321" s="1">
        <v>309</v>
      </c>
      <c r="B321" s="1">
        <f t="shared" si="4"/>
        <v>0</v>
      </c>
      <c r="C321" s="7">
        <f>G$12/-PV(Table7[Monthly mortgage rate], (12*Table7[Amortization period (yrs)]),1 )</f>
        <v>4377.9977174134756</v>
      </c>
      <c r="D321" s="11">
        <f>IF(Table1[[#This Row],[Month]]&lt;=(12*Table7[mortgage term (yrs)]),Table7[Monthly mortgage rate],Table7[Monthly Exp Renewal Rate])</f>
        <v>4.9038466830562122E-3</v>
      </c>
      <c r="E321" s="21">
        <f>Table1[[#This Row],[Current mortgage rate]]*G320</f>
        <v>-1945.7112882158965</v>
      </c>
      <c r="F321" s="5">
        <f>Table1[[#This Row],[Payment amount]]-Table1[[#This Row],[Interest paid]]</f>
        <v>6323.7090056293719</v>
      </c>
      <c r="G321" s="20">
        <f>G320-Table1[[#This Row],[Principal repaid]]-Table1[[#This Row],[Annual paym]]</f>
        <v>-403096.16417612333</v>
      </c>
      <c r="H321" s="20">
        <f>H320-(Table1[[#This Row],[Payment amount]]-Table1[[#This Row],[Interest Paid W/O LSP]])</f>
        <v>-65423.637872592168</v>
      </c>
      <c r="I321">
        <f>H320*Table1[[#This Row],[Current mortgage rate]]</f>
        <v>-297.89761575510511</v>
      </c>
      <c r="J321" s="25">
        <f>IF(Table1[[#This Row],[Month]]&gt;Table7[Amortization period (yrs)]*12,0,IF(Table1[[#This Row],[Month]]&lt;Table7[mortgage term (yrs)]*12,0,IF(Table1[[#This Row],[Month]]=Table7[mortgage term (yrs)]*12,-H$5,Table1[[#This Row],[Payment amount]]+B321)))</f>
        <v>0</v>
      </c>
      <c r="K321">
        <v>310</v>
      </c>
      <c r="L321">
        <f>Table7[Initial Monthly Deposit]*Table9[[#This Row],[Inflation Modifier]]</f>
        <v>656.24239778589185</v>
      </c>
      <c r="M321">
        <f xml:space="preserve"> (1+Table7[Inflation])^(QUOTIENT(Table9[[#This Row],[Month]]-1,12))</f>
        <v>1.6406059944647295</v>
      </c>
      <c r="N321">
        <f>N320*(1+Table7[Monthly SF Inter])+Table9[[#This Row],[Monthly Payment]]-O320*(1+Table7[Monthly SF Inter])</f>
        <v>6703.9425724938801</v>
      </c>
      <c r="O321">
        <f>IF(MOD(Table9[[#This Row],[Month]],12)=0,(IF(Table9[[#This Row],[Current Balance]]&lt;Table9[[#This Row],[Max Lump Sum ]],Table9[[#This Row],[Current Balance]],Table9[[#This Row],[Max Lump Sum ]])),0)</f>
        <v>0</v>
      </c>
      <c r="P321" s="21">
        <f>Table7[Max annual lump sum repayment]*SUM(C322:C333)</f>
        <v>7880.3958913442566</v>
      </c>
      <c r="Q321" s="25">
        <f>Q320*(1+Table7[Monthly SF Inter])+Table9[[#This Row],[Inflation Modifier]]-R320*(1+Table7[Monthly SF Inter])</f>
        <v>16.713889798316529</v>
      </c>
      <c r="R321" s="25">
        <f>IF(MOD(Table9[[#This Row],[Month]],12)=0,Table9[[#This Row],[Q2 ACC FACTOR]],0)</f>
        <v>0</v>
      </c>
      <c r="S321" s="25">
        <f>S320*(1+D320)+Table9[[#This Row],[ACC FACTOR PAYMENTS]]</f>
        <v>847.47484849990974</v>
      </c>
    </row>
    <row r="322" spans="1:19" x14ac:dyDescent="0.25">
      <c r="A322" s="1">
        <v>310</v>
      </c>
      <c r="B322" s="1">
        <f t="shared" si="4"/>
        <v>0</v>
      </c>
      <c r="C322" s="7">
        <f>G$12/-PV(Table7[Monthly mortgage rate], (12*Table7[Amortization period (yrs)]),1 )</f>
        <v>4377.9977174134756</v>
      </c>
      <c r="D322" s="11">
        <f>IF(Table1[[#This Row],[Month]]&lt;=(12*Table7[mortgage term (yrs)]),Table7[Monthly mortgage rate],Table7[Monthly Exp Renewal Rate])</f>
        <v>4.9038466830562122E-3</v>
      </c>
      <c r="E322" s="21">
        <f>Table1[[#This Row],[Current mortgage rate]]*G321</f>
        <v>-1976.7217876477648</v>
      </c>
      <c r="F322" s="5">
        <f>Table1[[#This Row],[Payment amount]]-Table1[[#This Row],[Interest paid]]</f>
        <v>6354.7195050612409</v>
      </c>
      <c r="G322" s="20">
        <f>G321-Table1[[#This Row],[Principal repaid]]-Table1[[#This Row],[Annual paym]]</f>
        <v>-409450.88368118455</v>
      </c>
      <c r="H322" s="20">
        <f>H321-(Table1[[#This Row],[Payment amount]]-Table1[[#This Row],[Interest Paid W/O LSP]])</f>
        <v>-70122.46307958063</v>
      </c>
      <c r="I322">
        <f>H321*Table1[[#This Row],[Current mortgage rate]]</f>
        <v>-320.82748957498188</v>
      </c>
      <c r="J322" s="25">
        <f>IF(Table1[[#This Row],[Month]]&gt;Table7[Amortization period (yrs)]*12,0,IF(Table1[[#This Row],[Month]]&lt;Table7[mortgage term (yrs)]*12,0,IF(Table1[[#This Row],[Month]]=Table7[mortgage term (yrs)]*12,-H$5,Table1[[#This Row],[Payment amount]]+B322)))</f>
        <v>0</v>
      </c>
      <c r="K322">
        <v>311</v>
      </c>
      <c r="L322">
        <f>Table7[Initial Monthly Deposit]*Table9[[#This Row],[Inflation Modifier]]</f>
        <v>656.24239778589185</v>
      </c>
      <c r="M322">
        <f xml:space="preserve"> (1+Table7[Inflation])^(QUOTIENT(Table9[[#This Row],[Month]]-1,12))</f>
        <v>1.6406059944647295</v>
      </c>
      <c r="N322">
        <f>N321*(1+Table7[Monthly SF Inter])+Table9[[#This Row],[Monthly Payment]]-O321*(1+Table7[Monthly SF Inter])</f>
        <v>7387.8314627319178</v>
      </c>
      <c r="O322">
        <f>IF(MOD(Table9[[#This Row],[Month]],12)=0,(IF(Table9[[#This Row],[Current Balance]]&lt;Table9[[#This Row],[Max Lump Sum ]],Table9[[#This Row],[Current Balance]],Table9[[#This Row],[Max Lump Sum ]])),0)</f>
        <v>0</v>
      </c>
      <c r="P322" s="21">
        <f>Table7[Max annual lump sum repayment]*SUM(C323:C334)</f>
        <v>7880.3958913442566</v>
      </c>
      <c r="Q322" s="25">
        <f>Q321*(1+Table7[Monthly SF Inter])+Table9[[#This Row],[Inflation Modifier]]-R321*(1+Table7[Monthly SF Inter])</f>
        <v>18.423422461403252</v>
      </c>
      <c r="R322" s="25">
        <f>IF(MOD(Table9[[#This Row],[Month]],12)=0,Table9[[#This Row],[Q2 ACC FACTOR]],0)</f>
        <v>0</v>
      </c>
      <c r="S322" s="25">
        <f>S321*(1+D321)+Table9[[#This Row],[ACC FACTOR PAYMENTS]]</f>
        <v>851.63073522469961</v>
      </c>
    </row>
    <row r="323" spans="1:19" x14ac:dyDescent="0.25">
      <c r="A323" s="1">
        <v>311</v>
      </c>
      <c r="B323" s="1">
        <f t="shared" si="4"/>
        <v>0</v>
      </c>
      <c r="C323" s="7">
        <f>G$12/-PV(Table7[Monthly mortgage rate], (12*Table7[Amortization period (yrs)]),1 )</f>
        <v>4377.9977174134756</v>
      </c>
      <c r="D323" s="11">
        <f>IF(Table1[[#This Row],[Month]]&lt;=(12*Table7[mortgage term (yrs)]),Table7[Monthly mortgage rate],Table7[Monthly Exp Renewal Rate])</f>
        <v>4.9038466830562122E-3</v>
      </c>
      <c r="E323" s="21">
        <f>Table1[[#This Row],[Current mortgage rate]]*G322</f>
        <v>-2007.8843578144119</v>
      </c>
      <c r="F323" s="5">
        <f>Table1[[#This Row],[Payment amount]]-Table1[[#This Row],[Interest paid]]</f>
        <v>6385.882075227888</v>
      </c>
      <c r="G323" s="20">
        <f>G322-Table1[[#This Row],[Principal repaid]]-Table1[[#This Row],[Annual paym]]</f>
        <v>-415836.76575641247</v>
      </c>
      <c r="H323" s="20">
        <f>H322-(Table1[[#This Row],[Payment amount]]-Table1[[#This Row],[Interest Paid W/O LSP]])</f>
        <v>-74844.330604974646</v>
      </c>
      <c r="I323">
        <f>H322*Table1[[#This Row],[Current mortgage rate]]</f>
        <v>-343.86980798053315</v>
      </c>
      <c r="J323" s="25">
        <f>IF(Table1[[#This Row],[Month]]&gt;Table7[Amortization period (yrs)]*12,0,IF(Table1[[#This Row],[Month]]&lt;Table7[mortgage term (yrs)]*12,0,IF(Table1[[#This Row],[Month]]=Table7[mortgage term (yrs)]*12,-H$5,Table1[[#This Row],[Payment amount]]+B323)))</f>
        <v>0</v>
      </c>
      <c r="K323">
        <v>312</v>
      </c>
      <c r="L323">
        <f>Table7[Initial Monthly Deposit]*Table9[[#This Row],[Inflation Modifier]]</f>
        <v>656.24239778589185</v>
      </c>
      <c r="M323">
        <f xml:space="preserve"> (1+Table7[Inflation])^(QUOTIENT(Table9[[#This Row],[Month]]-1,12))</f>
        <v>1.6406059944647295</v>
      </c>
      <c r="N323">
        <f>N322*(1+Table7[Monthly SF Inter])+Table9[[#This Row],[Monthly Payment]]-O322*(1+Table7[Monthly SF Inter])</f>
        <v>8074.5406529408483</v>
      </c>
      <c r="O323">
        <f>IF(MOD(Table9[[#This Row],[Month]],12)=0,(IF(Table9[[#This Row],[Current Balance]]&lt;Table9[[#This Row],[Max Lump Sum ]],Table9[[#This Row],[Current Balance]],Table9[[#This Row],[Max Lump Sum ]])),0)</f>
        <v>7880.3958913442566</v>
      </c>
      <c r="P323" s="21">
        <f>Table7[Max annual lump sum repayment]*SUM(C324:C335)</f>
        <v>7880.3958913442566</v>
      </c>
      <c r="Q323" s="25">
        <f>Q322*(1+Table7[Monthly SF Inter])+Table9[[#This Row],[Inflation Modifier]]-R322*(1+Table7[Monthly SF Inter])</f>
        <v>20.140005092677448</v>
      </c>
      <c r="R323" s="25">
        <f>IF(MOD(Table9[[#This Row],[Month]],12)=0,Table9[[#This Row],[Q2 ACC FACTOR]],0)</f>
        <v>20.140005092677448</v>
      </c>
      <c r="S323" s="25">
        <f>S322*(1+D322)+Table9[[#This Row],[ACC FACTOR PAYMENTS]]</f>
        <v>875.94700687349746</v>
      </c>
    </row>
    <row r="324" spans="1:19" x14ac:dyDescent="0.25">
      <c r="A324" s="1">
        <v>312</v>
      </c>
      <c r="B324" s="1">
        <f t="shared" si="4"/>
        <v>7880.3958913442566</v>
      </c>
      <c r="C324" s="7">
        <f>G$12/-PV(Table7[Monthly mortgage rate], (12*Table7[Amortization period (yrs)]),1 )</f>
        <v>4377.9977174134756</v>
      </c>
      <c r="D324" s="11">
        <f>IF(Table1[[#This Row],[Month]]&lt;=(12*Table7[mortgage term (yrs)]),Table7[Monthly mortgage rate],Table7[Monthly Exp Renewal Rate])</f>
        <v>4.9038466830562122E-3</v>
      </c>
      <c r="E324" s="21">
        <f>Table1[[#This Row],[Current mortgage rate]]*G323</f>
        <v>-2039.1997444474064</v>
      </c>
      <c r="F324" s="5">
        <f>Table1[[#This Row],[Payment amount]]-Table1[[#This Row],[Interest paid]]</f>
        <v>6417.197461860882</v>
      </c>
      <c r="G324" s="20">
        <f>G323-Table1[[#This Row],[Principal repaid]]-Table1[[#This Row],[Annual paym]]</f>
        <v>-430134.3591096176</v>
      </c>
      <c r="H324" s="20">
        <f>H323-(Table1[[#This Row],[Payment amount]]-Table1[[#This Row],[Interest Paid W/O LSP]])</f>
        <v>-79589.353444770895</v>
      </c>
      <c r="I324">
        <f>H323*Table1[[#This Row],[Current mortgage rate]]</f>
        <v>-367.02512238276745</v>
      </c>
      <c r="J324" s="25">
        <f>IF(Table1[[#This Row],[Month]]&gt;Table7[Amortization period (yrs)]*12,0,IF(Table1[[#This Row],[Month]]&lt;Table7[mortgage term (yrs)]*12,0,IF(Table1[[#This Row],[Month]]=Table7[mortgage term (yrs)]*12,-H$5,Table1[[#This Row],[Payment amount]]+B324)))</f>
        <v>0</v>
      </c>
      <c r="K324">
        <v>313</v>
      </c>
      <c r="L324">
        <f>Table7[Initial Monthly Deposit]*Table9[[#This Row],[Inflation Modifier]]</f>
        <v>669.36724574160974</v>
      </c>
      <c r="M324">
        <f xml:space="preserve"> (1+Table7[Inflation])^(QUOTIENT(Table9[[#This Row],[Month]]-1,12))</f>
        <v>1.6734181143540243</v>
      </c>
      <c r="N324">
        <f>N323*(1+Table7[Monthly SF Inter])+Table9[[#This Row],[Monthly Payment]]-O323*(1+Table7[Monthly SF Inter])</f>
        <v>864.31264392302637</v>
      </c>
      <c r="O324">
        <f>IF(MOD(Table9[[#This Row],[Month]],12)=0,(IF(Table9[[#This Row],[Current Balance]]&lt;Table9[[#This Row],[Max Lump Sum ]],Table9[[#This Row],[Current Balance]],Table9[[#This Row],[Max Lump Sum ]])),0)</f>
        <v>0</v>
      </c>
      <c r="P324" s="21">
        <f>Table7[Max annual lump sum repayment]*SUM(C325:C336)</f>
        <v>7880.3958913442566</v>
      </c>
      <c r="Q324" s="25">
        <f>Q323*(1+Table7[Monthly SF Inter])+Table9[[#This Row],[Inflation Modifier]]-R323*(1+Table7[Monthly SF Inter])</f>
        <v>1.6734181143540248</v>
      </c>
      <c r="R324" s="25">
        <f>IF(MOD(Table9[[#This Row],[Month]],12)=0,Table9[[#This Row],[Q2 ACC FACTOR]],0)</f>
        <v>0</v>
      </c>
      <c r="S324" s="25">
        <f>S323*(1+D323)+Table9[[#This Row],[ACC FACTOR PAYMENTS]]</f>
        <v>880.24251669768705</v>
      </c>
    </row>
    <row r="325" spans="1:19" x14ac:dyDescent="0.25">
      <c r="A325" s="1">
        <v>313</v>
      </c>
      <c r="B325" s="1">
        <f t="shared" si="4"/>
        <v>0</v>
      </c>
      <c r="C325" s="7">
        <f>G$12/-PV(Table7[Monthly mortgage rate], (12*Table7[Amortization period (yrs)]),1 )</f>
        <v>4377.9977174134756</v>
      </c>
      <c r="D325" s="11">
        <f>IF(Table1[[#This Row],[Month]]&lt;=(12*Table7[mortgage term (yrs)]),Table7[Monthly mortgage rate],Table7[Monthly Exp Renewal Rate])</f>
        <v>4.9038466830562122E-3</v>
      </c>
      <c r="E325" s="21">
        <f>Table1[[#This Row],[Current mortgage rate]]*G324</f>
        <v>-2109.3129501882077</v>
      </c>
      <c r="F325" s="5">
        <f>Table1[[#This Row],[Payment amount]]-Table1[[#This Row],[Interest paid]]</f>
        <v>6487.3106676016832</v>
      </c>
      <c r="G325" s="20">
        <f>G324-Table1[[#This Row],[Principal repaid]]-Table1[[#This Row],[Annual paym]]</f>
        <v>-436621.6697772193</v>
      </c>
      <c r="H325" s="20">
        <f>H324-(Table1[[#This Row],[Payment amount]]-Table1[[#This Row],[Interest Paid W/O LSP]])</f>
        <v>-84357.645149081101</v>
      </c>
      <c r="I325">
        <f>H324*Table1[[#This Row],[Current mortgage rate]]</f>
        <v>-390.29398689672826</v>
      </c>
      <c r="J325" s="25">
        <f>IF(Table1[[#This Row],[Month]]&gt;Table7[Amortization period (yrs)]*12,0,IF(Table1[[#This Row],[Month]]&lt;Table7[mortgage term (yrs)]*12,0,IF(Table1[[#This Row],[Month]]=Table7[mortgage term (yrs)]*12,-H$5,Table1[[#This Row],[Payment amount]]+B325)))</f>
        <v>0</v>
      </c>
      <c r="K325">
        <v>314</v>
      </c>
      <c r="L325">
        <f>Table7[Initial Monthly Deposit]*Table9[[#This Row],[Inflation Modifier]]</f>
        <v>669.36724574160974</v>
      </c>
      <c r="M325">
        <f xml:space="preserve"> (1+Table7[Inflation])^(QUOTIENT(Table9[[#This Row],[Month]]-1,12))</f>
        <v>1.6734181143540243</v>
      </c>
      <c r="N325">
        <f>N324*(1+Table7[Monthly SF Inter])+Table9[[#This Row],[Monthly Payment]]-O324*(1+Table7[Monthly SF Inter])</f>
        <v>1537.24424194363</v>
      </c>
      <c r="O325">
        <f>IF(MOD(Table9[[#This Row],[Month]],12)=0,(IF(Table9[[#This Row],[Current Balance]]&lt;Table9[[#This Row],[Max Lump Sum ]],Table9[[#This Row],[Current Balance]],Table9[[#This Row],[Max Lump Sum ]])),0)</f>
        <v>0</v>
      </c>
      <c r="P325" s="21">
        <f>Table7[Max annual lump sum repayment]*SUM(C326:C337)</f>
        <v>7880.3958913442566</v>
      </c>
      <c r="Q325" s="25">
        <f>Q324*(1+Table7[Monthly SF Inter])+Table9[[#This Row],[Inflation Modifier]]-R324*(1+Table7[Monthly SF Inter])</f>
        <v>3.353737263549486</v>
      </c>
      <c r="R325" s="25">
        <f>IF(MOD(Table9[[#This Row],[Month]],12)=0,Table9[[#This Row],[Q2 ACC FACTOR]],0)</f>
        <v>0</v>
      </c>
      <c r="S325" s="25">
        <f>S324*(1+D324)+Table9[[#This Row],[ACC FACTOR PAYMENTS]]</f>
        <v>884.55909104348007</v>
      </c>
    </row>
    <row r="326" spans="1:19" x14ac:dyDescent="0.25">
      <c r="A326" s="1">
        <v>314</v>
      </c>
      <c r="B326" s="1">
        <f t="shared" si="4"/>
        <v>0</v>
      </c>
      <c r="C326" s="7">
        <f>G$12/-PV(Table7[Monthly mortgage rate], (12*Table7[Amortization period (yrs)]),1 )</f>
        <v>4377.9977174134756</v>
      </c>
      <c r="D326" s="11">
        <f>IF(Table1[[#This Row],[Month]]&lt;=(12*Table7[mortgage term (yrs)]),Table7[Monthly mortgage rate],Table7[Monthly Exp Renewal Rate])</f>
        <v>4.9038466830562122E-3</v>
      </c>
      <c r="E326" s="21">
        <f>Table1[[#This Row],[Current mortgage rate]]*G325</f>
        <v>-2141.1257270874817</v>
      </c>
      <c r="F326" s="5">
        <f>Table1[[#This Row],[Payment amount]]-Table1[[#This Row],[Interest paid]]</f>
        <v>6519.1234445009577</v>
      </c>
      <c r="G326" s="20">
        <f>G325-Table1[[#This Row],[Principal repaid]]-Table1[[#This Row],[Annual paym]]</f>
        <v>-443140.79322172026</v>
      </c>
      <c r="H326" s="20">
        <f>H325-(Table1[[#This Row],[Payment amount]]-Table1[[#This Row],[Interest Paid W/O LSP]])</f>
        <v>-89149.319824849328</v>
      </c>
      <c r="I326">
        <f>H325*Table1[[#This Row],[Current mortgage rate]]</f>
        <v>-413.67695835475433</v>
      </c>
      <c r="J326" s="25">
        <f>IF(Table1[[#This Row],[Month]]&gt;Table7[Amortization period (yrs)]*12,0,IF(Table1[[#This Row],[Month]]&lt;Table7[mortgage term (yrs)]*12,0,IF(Table1[[#This Row],[Month]]=Table7[mortgage term (yrs)]*12,-H$5,Table1[[#This Row],[Payment amount]]+B326)))</f>
        <v>0</v>
      </c>
      <c r="K326">
        <v>315</v>
      </c>
      <c r="L326">
        <f>Table7[Initial Monthly Deposit]*Table9[[#This Row],[Inflation Modifier]]</f>
        <v>669.36724574160974</v>
      </c>
      <c r="M326">
        <f xml:space="preserve"> (1+Table7[Inflation])^(QUOTIENT(Table9[[#This Row],[Month]]-1,12))</f>
        <v>1.6734181143540243</v>
      </c>
      <c r="N326">
        <f>N325*(1+Table7[Monthly SF Inter])+Table9[[#This Row],[Monthly Payment]]-O325*(1+Table7[Monthly SF Inter])</f>
        <v>2212.9509529882948</v>
      </c>
      <c r="O326">
        <f>IF(MOD(Table9[[#This Row],[Month]],12)=0,(IF(Table9[[#This Row],[Current Balance]]&lt;Table9[[#This Row],[Max Lump Sum ]],Table9[[#This Row],[Current Balance]],Table9[[#This Row],[Max Lump Sum ]])),0)</f>
        <v>0</v>
      </c>
      <c r="P326" s="21">
        <f>Table7[Max annual lump sum repayment]*SUM(C327:C338)</f>
        <v>7880.3958913442566</v>
      </c>
      <c r="Q326" s="25">
        <f>Q325*(1+Table7[Monthly SF Inter])+Table9[[#This Row],[Inflation Modifier]]-R325*(1+Table7[Monthly SF Inter])</f>
        <v>5.0409859068706924</v>
      </c>
      <c r="R326" s="25">
        <f>IF(MOD(Table9[[#This Row],[Month]],12)=0,Table9[[#This Row],[Q2 ACC FACTOR]],0)</f>
        <v>0</v>
      </c>
      <c r="S326" s="25">
        <f>S325*(1+D325)+Table9[[#This Row],[ACC FACTOR PAYMENTS]]</f>
        <v>888.8968332080608</v>
      </c>
    </row>
    <row r="327" spans="1:19" x14ac:dyDescent="0.25">
      <c r="A327" s="1">
        <v>315</v>
      </c>
      <c r="B327" s="1">
        <f t="shared" si="4"/>
        <v>0</v>
      </c>
      <c r="C327" s="7">
        <f>G$12/-PV(Table7[Monthly mortgage rate], (12*Table7[Amortization period (yrs)]),1 )</f>
        <v>4377.9977174134756</v>
      </c>
      <c r="D327" s="11">
        <f>IF(Table1[[#This Row],[Month]]&lt;=(12*Table7[mortgage term (yrs)]),Table7[Monthly mortgage rate],Table7[Monthly Exp Renewal Rate])</f>
        <v>4.9038466830562122E-3</v>
      </c>
      <c r="E327" s="21">
        <f>Table1[[#This Row],[Current mortgage rate]]*G326</f>
        <v>-2173.0945089672318</v>
      </c>
      <c r="F327" s="5">
        <f>Table1[[#This Row],[Payment amount]]-Table1[[#This Row],[Interest paid]]</f>
        <v>6551.0922263807079</v>
      </c>
      <c r="G327" s="20">
        <f>G326-Table1[[#This Row],[Principal repaid]]-Table1[[#This Row],[Annual paym]]</f>
        <v>-449691.88544810098</v>
      </c>
      <c r="H327" s="20">
        <f>H326-(Table1[[#This Row],[Payment amount]]-Table1[[#This Row],[Interest Paid W/O LSP]])</f>
        <v>-93964.492138582602</v>
      </c>
      <c r="I327">
        <f>H326*Table1[[#This Row],[Current mortgage rate]]</f>
        <v>-437.17459631980478</v>
      </c>
      <c r="J327" s="25">
        <f>IF(Table1[[#This Row],[Month]]&gt;Table7[Amortization period (yrs)]*12,0,IF(Table1[[#This Row],[Month]]&lt;Table7[mortgage term (yrs)]*12,0,IF(Table1[[#This Row],[Month]]=Table7[mortgage term (yrs)]*12,-H$5,Table1[[#This Row],[Payment amount]]+B327)))</f>
        <v>0</v>
      </c>
      <c r="K327">
        <v>316</v>
      </c>
      <c r="L327">
        <f>Table7[Initial Monthly Deposit]*Table9[[#This Row],[Inflation Modifier]]</f>
        <v>669.36724574160974</v>
      </c>
      <c r="M327">
        <f xml:space="preserve"> (1+Table7[Inflation])^(QUOTIENT(Table9[[#This Row],[Month]]-1,12))</f>
        <v>1.6734181143540243</v>
      </c>
      <c r="N327">
        <f>N326*(1+Table7[Monthly SF Inter])+Table9[[#This Row],[Monthly Payment]]-O326*(1+Table7[Monthly SF Inter])</f>
        <v>2891.4442213885386</v>
      </c>
      <c r="O327">
        <f>IF(MOD(Table9[[#This Row],[Month]],12)=0,(IF(Table9[[#This Row],[Current Balance]]&lt;Table9[[#This Row],[Max Lump Sum ]],Table9[[#This Row],[Current Balance]],Table9[[#This Row],[Max Lump Sum ]])),0)</f>
        <v>0</v>
      </c>
      <c r="P327" s="21">
        <f>Table7[Max annual lump sum repayment]*SUM(C328:C339)</f>
        <v>7880.3958913442566</v>
      </c>
      <c r="Q327" s="25">
        <f>Q326*(1+Table7[Monthly SF Inter])+Table9[[#This Row],[Inflation Modifier]]-R326*(1+Table7[Monthly SF Inter])</f>
        <v>6.7351926209656341</v>
      </c>
      <c r="R327" s="25">
        <f>IF(MOD(Table9[[#This Row],[Month]],12)=0,Table9[[#This Row],[Q2 ACC FACTOR]],0)</f>
        <v>0</v>
      </c>
      <c r="S327" s="25">
        <f>S326*(1+D326)+Table9[[#This Row],[ACC FACTOR PAYMENTS]]</f>
        <v>893.2558469951673</v>
      </c>
    </row>
    <row r="328" spans="1:19" x14ac:dyDescent="0.25">
      <c r="A328" s="1">
        <v>316</v>
      </c>
      <c r="B328" s="1">
        <f t="shared" si="4"/>
        <v>0</v>
      </c>
      <c r="C328" s="7">
        <f>G$12/-PV(Table7[Monthly mortgage rate], (12*Table7[Amortization period (yrs)]),1 )</f>
        <v>4377.9977174134756</v>
      </c>
      <c r="D328" s="11">
        <f>IF(Table1[[#This Row],[Month]]&lt;=(12*Table7[mortgage term (yrs)]),Table7[Monthly mortgage rate],Table7[Monthly Exp Renewal Rate])</f>
        <v>4.9038466830562122E-3</v>
      </c>
      <c r="E328" s="21">
        <f>Table1[[#This Row],[Current mortgage rate]]*G327</f>
        <v>-2205.2200608519643</v>
      </c>
      <c r="F328" s="5">
        <f>Table1[[#This Row],[Payment amount]]-Table1[[#This Row],[Interest paid]]</f>
        <v>6583.2177782654398</v>
      </c>
      <c r="G328" s="20">
        <f>G327-Table1[[#This Row],[Principal repaid]]-Table1[[#This Row],[Annual paym]]</f>
        <v>-456275.10322636639</v>
      </c>
      <c r="H328" s="20">
        <f>H327-(Table1[[#This Row],[Payment amount]]-Table1[[#This Row],[Interest Paid W/O LSP]])</f>
        <v>-98803.277319094923</v>
      </c>
      <c r="I328">
        <f>H327*Table1[[#This Row],[Current mortgage rate]]</f>
        <v>-460.7874630988498</v>
      </c>
      <c r="J328" s="25">
        <f>IF(Table1[[#This Row],[Month]]&gt;Table7[Amortization period (yrs)]*12,0,IF(Table1[[#This Row],[Month]]&lt;Table7[mortgage term (yrs)]*12,0,IF(Table1[[#This Row],[Month]]=Table7[mortgage term (yrs)]*12,-H$5,Table1[[#This Row],[Payment amount]]+B328)))</f>
        <v>0</v>
      </c>
      <c r="K328">
        <v>317</v>
      </c>
      <c r="L328">
        <f>Table7[Initial Monthly Deposit]*Table9[[#This Row],[Inflation Modifier]]</f>
        <v>669.36724574160974</v>
      </c>
      <c r="M328">
        <f xml:space="preserve"> (1+Table7[Inflation])^(QUOTIENT(Table9[[#This Row],[Month]]-1,12))</f>
        <v>1.6734181143540243</v>
      </c>
      <c r="N328">
        <f>N327*(1+Table7[Monthly SF Inter])+Table9[[#This Row],[Monthly Payment]]-O327*(1+Table7[Monthly SF Inter])</f>
        <v>3572.7355386713343</v>
      </c>
      <c r="O328">
        <f>IF(MOD(Table9[[#This Row],[Month]],12)=0,(IF(Table9[[#This Row],[Current Balance]]&lt;Table9[[#This Row],[Max Lump Sum ]],Table9[[#This Row],[Current Balance]],Table9[[#This Row],[Max Lump Sum ]])),0)</f>
        <v>0</v>
      </c>
      <c r="P328" s="21">
        <f>Table7[Max annual lump sum repayment]*SUM(C329:C340)</f>
        <v>7880.3958913442566</v>
      </c>
      <c r="Q328" s="25">
        <f>Q327*(1+Table7[Monthly SF Inter])+Table9[[#This Row],[Inflation Modifier]]-R327*(1+Table7[Monthly SF Inter])</f>
        <v>8.4363861003299832</v>
      </c>
      <c r="R328" s="25">
        <f>IF(MOD(Table9[[#This Row],[Month]],12)=0,Table9[[#This Row],[Q2 ACC FACTOR]],0)</f>
        <v>0</v>
      </c>
      <c r="S328" s="25">
        <f>S327*(1+D327)+Table9[[#This Row],[ACC FACTOR PAYMENTS]]</f>
        <v>897.63623671757512</v>
      </c>
    </row>
    <row r="329" spans="1:19" x14ac:dyDescent="0.25">
      <c r="A329" s="1">
        <v>317</v>
      </c>
      <c r="B329" s="1">
        <f t="shared" si="4"/>
        <v>0</v>
      </c>
      <c r="C329" s="7">
        <f>G$12/-PV(Table7[Monthly mortgage rate], (12*Table7[Amortization period (yrs)]),1 )</f>
        <v>4377.9977174134756</v>
      </c>
      <c r="D329" s="11">
        <f>IF(Table1[[#This Row],[Month]]&lt;=(12*Table7[mortgage term (yrs)]),Table7[Monthly mortgage rate],Table7[Monthly Exp Renewal Rate])</f>
        <v>4.9038466830562122E-3</v>
      </c>
      <c r="E329" s="21">
        <f>Table1[[#This Row],[Current mortgage rate]]*G328</f>
        <v>-2237.5031515177475</v>
      </c>
      <c r="F329" s="5">
        <f>Table1[[#This Row],[Payment amount]]-Table1[[#This Row],[Interest paid]]</f>
        <v>6615.5008689312235</v>
      </c>
      <c r="G329" s="20">
        <f>G328-Table1[[#This Row],[Principal repaid]]-Table1[[#This Row],[Annual paym]]</f>
        <v>-462890.60409529763</v>
      </c>
      <c r="H329" s="20">
        <f>H328-(Table1[[#This Row],[Payment amount]]-Table1[[#This Row],[Interest Paid W/O LSP]])</f>
        <v>-103665.79116026472</v>
      </c>
      <c r="I329">
        <f>H328*Table1[[#This Row],[Current mortgage rate]]</f>
        <v>-484.51612375632669</v>
      </c>
      <c r="J329" s="25">
        <f>IF(Table1[[#This Row],[Month]]&gt;Table7[Amortization period (yrs)]*12,0,IF(Table1[[#This Row],[Month]]&lt;Table7[mortgage term (yrs)]*12,0,IF(Table1[[#This Row],[Month]]=Table7[mortgage term (yrs)]*12,-H$5,Table1[[#This Row],[Payment amount]]+B329)))</f>
        <v>0</v>
      </c>
      <c r="K329">
        <v>318</v>
      </c>
      <c r="L329">
        <f>Table7[Initial Monthly Deposit]*Table9[[#This Row],[Inflation Modifier]]</f>
        <v>669.36724574160974</v>
      </c>
      <c r="M329">
        <f xml:space="preserve"> (1+Table7[Inflation])^(QUOTIENT(Table9[[#This Row],[Month]]-1,12))</f>
        <v>1.6734181143540243</v>
      </c>
      <c r="N329">
        <f>N328*(1+Table7[Monthly SF Inter])+Table9[[#This Row],[Monthly Payment]]-O328*(1+Table7[Monthly SF Inter])</f>
        <v>4256.8364437537412</v>
      </c>
      <c r="O329">
        <f>IF(MOD(Table9[[#This Row],[Month]],12)=0,(IF(Table9[[#This Row],[Current Balance]]&lt;Table9[[#This Row],[Max Lump Sum ]],Table9[[#This Row],[Current Balance]],Table9[[#This Row],[Max Lump Sum ]])),0)</f>
        <v>0</v>
      </c>
      <c r="P329" s="21">
        <f>Table7[Max annual lump sum repayment]*SUM(C330:C341)</f>
        <v>7880.3958913442566</v>
      </c>
      <c r="Q329" s="25">
        <f>Q328*(1+Table7[Monthly SF Inter])+Table9[[#This Row],[Inflation Modifier]]-R328*(1+Table7[Monthly SF Inter])</f>
        <v>10.144595157793086</v>
      </c>
      <c r="R329" s="25">
        <f>IF(MOD(Table9[[#This Row],[Month]],12)=0,Table9[[#This Row],[Q2 ACC FACTOR]],0)</f>
        <v>0</v>
      </c>
      <c r="S329" s="25">
        <f>S328*(1+D328)+Table9[[#This Row],[ACC FACTOR PAYMENTS]]</f>
        <v>902.0381071995937</v>
      </c>
    </row>
    <row r="330" spans="1:19" x14ac:dyDescent="0.25">
      <c r="A330" s="1">
        <v>318</v>
      </c>
      <c r="B330" s="1">
        <f t="shared" si="4"/>
        <v>0</v>
      </c>
      <c r="C330" s="7">
        <f>G$12/-PV(Table7[Monthly mortgage rate], (12*Table7[Amortization period (yrs)]),1 )</f>
        <v>4377.9977174134756</v>
      </c>
      <c r="D330" s="11">
        <f>IF(Table1[[#This Row],[Month]]&lt;=(12*Table7[mortgage term (yrs)]),Table7[Monthly mortgage rate],Table7[Monthly Exp Renewal Rate])</f>
        <v>4.9038466830562122E-3</v>
      </c>
      <c r="E330" s="21">
        <f>Table1[[#This Row],[Current mortgage rate]]*G329</f>
        <v>-2269.9445535106115</v>
      </c>
      <c r="F330" s="5">
        <f>Table1[[#This Row],[Payment amount]]-Table1[[#This Row],[Interest paid]]</f>
        <v>6647.9422709240871</v>
      </c>
      <c r="G330" s="20">
        <f>G329-Table1[[#This Row],[Principal repaid]]-Table1[[#This Row],[Annual paym]]</f>
        <v>-469538.54636622174</v>
      </c>
      <c r="H330" s="20">
        <f>H329-(Table1[[#This Row],[Payment amount]]-Table1[[#This Row],[Interest Paid W/O LSP]])</f>
        <v>-108552.15002380587</v>
      </c>
      <c r="I330">
        <f>H329*Table1[[#This Row],[Current mortgage rate]]</f>
        <v>-508.36114612766215</v>
      </c>
      <c r="J330" s="25">
        <f>IF(Table1[[#This Row],[Month]]&gt;Table7[Amortization period (yrs)]*12,0,IF(Table1[[#This Row],[Month]]&lt;Table7[mortgage term (yrs)]*12,0,IF(Table1[[#This Row],[Month]]=Table7[mortgage term (yrs)]*12,-H$5,Table1[[#This Row],[Payment amount]]+B330)))</f>
        <v>0</v>
      </c>
      <c r="K330">
        <v>319</v>
      </c>
      <c r="L330">
        <f>Table7[Initial Monthly Deposit]*Table9[[#This Row],[Inflation Modifier]]</f>
        <v>669.36724574160974</v>
      </c>
      <c r="M330">
        <f xml:space="preserve"> (1+Table7[Inflation])^(QUOTIENT(Table9[[#This Row],[Month]]-1,12))</f>
        <v>1.6734181143540243</v>
      </c>
      <c r="N330">
        <f>N329*(1+Table7[Monthly SF Inter])+Table9[[#This Row],[Monthly Payment]]-O329*(1+Table7[Monthly SF Inter])</f>
        <v>4943.7585231383364</v>
      </c>
      <c r="O330">
        <f>IF(MOD(Table9[[#This Row],[Month]],12)=0,(IF(Table9[[#This Row],[Current Balance]]&lt;Table9[[#This Row],[Max Lump Sum ]],Table9[[#This Row],[Current Balance]],Table9[[#This Row],[Max Lump Sum ]])),0)</f>
        <v>0</v>
      </c>
      <c r="P330" s="21">
        <f>Table7[Max annual lump sum repayment]*SUM(C331:C342)</f>
        <v>7880.3958913442566</v>
      </c>
      <c r="Q330" s="25">
        <f>Q329*(1+Table7[Monthly SF Inter])+Table9[[#This Row],[Inflation Modifier]]-R329*(1+Table7[Monthly SF Inter])</f>
        <v>11.859848725005961</v>
      </c>
      <c r="R330" s="25">
        <f>IF(MOD(Table9[[#This Row],[Month]],12)=0,Table9[[#This Row],[Q2 ACC FACTOR]],0)</f>
        <v>0</v>
      </c>
      <c r="S330" s="25">
        <f>S329*(1+D329)+Table9[[#This Row],[ACC FACTOR PAYMENTS]]</f>
        <v>906.4615637795747</v>
      </c>
    </row>
    <row r="331" spans="1:19" x14ac:dyDescent="0.25">
      <c r="A331" s="1">
        <v>319</v>
      </c>
      <c r="B331" s="1">
        <f t="shared" si="4"/>
        <v>0</v>
      </c>
      <c r="C331" s="7">
        <f>G$12/-PV(Table7[Monthly mortgage rate], (12*Table7[Amortization period (yrs)]),1 )</f>
        <v>4377.9977174134756</v>
      </c>
      <c r="D331" s="11">
        <f>IF(Table1[[#This Row],[Month]]&lt;=(12*Table7[mortgage term (yrs)]),Table7[Monthly mortgage rate],Table7[Monthly Exp Renewal Rate])</f>
        <v>4.9038466830562122E-3</v>
      </c>
      <c r="E331" s="21">
        <f>Table1[[#This Row],[Current mortgage rate]]*G330</f>
        <v>-2302.545043165032</v>
      </c>
      <c r="F331" s="5">
        <f>Table1[[#This Row],[Payment amount]]-Table1[[#This Row],[Interest paid]]</f>
        <v>6680.542760578508</v>
      </c>
      <c r="G331" s="20">
        <f>G330-Table1[[#This Row],[Principal repaid]]-Table1[[#This Row],[Annual paym]]</f>
        <v>-476219.08912680025</v>
      </c>
      <c r="H331" s="20">
        <f>H330-(Table1[[#This Row],[Payment amount]]-Table1[[#This Row],[Interest Paid W/O LSP]])</f>
        <v>-113462.47084205221</v>
      </c>
      <c r="I331">
        <f>H330*Table1[[#This Row],[Current mortgage rate]]</f>
        <v>-532.32310083286075</v>
      </c>
      <c r="J331" s="25">
        <f>IF(Table1[[#This Row],[Month]]&gt;Table7[Amortization period (yrs)]*12,0,IF(Table1[[#This Row],[Month]]&lt;Table7[mortgage term (yrs)]*12,0,IF(Table1[[#This Row],[Month]]=Table7[mortgage term (yrs)]*12,-H$5,Table1[[#This Row],[Payment amount]]+B331)))</f>
        <v>0</v>
      </c>
      <c r="K331">
        <v>320</v>
      </c>
      <c r="L331">
        <f>Table7[Initial Monthly Deposit]*Table9[[#This Row],[Inflation Modifier]]</f>
        <v>669.36724574160974</v>
      </c>
      <c r="M331">
        <f xml:space="preserve"> (1+Table7[Inflation])^(QUOTIENT(Table9[[#This Row],[Month]]-1,12))</f>
        <v>1.6734181143540243</v>
      </c>
      <c r="N331">
        <f>N330*(1+Table7[Monthly SF Inter])+Table9[[#This Row],[Monthly Payment]]-O330*(1+Table7[Monthly SF Inter])</f>
        <v>5633.5134111094549</v>
      </c>
      <c r="O331">
        <f>IF(MOD(Table9[[#This Row],[Month]],12)=0,(IF(Table9[[#This Row],[Current Balance]]&lt;Table9[[#This Row],[Max Lump Sum ]],Table9[[#This Row],[Current Balance]],Table9[[#This Row],[Max Lump Sum ]])),0)</f>
        <v>0</v>
      </c>
      <c r="P331" s="21">
        <f>Table7[Max annual lump sum repayment]*SUM(C332:C343)</f>
        <v>7880.3958913442566</v>
      </c>
      <c r="Q331" s="25">
        <f>Q330*(1+Table7[Monthly SF Inter])+Table9[[#This Row],[Inflation Modifier]]-R330*(1+Table7[Monthly SF Inter])</f>
        <v>13.582175852931309</v>
      </c>
      <c r="R331" s="25">
        <f>IF(MOD(Table9[[#This Row],[Month]],12)=0,Table9[[#This Row],[Q2 ACC FACTOR]],0)</f>
        <v>0</v>
      </c>
      <c r="S331" s="25">
        <f>S330*(1+D330)+Table9[[#This Row],[ACC FACTOR PAYMENTS]]</f>
        <v>910.90671231243311</v>
      </c>
    </row>
    <row r="332" spans="1:19" x14ac:dyDescent="0.25">
      <c r="A332" s="1">
        <v>320</v>
      </c>
      <c r="B332" s="1">
        <f t="shared" si="4"/>
        <v>0</v>
      </c>
      <c r="C332" s="7">
        <f>G$12/-PV(Table7[Monthly mortgage rate], (12*Table7[Amortization period (yrs)]),1 )</f>
        <v>4377.9977174134756</v>
      </c>
      <c r="D332" s="11">
        <f>IF(Table1[[#This Row],[Month]]&lt;=(12*Table7[mortgage term (yrs)]),Table7[Monthly mortgage rate],Table7[Monthly Exp Renewal Rate])</f>
        <v>4.9038466830562122E-3</v>
      </c>
      <c r="E332" s="21">
        <f>Table1[[#This Row],[Current mortgage rate]]*G331</f>
        <v>-2335.3054006225102</v>
      </c>
      <c r="F332" s="5">
        <f>Table1[[#This Row],[Payment amount]]-Table1[[#This Row],[Interest paid]]</f>
        <v>6713.3031180359858</v>
      </c>
      <c r="G332" s="20">
        <f>G331-Table1[[#This Row],[Principal repaid]]-Table1[[#This Row],[Annual paym]]</f>
        <v>-482932.39224483626</v>
      </c>
      <c r="H332" s="20">
        <f>H331-(Table1[[#This Row],[Payment amount]]-Table1[[#This Row],[Interest Paid W/O LSP]])</f>
        <v>-118396.87112075584</v>
      </c>
      <c r="I332">
        <f>H331*Table1[[#This Row],[Current mortgage rate]]</f>
        <v>-556.40256129015995</v>
      </c>
      <c r="J332" s="25">
        <f>IF(Table1[[#This Row],[Month]]&gt;Table7[Amortization period (yrs)]*12,0,IF(Table1[[#This Row],[Month]]&lt;Table7[mortgage term (yrs)]*12,0,IF(Table1[[#This Row],[Month]]=Table7[mortgage term (yrs)]*12,-H$5,Table1[[#This Row],[Payment amount]]+B332)))</f>
        <v>0</v>
      </c>
      <c r="K332">
        <v>321</v>
      </c>
      <c r="L332">
        <f>Table7[Initial Monthly Deposit]*Table9[[#This Row],[Inflation Modifier]]</f>
        <v>669.36724574160974</v>
      </c>
      <c r="M332">
        <f xml:space="preserve"> (1+Table7[Inflation])^(QUOTIENT(Table9[[#This Row],[Month]]-1,12))</f>
        <v>1.6734181143540243</v>
      </c>
      <c r="N332">
        <f>N331*(1+Table7[Monthly SF Inter])+Table9[[#This Row],[Monthly Payment]]-O331*(1+Table7[Monthly SF Inter])</f>
        <v>6326.1127899302364</v>
      </c>
      <c r="O332">
        <f>IF(MOD(Table9[[#This Row],[Month]],12)=0,(IF(Table9[[#This Row],[Current Balance]]&lt;Table9[[#This Row],[Max Lump Sum ]],Table9[[#This Row],[Current Balance]],Table9[[#This Row],[Max Lump Sum ]])),0)</f>
        <v>0</v>
      </c>
      <c r="P332" s="21">
        <f>Table7[Max annual lump sum repayment]*SUM(C333:C344)</f>
        <v>7880.3958913442566</v>
      </c>
      <c r="Q332" s="25">
        <f>Q331*(1+Table7[Monthly SF Inter])+Table9[[#This Row],[Inflation Modifier]]-R331*(1+Table7[Monthly SF Inter])</f>
        <v>15.311605712335545</v>
      </c>
      <c r="R332" s="25">
        <f>IF(MOD(Table9[[#This Row],[Month]],12)=0,Table9[[#This Row],[Q2 ACC FACTOR]],0)</f>
        <v>0</v>
      </c>
      <c r="S332" s="25">
        <f>S331*(1+D331)+Table9[[#This Row],[ACC FACTOR PAYMENTS]]</f>
        <v>915.37365917218006</v>
      </c>
    </row>
    <row r="333" spans="1:19" x14ac:dyDescent="0.25">
      <c r="A333" s="1">
        <v>321</v>
      </c>
      <c r="B333" s="1">
        <f t="shared" ref="B333:B396" si="5">O332</f>
        <v>0</v>
      </c>
      <c r="C333" s="7">
        <f>G$12/-PV(Table7[Monthly mortgage rate], (12*Table7[Amortization period (yrs)]),1 )</f>
        <v>4377.9977174134756</v>
      </c>
      <c r="D333" s="11">
        <f>IF(Table1[[#This Row],[Month]]&lt;=(12*Table7[mortgage term (yrs)]),Table7[Monthly mortgage rate],Table7[Monthly Exp Renewal Rate])</f>
        <v>4.9038466830562122E-3</v>
      </c>
      <c r="E333" s="21">
        <f>Table1[[#This Row],[Current mortgage rate]]*G332</f>
        <v>-2368.2264098502419</v>
      </c>
      <c r="F333" s="5">
        <f>Table1[[#This Row],[Payment amount]]-Table1[[#This Row],[Interest paid]]</f>
        <v>6746.2241272637175</v>
      </c>
      <c r="G333" s="20">
        <f>G332-Table1[[#This Row],[Principal repaid]]-Table1[[#This Row],[Annual paym]]</f>
        <v>-489678.61637209996</v>
      </c>
      <c r="H333" s="20">
        <f>H332-(Table1[[#This Row],[Payment amount]]-Table1[[#This Row],[Interest Paid W/O LSP]])</f>
        <v>-123355.46894189906</v>
      </c>
      <c r="I333">
        <f>H332*Table1[[#This Row],[Current mortgage rate]]</f>
        <v>-580.60010372975239</v>
      </c>
      <c r="J333" s="25">
        <f>IF(Table1[[#This Row],[Month]]&gt;Table7[Amortization period (yrs)]*12,0,IF(Table1[[#This Row],[Month]]&lt;Table7[mortgage term (yrs)]*12,0,IF(Table1[[#This Row],[Month]]=Table7[mortgage term (yrs)]*12,-H$5,Table1[[#This Row],[Payment amount]]+B333)))</f>
        <v>0</v>
      </c>
      <c r="K333">
        <v>322</v>
      </c>
      <c r="L333">
        <f>Table7[Initial Monthly Deposit]*Table9[[#This Row],[Inflation Modifier]]</f>
        <v>669.36724574160974</v>
      </c>
      <c r="M333">
        <f xml:space="preserve"> (1+Table7[Inflation])^(QUOTIENT(Table9[[#This Row],[Month]]-1,12))</f>
        <v>1.6734181143540243</v>
      </c>
      <c r="N333">
        <f>N332*(1+Table7[Monthly SF Inter])+Table9[[#This Row],[Monthly Payment]]-O332*(1+Table7[Monthly SF Inter])</f>
        <v>7021.5683900404865</v>
      </c>
      <c r="O333">
        <f>IF(MOD(Table9[[#This Row],[Month]],12)=0,(IF(Table9[[#This Row],[Current Balance]]&lt;Table9[[#This Row],[Max Lump Sum ]],Table9[[#This Row],[Current Balance]],Table9[[#This Row],[Max Lump Sum ]])),0)</f>
        <v>0</v>
      </c>
      <c r="P333" s="21">
        <f>Table7[Max annual lump sum repayment]*SUM(C334:C345)</f>
        <v>7880.3958913442566</v>
      </c>
      <c r="Q333" s="25">
        <f>Q332*(1+Table7[Monthly SF Inter])+Table9[[#This Row],[Inflation Modifier]]-R332*(1+Table7[Monthly SF Inter])</f>
        <v>17.048167594282862</v>
      </c>
      <c r="R333" s="25">
        <f>IF(MOD(Table9[[#This Row],[Month]],12)=0,Table9[[#This Row],[Q2 ACC FACTOR]],0)</f>
        <v>0</v>
      </c>
      <c r="S333" s="25">
        <f>S332*(1+D332)+Table9[[#This Row],[ACC FACTOR PAYMENTS]]</f>
        <v>919.86251125446859</v>
      </c>
    </row>
    <row r="334" spans="1:19" x14ac:dyDescent="0.25">
      <c r="A334" s="1">
        <v>322</v>
      </c>
      <c r="B334" s="1">
        <f t="shared" si="5"/>
        <v>0</v>
      </c>
      <c r="C334" s="7">
        <f>G$12/-PV(Table7[Monthly mortgage rate], (12*Table7[Amortization period (yrs)]),1 )</f>
        <v>4377.9977174134756</v>
      </c>
      <c r="D334" s="11">
        <f>IF(Table1[[#This Row],[Month]]&lt;=(12*Table7[mortgage term (yrs)]),Table7[Monthly mortgage rate],Table7[Monthly Exp Renewal Rate])</f>
        <v>4.9038466830562122E-3</v>
      </c>
      <c r="E334" s="21">
        <f>Table1[[#This Row],[Current mortgage rate]]*G333</f>
        <v>-2401.3088586598778</v>
      </c>
      <c r="F334" s="5">
        <f>Table1[[#This Row],[Payment amount]]-Table1[[#This Row],[Interest paid]]</f>
        <v>6779.3065760733534</v>
      </c>
      <c r="G334" s="20">
        <f>G333-Table1[[#This Row],[Principal repaid]]-Table1[[#This Row],[Annual paym]]</f>
        <v>-496457.92294817331</v>
      </c>
      <c r="H334" s="20">
        <f>H333-(Table1[[#This Row],[Payment amount]]-Table1[[#This Row],[Interest Paid W/O LSP]])</f>
        <v>-128338.3829665201</v>
      </c>
      <c r="I334">
        <f>H333*Table1[[#This Row],[Current mortgage rate]]</f>
        <v>-604.9163072075753</v>
      </c>
      <c r="J334" s="25">
        <f>IF(Table1[[#This Row],[Month]]&gt;Table7[Amortization period (yrs)]*12,0,IF(Table1[[#This Row],[Month]]&lt;Table7[mortgage term (yrs)]*12,0,IF(Table1[[#This Row],[Month]]=Table7[mortgage term (yrs)]*12,-H$5,Table1[[#This Row],[Payment amount]]+B334)))</f>
        <v>0</v>
      </c>
      <c r="K334">
        <v>323</v>
      </c>
      <c r="L334">
        <f>Table7[Initial Monthly Deposit]*Table9[[#This Row],[Inflation Modifier]]</f>
        <v>669.36724574160974</v>
      </c>
      <c r="M334">
        <f xml:space="preserve"> (1+Table7[Inflation])^(QUOTIENT(Table9[[#This Row],[Month]]-1,12))</f>
        <v>1.6734181143540243</v>
      </c>
      <c r="N334">
        <f>N333*(1+Table7[Monthly SF Inter])+Table9[[#This Row],[Monthly Payment]]-O333*(1+Table7[Monthly SF Inter])</f>
        <v>7719.8919902553516</v>
      </c>
      <c r="O334">
        <f>IF(MOD(Table9[[#This Row],[Month]],12)=0,(IF(Table9[[#This Row],[Current Balance]]&lt;Table9[[#This Row],[Max Lump Sum ]],Table9[[#This Row],[Current Balance]],Table9[[#This Row],[Max Lump Sum ]])),0)</f>
        <v>0</v>
      </c>
      <c r="P334" s="21">
        <f>Table7[Max annual lump sum repayment]*SUM(C335:C346)</f>
        <v>7880.3958913442566</v>
      </c>
      <c r="Q334" s="25">
        <f>Q333*(1+Table7[Monthly SF Inter])+Table9[[#This Row],[Inflation Modifier]]-R333*(1+Table7[Monthly SF Inter])</f>
        <v>18.79189091063132</v>
      </c>
      <c r="R334" s="25">
        <f>IF(MOD(Table9[[#This Row],[Month]],12)=0,Table9[[#This Row],[Q2 ACC FACTOR]],0)</f>
        <v>0</v>
      </c>
      <c r="S334" s="25">
        <f>S333*(1+D333)+Table9[[#This Row],[ACC FACTOR PAYMENTS]]</f>
        <v>924.37337597915155</v>
      </c>
    </row>
    <row r="335" spans="1:19" x14ac:dyDescent="0.25">
      <c r="A335" s="1">
        <v>323</v>
      </c>
      <c r="B335" s="1">
        <f t="shared" si="5"/>
        <v>0</v>
      </c>
      <c r="C335" s="7">
        <f>G$12/-PV(Table7[Monthly mortgage rate], (12*Table7[Amortization period (yrs)]),1 )</f>
        <v>4377.9977174134756</v>
      </c>
      <c r="D335" s="11">
        <f>IF(Table1[[#This Row],[Month]]&lt;=(12*Table7[mortgage term (yrs)]),Table7[Monthly mortgage rate],Table7[Monthly Exp Renewal Rate])</f>
        <v>4.9038466830562122E-3</v>
      </c>
      <c r="E335" s="21">
        <f>Table1[[#This Row],[Current mortgage rate]]*G334</f>
        <v>-2434.5535387263762</v>
      </c>
      <c r="F335" s="5">
        <f>Table1[[#This Row],[Payment amount]]-Table1[[#This Row],[Interest paid]]</f>
        <v>6812.5512561398518</v>
      </c>
      <c r="G335" s="20">
        <f>G334-Table1[[#This Row],[Principal repaid]]-Table1[[#This Row],[Annual paym]]</f>
        <v>-503270.47420431318</v>
      </c>
      <c r="H335" s="20">
        <f>H334-(Table1[[#This Row],[Payment amount]]-Table1[[#This Row],[Interest Paid W/O LSP]])</f>
        <v>-133345.73243755274</v>
      </c>
      <c r="I335">
        <f>H334*Table1[[#This Row],[Current mortgage rate]]</f>
        <v>-629.35175361916754</v>
      </c>
      <c r="J335" s="25">
        <f>IF(Table1[[#This Row],[Month]]&gt;Table7[Amortization period (yrs)]*12,0,IF(Table1[[#This Row],[Month]]&lt;Table7[mortgage term (yrs)]*12,0,IF(Table1[[#This Row],[Month]]=Table7[mortgage term (yrs)]*12,-H$5,Table1[[#This Row],[Payment amount]]+B335)))</f>
        <v>0</v>
      </c>
      <c r="K335">
        <v>324</v>
      </c>
      <c r="L335">
        <f>Table7[Initial Monthly Deposit]*Table9[[#This Row],[Inflation Modifier]]</f>
        <v>669.36724574160974</v>
      </c>
      <c r="M335">
        <f xml:space="preserve"> (1+Table7[Inflation])^(QUOTIENT(Table9[[#This Row],[Month]]-1,12))</f>
        <v>1.6734181143540243</v>
      </c>
      <c r="N335">
        <f>N334*(1+Table7[Monthly SF Inter])+Table9[[#This Row],[Monthly Payment]]-O334*(1+Table7[Monthly SF Inter])</f>
        <v>8421.0954179648197</v>
      </c>
      <c r="O335">
        <f>IF(MOD(Table9[[#This Row],[Month]],12)=0,(IF(Table9[[#This Row],[Current Balance]]&lt;Table9[[#This Row],[Max Lump Sum ]],Table9[[#This Row],[Current Balance]],Table9[[#This Row],[Max Lump Sum ]])),0)</f>
        <v>7880.3958913442566</v>
      </c>
      <c r="P335" s="21">
        <f>Table7[Max annual lump sum repayment]*SUM(C336:C347)</f>
        <v>7880.3958913442566</v>
      </c>
      <c r="Q335" s="25">
        <f>Q334*(1+Table7[Monthly SF Inter])+Table9[[#This Row],[Inflation Modifier]]-R334*(1+Table7[Monthly SF Inter])</f>
        <v>20.542805194531002</v>
      </c>
      <c r="R335" s="25">
        <f>IF(MOD(Table9[[#This Row],[Month]],12)=0,Table9[[#This Row],[Q2 ACC FACTOR]],0)</f>
        <v>20.542805194531002</v>
      </c>
      <c r="S335" s="25">
        <f>S334*(1+D334)+Table9[[#This Row],[ACC FACTOR PAYMENTS]]</f>
        <v>949.44916648738331</v>
      </c>
    </row>
    <row r="336" spans="1:19" x14ac:dyDescent="0.25">
      <c r="A336" s="1">
        <v>324</v>
      </c>
      <c r="B336" s="1">
        <f t="shared" si="5"/>
        <v>7880.3958913442566</v>
      </c>
      <c r="C336" s="7">
        <f>G$12/-PV(Table7[Monthly mortgage rate], (12*Table7[Amortization period (yrs)]),1 )</f>
        <v>4377.9977174134756</v>
      </c>
      <c r="D336" s="11">
        <f>IF(Table1[[#This Row],[Month]]&lt;=(12*Table7[mortgage term (yrs)]),Table7[Monthly mortgage rate],Table7[Monthly Exp Renewal Rate])</f>
        <v>4.9038466830562122E-3</v>
      </c>
      <c r="E336" s="21">
        <f>Table1[[#This Row],[Current mortgage rate]]*G335</f>
        <v>-2467.9612456069481</v>
      </c>
      <c r="F336" s="5">
        <f>Table1[[#This Row],[Payment amount]]-Table1[[#This Row],[Interest paid]]</f>
        <v>6845.9589630204237</v>
      </c>
      <c r="G336" s="20">
        <f>G335-Table1[[#This Row],[Principal repaid]]-Table1[[#This Row],[Annual paym]]</f>
        <v>-517996.82905867783</v>
      </c>
      <c r="H336" s="20">
        <f>H335-(Table1[[#This Row],[Payment amount]]-Table1[[#This Row],[Interest Paid W/O LSP]])</f>
        <v>-138377.63718267981</v>
      </c>
      <c r="I336">
        <f>H335*Table1[[#This Row],[Current mortgage rate]]</f>
        <v>-653.90702771359418</v>
      </c>
      <c r="J336" s="25">
        <f>IF(Table1[[#This Row],[Month]]&gt;Table7[Amortization period (yrs)]*12,0,IF(Table1[[#This Row],[Month]]&lt;Table7[mortgage term (yrs)]*12,0,IF(Table1[[#This Row],[Month]]=Table7[mortgage term (yrs)]*12,-H$5,Table1[[#This Row],[Payment amount]]+B336)))</f>
        <v>0</v>
      </c>
      <c r="K336">
        <v>325</v>
      </c>
      <c r="L336">
        <f>Table7[Initial Monthly Deposit]*Table9[[#This Row],[Inflation Modifier]]</f>
        <v>682.75459065644179</v>
      </c>
      <c r="M336">
        <f xml:space="preserve"> (1+Table7[Inflation])^(QUOTIENT(Table9[[#This Row],[Month]]-1,12))</f>
        <v>1.7068864766411045</v>
      </c>
      <c r="N336">
        <f>N335*(1+Table7[Monthly SF Inter])+Table9[[#This Row],[Monthly Payment]]-O335*(1+Table7[Monthly SF Inter])</f>
        <v>1225.6839164168314</v>
      </c>
      <c r="O336">
        <f>IF(MOD(Table9[[#This Row],[Month]],12)=0,(IF(Table9[[#This Row],[Current Balance]]&lt;Table9[[#This Row],[Max Lump Sum ]],Table9[[#This Row],[Current Balance]],Table9[[#This Row],[Max Lump Sum ]])),0)</f>
        <v>0</v>
      </c>
      <c r="P336" s="21">
        <f>Table7[Max annual lump sum repayment]*SUM(C337:C348)</f>
        <v>7880.3958913442566</v>
      </c>
      <c r="Q336" s="25">
        <f>Q335*(1+Table7[Monthly SF Inter])+Table9[[#This Row],[Inflation Modifier]]-R335*(1+Table7[Monthly SF Inter])</f>
        <v>1.706886476641106</v>
      </c>
      <c r="R336" s="25">
        <f>IF(MOD(Table9[[#This Row],[Month]],12)=0,Table9[[#This Row],[Q2 ACC FACTOR]],0)</f>
        <v>0</v>
      </c>
      <c r="S336" s="25">
        <f>S335*(1+D335)+Table9[[#This Row],[ACC FACTOR PAYMENTS]]</f>
        <v>954.105119633193</v>
      </c>
    </row>
    <row r="337" spans="1:19" x14ac:dyDescent="0.25">
      <c r="A337" s="1">
        <v>325</v>
      </c>
      <c r="B337" s="1">
        <f t="shared" si="5"/>
        <v>0</v>
      </c>
      <c r="C337" s="7">
        <f>G$12/-PV(Table7[Monthly mortgage rate], (12*Table7[Amortization period (yrs)]),1 )</f>
        <v>4377.9977174134756</v>
      </c>
      <c r="D337" s="11">
        <f>IF(Table1[[#This Row],[Month]]&lt;=(12*Table7[mortgage term (yrs)]),Table7[Monthly mortgage rate],Table7[Monthly Exp Renewal Rate])</f>
        <v>4.9038466830562122E-3</v>
      </c>
      <c r="E337" s="21">
        <f>Table1[[#This Row],[Current mortgage rate]]*G336</f>
        <v>-2540.1770320130331</v>
      </c>
      <c r="F337" s="5">
        <f>Table1[[#This Row],[Payment amount]]-Table1[[#This Row],[Interest paid]]</f>
        <v>6918.1747494265092</v>
      </c>
      <c r="G337" s="20">
        <f>G336-Table1[[#This Row],[Principal repaid]]-Table1[[#This Row],[Annual paym]]</f>
        <v>-524915.00380810432</v>
      </c>
      <c r="H337" s="20">
        <f>H336-(Table1[[#This Row],[Payment amount]]-Table1[[#This Row],[Interest Paid W/O LSP]])</f>
        <v>-143434.21761720072</v>
      </c>
      <c r="I337">
        <f>H336*Table1[[#This Row],[Current mortgage rate]]</f>
        <v>-678.58271710744043</v>
      </c>
      <c r="J337" s="25">
        <f>IF(Table1[[#This Row],[Month]]&gt;Table7[Amortization period (yrs)]*12,0,IF(Table1[[#This Row],[Month]]&lt;Table7[mortgage term (yrs)]*12,0,IF(Table1[[#This Row],[Month]]=Table7[mortgage term (yrs)]*12,-H$5,Table1[[#This Row],[Payment amount]]+B337)))</f>
        <v>0</v>
      </c>
      <c r="K337">
        <v>326</v>
      </c>
      <c r="L337">
        <f>Table7[Initial Monthly Deposit]*Table9[[#This Row],[Inflation Modifier]]</f>
        <v>682.75459065644179</v>
      </c>
      <c r="M337">
        <f xml:space="preserve"> (1+Table7[Inflation])^(QUOTIENT(Table9[[#This Row],[Month]]-1,12))</f>
        <v>1.7068864766411045</v>
      </c>
      <c r="N337">
        <f>N336*(1+Table7[Monthly SF Inter])+Table9[[#This Row],[Monthly Payment]]-O336*(1+Table7[Monthly SF Inter])</f>
        <v>1913.4931239315629</v>
      </c>
      <c r="O337">
        <f>IF(MOD(Table9[[#This Row],[Month]],12)=0,(IF(Table9[[#This Row],[Current Balance]]&lt;Table9[[#This Row],[Max Lump Sum ]],Table9[[#This Row],[Current Balance]],Table9[[#This Row],[Max Lump Sum ]])),0)</f>
        <v>0</v>
      </c>
      <c r="P337" s="21">
        <f>Table7[Max annual lump sum repayment]*SUM(C338:C349)</f>
        <v>7880.3958913442566</v>
      </c>
      <c r="Q337" s="25">
        <f>Q336*(1+Table7[Monthly SF Inter])+Table9[[#This Row],[Inflation Modifier]]-R336*(1+Table7[Monthly SF Inter])</f>
        <v>3.4208120088204765</v>
      </c>
      <c r="R337" s="25">
        <f>IF(MOD(Table9[[#This Row],[Month]],12)=0,Table9[[#This Row],[Q2 ACC FACTOR]],0)</f>
        <v>0</v>
      </c>
      <c r="S337" s="25">
        <f>S336*(1+D336)+Table9[[#This Row],[ACC FACTOR PAYMENTS]]</f>
        <v>958.78390485939315</v>
      </c>
    </row>
    <row r="338" spans="1:19" x14ac:dyDescent="0.25">
      <c r="A338" s="1">
        <v>326</v>
      </c>
      <c r="B338" s="1">
        <f t="shared" si="5"/>
        <v>0</v>
      </c>
      <c r="C338" s="7">
        <f>G$12/-PV(Table7[Monthly mortgage rate], (12*Table7[Amortization period (yrs)]),1 )</f>
        <v>4377.9977174134756</v>
      </c>
      <c r="D338" s="11">
        <f>IF(Table1[[#This Row],[Month]]&lt;=(12*Table7[mortgage term (yrs)]),Table7[Monthly mortgage rate],Table7[Monthly Exp Renewal Rate])</f>
        <v>4.9038466830562122E-3</v>
      </c>
      <c r="E338" s="21">
        <f>Table1[[#This Row],[Current mortgage rate]]*G337</f>
        <v>-2574.1027003108115</v>
      </c>
      <c r="F338" s="5">
        <f>Table1[[#This Row],[Payment amount]]-Table1[[#This Row],[Interest paid]]</f>
        <v>6952.1004177242867</v>
      </c>
      <c r="G338" s="20">
        <f>G337-Table1[[#This Row],[Principal repaid]]-Table1[[#This Row],[Annual paym]]</f>
        <v>-531867.10422582855</v>
      </c>
      <c r="H338" s="20">
        <f>H337-(Table1[[#This Row],[Payment amount]]-Table1[[#This Row],[Interest Paid W/O LSP]])</f>
        <v>-148515.59474691306</v>
      </c>
      <c r="I338">
        <f>H337*Table1[[#This Row],[Current mortgage rate]]</f>
        <v>-703.37941229887269</v>
      </c>
      <c r="J338" s="25">
        <f>IF(Table1[[#This Row],[Month]]&gt;Table7[Amortization period (yrs)]*12,0,IF(Table1[[#This Row],[Month]]&lt;Table7[mortgage term (yrs)]*12,0,IF(Table1[[#This Row],[Month]]=Table7[mortgage term (yrs)]*12,-H$5,Table1[[#This Row],[Payment amount]]+B338)))</f>
        <v>0</v>
      </c>
      <c r="K338">
        <v>327</v>
      </c>
      <c r="L338">
        <f>Table7[Initial Monthly Deposit]*Table9[[#This Row],[Inflation Modifier]]</f>
        <v>682.75459065644179</v>
      </c>
      <c r="M338">
        <f xml:space="preserve"> (1+Table7[Inflation])^(QUOTIENT(Table9[[#This Row],[Month]]-1,12))</f>
        <v>1.7068864766411045</v>
      </c>
      <c r="N338">
        <f>N337*(1+Table7[Monthly SF Inter])+Table9[[#This Row],[Monthly Payment]]-O337*(1+Table7[Monthly SF Inter])</f>
        <v>2604.1387984742332</v>
      </c>
      <c r="O338">
        <f>IF(MOD(Table9[[#This Row],[Month]],12)=0,(IF(Table9[[#This Row],[Current Balance]]&lt;Table9[[#This Row],[Max Lump Sum ]],Table9[[#This Row],[Current Balance]],Table9[[#This Row],[Max Lump Sum ]])),0)</f>
        <v>0</v>
      </c>
      <c r="P338" s="21">
        <f>Table7[Max annual lump sum repayment]*SUM(C339:C350)</f>
        <v>7880.3958913442566</v>
      </c>
      <c r="Q338" s="25">
        <f>Q337*(1+Table7[Monthly SF Inter])+Table9[[#This Row],[Inflation Modifier]]-R337*(1+Table7[Monthly SF Inter])</f>
        <v>5.1418056250081072</v>
      </c>
      <c r="R338" s="25">
        <f>IF(MOD(Table9[[#This Row],[Month]],12)=0,Table9[[#This Row],[Q2 ACC FACTOR]],0)</f>
        <v>0</v>
      </c>
      <c r="S338" s="25">
        <f>S337*(1+D337)+Table9[[#This Row],[ACC FACTOR PAYMENTS]]</f>
        <v>963.48563413100555</v>
      </c>
    </row>
    <row r="339" spans="1:19" x14ac:dyDescent="0.25">
      <c r="A339" s="1">
        <v>327</v>
      </c>
      <c r="B339" s="1">
        <f t="shared" si="5"/>
        <v>0</v>
      </c>
      <c r="C339" s="7">
        <f>G$12/-PV(Table7[Monthly mortgage rate], (12*Table7[Amortization period (yrs)]),1 )</f>
        <v>4377.9977174134756</v>
      </c>
      <c r="D339" s="11">
        <f>IF(Table1[[#This Row],[Month]]&lt;=(12*Table7[mortgage term (yrs)]),Table7[Monthly mortgage rate],Table7[Monthly Exp Renewal Rate])</f>
        <v>4.9038466830562122E-3</v>
      </c>
      <c r="E339" s="21">
        <f>Table1[[#This Row],[Current mortgage rate]]*G338</f>
        <v>-2608.194734884542</v>
      </c>
      <c r="F339" s="5">
        <f>Table1[[#This Row],[Payment amount]]-Table1[[#This Row],[Interest paid]]</f>
        <v>6986.1924522980171</v>
      </c>
      <c r="G339" s="20">
        <f>G338-Table1[[#This Row],[Principal repaid]]-Table1[[#This Row],[Annual paym]]</f>
        <v>-538853.29667812656</v>
      </c>
      <c r="H339" s="20">
        <f>H338-(Table1[[#This Row],[Payment amount]]-Table1[[#This Row],[Interest Paid W/O LSP]])</f>
        <v>-153621.8901710083</v>
      </c>
      <c r="I339">
        <f>H338*Table1[[#This Row],[Current mortgage rate]]</f>
        <v>-728.29770668177025</v>
      </c>
      <c r="J339" s="25">
        <f>IF(Table1[[#This Row],[Month]]&gt;Table7[Amortization period (yrs)]*12,0,IF(Table1[[#This Row],[Month]]&lt;Table7[mortgage term (yrs)]*12,0,IF(Table1[[#This Row],[Month]]=Table7[mortgage term (yrs)]*12,-H$5,Table1[[#This Row],[Payment amount]]+B339)))</f>
        <v>0</v>
      </c>
      <c r="K339">
        <v>328</v>
      </c>
      <c r="L339">
        <f>Table7[Initial Monthly Deposit]*Table9[[#This Row],[Inflation Modifier]]</f>
        <v>682.75459065644179</v>
      </c>
      <c r="M339">
        <f xml:space="preserve"> (1+Table7[Inflation])^(QUOTIENT(Table9[[#This Row],[Month]]-1,12))</f>
        <v>1.7068864766411045</v>
      </c>
      <c r="N339">
        <f>N338*(1+Table7[Monthly SF Inter])+Table9[[#This Row],[Monthly Payment]]-O338*(1+Table7[Monthly SF Inter])</f>
        <v>3297.6326373950851</v>
      </c>
      <c r="O339">
        <f>IF(MOD(Table9[[#This Row],[Month]],12)=0,(IF(Table9[[#This Row],[Current Balance]]&lt;Table9[[#This Row],[Max Lump Sum ]],Table9[[#This Row],[Current Balance]],Table9[[#This Row],[Max Lump Sum ]])),0)</f>
        <v>0</v>
      </c>
      <c r="P339" s="21">
        <f>Table7[Max annual lump sum repayment]*SUM(C340:C351)</f>
        <v>7880.3958913442566</v>
      </c>
      <c r="Q339" s="25">
        <f>Q338*(1+Table7[Monthly SF Inter])+Table9[[#This Row],[Inflation Modifier]]-R338*(1+Table7[Monthly SF Inter])</f>
        <v>6.8698964733849479</v>
      </c>
      <c r="R339" s="25">
        <f>IF(MOD(Table9[[#This Row],[Month]],12)=0,Table9[[#This Row],[Q2 ACC FACTOR]],0)</f>
        <v>0</v>
      </c>
      <c r="S339" s="25">
        <f>S338*(1+D338)+Table9[[#This Row],[ACC FACTOR PAYMENTS]]</f>
        <v>968.21041996211125</v>
      </c>
    </row>
    <row r="340" spans="1:19" x14ac:dyDescent="0.25">
      <c r="A340" s="1">
        <v>328</v>
      </c>
      <c r="B340" s="1">
        <f t="shared" si="5"/>
        <v>0</v>
      </c>
      <c r="C340" s="7">
        <f>G$12/-PV(Table7[Monthly mortgage rate], (12*Table7[Amortization period (yrs)]),1 )</f>
        <v>4377.9977174134756</v>
      </c>
      <c r="D340" s="11">
        <f>IF(Table1[[#This Row],[Month]]&lt;=(12*Table7[mortgage term (yrs)]),Table7[Monthly mortgage rate],Table7[Monthly Exp Renewal Rate])</f>
        <v>4.9038466830562122E-3</v>
      </c>
      <c r="E340" s="21">
        <f>Table1[[#This Row],[Current mortgage rate]]*G339</f>
        <v>-2642.4539515689357</v>
      </c>
      <c r="F340" s="5">
        <f>Table1[[#This Row],[Payment amount]]-Table1[[#This Row],[Interest paid]]</f>
        <v>7020.4516689824113</v>
      </c>
      <c r="G340" s="20">
        <f>G339-Table1[[#This Row],[Principal repaid]]-Table1[[#This Row],[Annual paym]]</f>
        <v>-545873.74834710895</v>
      </c>
      <c r="H340" s="20">
        <f>H339-(Table1[[#This Row],[Payment amount]]-Table1[[#This Row],[Interest Paid W/O LSP]])</f>
        <v>-158753.2260849817</v>
      </c>
      <c r="I340">
        <f>H339*Table1[[#This Row],[Current mortgage rate]]</f>
        <v>-753.33819655992477</v>
      </c>
      <c r="J340" s="25">
        <f>IF(Table1[[#This Row],[Month]]&gt;Table7[Amortization period (yrs)]*12,0,IF(Table1[[#This Row],[Month]]&lt;Table7[mortgage term (yrs)]*12,0,IF(Table1[[#This Row],[Month]]=Table7[mortgage term (yrs)]*12,-H$5,Table1[[#This Row],[Payment amount]]+B340)))</f>
        <v>0</v>
      </c>
      <c r="K340">
        <v>329</v>
      </c>
      <c r="L340">
        <f>Table7[Initial Monthly Deposit]*Table9[[#This Row],[Inflation Modifier]]</f>
        <v>682.75459065644179</v>
      </c>
      <c r="M340">
        <f xml:space="preserve"> (1+Table7[Inflation])^(QUOTIENT(Table9[[#This Row],[Month]]-1,12))</f>
        <v>1.7068864766411045</v>
      </c>
      <c r="N340">
        <f>N339*(1+Table7[Monthly SF Inter])+Table9[[#This Row],[Monthly Payment]]-O339*(1+Table7[Monthly SF Inter])</f>
        <v>3993.9863862832449</v>
      </c>
      <c r="O340">
        <f>IF(MOD(Table9[[#This Row],[Month]],12)=0,(IF(Table9[[#This Row],[Current Balance]]&lt;Table9[[#This Row],[Max Lump Sum ]],Table9[[#This Row],[Current Balance]],Table9[[#This Row],[Max Lump Sum ]])),0)</f>
        <v>0</v>
      </c>
      <c r="P340" s="21">
        <f>Table7[Max annual lump sum repayment]*SUM(C341:C352)</f>
        <v>7880.3958913442566</v>
      </c>
      <c r="Q340" s="25">
        <f>Q339*(1+Table7[Monthly SF Inter])+Table9[[#This Row],[Inflation Modifier]]-R339*(1+Table7[Monthly SF Inter])</f>
        <v>8.605113822336584</v>
      </c>
      <c r="R340" s="25">
        <f>IF(MOD(Table9[[#This Row],[Month]],12)=0,Table9[[#This Row],[Q2 ACC FACTOR]],0)</f>
        <v>0</v>
      </c>
      <c r="S340" s="25">
        <f>S339*(1+D339)+Table9[[#This Row],[ACC FACTOR PAYMENTS]]</f>
        <v>972.95837541854291</v>
      </c>
    </row>
    <row r="341" spans="1:19" x14ac:dyDescent="0.25">
      <c r="A341" s="1">
        <v>329</v>
      </c>
      <c r="B341" s="1">
        <f t="shared" si="5"/>
        <v>0</v>
      </c>
      <c r="C341" s="7">
        <f>G$12/-PV(Table7[Monthly mortgage rate], (12*Table7[Amortization period (yrs)]),1 )</f>
        <v>4377.9977174134756</v>
      </c>
      <c r="D341" s="11">
        <f>IF(Table1[[#This Row],[Month]]&lt;=(12*Table7[mortgage term (yrs)]),Table7[Monthly mortgage rate],Table7[Monthly Exp Renewal Rate])</f>
        <v>4.9038466830562122E-3</v>
      </c>
      <c r="E341" s="21">
        <f>Table1[[#This Row],[Current mortgage rate]]*G340</f>
        <v>-2676.8811701994318</v>
      </c>
      <c r="F341" s="5">
        <f>Table1[[#This Row],[Payment amount]]-Table1[[#This Row],[Interest paid]]</f>
        <v>7054.8788876129074</v>
      </c>
      <c r="G341" s="20">
        <f>G340-Table1[[#This Row],[Principal repaid]]-Table1[[#This Row],[Annual paym]]</f>
        <v>-552928.62723472191</v>
      </c>
      <c r="H341" s="20">
        <f>H340-(Table1[[#This Row],[Payment amount]]-Table1[[#This Row],[Interest Paid W/O LSP]])</f>
        <v>-163909.72528355647</v>
      </c>
      <c r="I341">
        <f>H340*Table1[[#This Row],[Current mortgage rate]]</f>
        <v>-778.50148116131038</v>
      </c>
      <c r="J341" s="25">
        <f>IF(Table1[[#This Row],[Month]]&gt;Table7[Amortization period (yrs)]*12,0,IF(Table1[[#This Row],[Month]]&lt;Table7[mortgage term (yrs)]*12,0,IF(Table1[[#This Row],[Month]]=Table7[mortgage term (yrs)]*12,-H$5,Table1[[#This Row],[Payment amount]]+B341)))</f>
        <v>0</v>
      </c>
      <c r="K341">
        <v>330</v>
      </c>
      <c r="L341">
        <f>Table7[Initial Monthly Deposit]*Table9[[#This Row],[Inflation Modifier]]</f>
        <v>682.75459065644179</v>
      </c>
      <c r="M341">
        <f xml:space="preserve"> (1+Table7[Inflation])^(QUOTIENT(Table9[[#This Row],[Month]]-1,12))</f>
        <v>1.7068864766411045</v>
      </c>
      <c r="N341">
        <f>N340*(1+Table7[Monthly SF Inter])+Table9[[#This Row],[Monthly Payment]]-O340*(1+Table7[Monthly SF Inter])</f>
        <v>4693.2118391656559</v>
      </c>
      <c r="O341">
        <f>IF(MOD(Table9[[#This Row],[Month]],12)=0,(IF(Table9[[#This Row],[Current Balance]]&lt;Table9[[#This Row],[Max Lump Sum ]],Table9[[#This Row],[Current Balance]],Table9[[#This Row],[Max Lump Sum ]])),0)</f>
        <v>0</v>
      </c>
      <c r="P341" s="21">
        <f>Table7[Max annual lump sum repayment]*SUM(C342:C353)</f>
        <v>7880.3958913442566</v>
      </c>
      <c r="Q341" s="25">
        <f>Q340*(1+Table7[Monthly SF Inter])+Table9[[#This Row],[Inflation Modifier]]-R340*(1+Table7[Monthly SF Inter])</f>
        <v>10.347487060948948</v>
      </c>
      <c r="R341" s="25">
        <f>IF(MOD(Table9[[#This Row],[Month]],12)=0,Table9[[#This Row],[Q2 ACC FACTOR]],0)</f>
        <v>0</v>
      </c>
      <c r="S341" s="25">
        <f>S340*(1+D340)+Table9[[#This Row],[ACC FACTOR PAYMENTS]]</f>
        <v>977.7296141205909</v>
      </c>
    </row>
    <row r="342" spans="1:19" x14ac:dyDescent="0.25">
      <c r="A342" s="1">
        <v>330</v>
      </c>
      <c r="B342" s="1">
        <f t="shared" si="5"/>
        <v>0</v>
      </c>
      <c r="C342" s="7">
        <f>G$12/-PV(Table7[Monthly mortgage rate], (12*Table7[Amortization period (yrs)]),1 )</f>
        <v>4377.9977174134756</v>
      </c>
      <c r="D342" s="11">
        <f>IF(Table1[[#This Row],[Month]]&lt;=(12*Table7[mortgage term (yrs)]),Table7[Monthly mortgage rate],Table7[Monthly Exp Renewal Rate])</f>
        <v>4.9038466830562122E-3</v>
      </c>
      <c r="E342" s="21">
        <f>Table1[[#This Row],[Current mortgage rate]]*G341</f>
        <v>-2711.477214631816</v>
      </c>
      <c r="F342" s="5">
        <f>Table1[[#This Row],[Payment amount]]-Table1[[#This Row],[Interest paid]]</f>
        <v>7089.474932045292</v>
      </c>
      <c r="G342" s="20">
        <f>G341-Table1[[#This Row],[Principal repaid]]-Table1[[#This Row],[Annual paym]]</f>
        <v>-560018.10216676723</v>
      </c>
      <c r="H342" s="20">
        <f>H341-(Table1[[#This Row],[Payment amount]]-Table1[[#This Row],[Interest Paid W/O LSP]])</f>
        <v>-169091.51116362237</v>
      </c>
      <c r="I342">
        <f>H341*Table1[[#This Row],[Current mortgage rate]]</f>
        <v>-803.78816265242335</v>
      </c>
      <c r="J342" s="25">
        <f>IF(Table1[[#This Row],[Month]]&gt;Table7[Amortization period (yrs)]*12,0,IF(Table1[[#This Row],[Month]]&lt;Table7[mortgage term (yrs)]*12,0,IF(Table1[[#This Row],[Month]]=Table7[mortgage term (yrs)]*12,-H$5,Table1[[#This Row],[Payment amount]]+B342)))</f>
        <v>0</v>
      </c>
      <c r="K342">
        <v>331</v>
      </c>
      <c r="L342">
        <f>Table7[Initial Monthly Deposit]*Table9[[#This Row],[Inflation Modifier]]</f>
        <v>682.75459065644179</v>
      </c>
      <c r="M342">
        <f xml:space="preserve"> (1+Table7[Inflation])^(QUOTIENT(Table9[[#This Row],[Month]]-1,12))</f>
        <v>1.7068864766411045</v>
      </c>
      <c r="N342">
        <f>N341*(1+Table7[Monthly SF Inter])+Table9[[#This Row],[Monthly Payment]]-O341*(1+Table7[Monthly SF Inter])</f>
        <v>5395.3208387068307</v>
      </c>
      <c r="O342">
        <f>IF(MOD(Table9[[#This Row],[Month]],12)=0,(IF(Table9[[#This Row],[Current Balance]]&lt;Table9[[#This Row],[Max Lump Sum ]],Table9[[#This Row],[Current Balance]],Table9[[#This Row],[Max Lump Sum ]])),0)</f>
        <v>0</v>
      </c>
      <c r="P342" s="21">
        <f>Table7[Max annual lump sum repayment]*SUM(C343:C354)</f>
        <v>7880.3958913442566</v>
      </c>
      <c r="Q342" s="25">
        <f>Q341*(1+Table7[Monthly SF Inter])+Table9[[#This Row],[Inflation Modifier]]-R341*(1+Table7[Monthly SF Inter])</f>
        <v>12.097045699506079</v>
      </c>
      <c r="R342" s="25">
        <f>IF(MOD(Table9[[#This Row],[Month]],12)=0,Table9[[#This Row],[Q2 ACC FACTOR]],0)</f>
        <v>0</v>
      </c>
      <c r="S342" s="25">
        <f>S341*(1+D341)+Table9[[#This Row],[ACC FACTOR PAYMENTS]]</f>
        <v>982.52425024572199</v>
      </c>
    </row>
    <row r="343" spans="1:19" x14ac:dyDescent="0.25">
      <c r="A343" s="1">
        <v>331</v>
      </c>
      <c r="B343" s="1">
        <f t="shared" si="5"/>
        <v>0</v>
      </c>
      <c r="C343" s="7">
        <f>G$12/-PV(Table7[Monthly mortgage rate], (12*Table7[Amortization period (yrs)]),1 )</f>
        <v>4377.9977174134756</v>
      </c>
      <c r="D343" s="11">
        <f>IF(Table1[[#This Row],[Month]]&lt;=(12*Table7[mortgage term (yrs)]),Table7[Monthly mortgage rate],Table7[Monthly Exp Renewal Rate])</f>
        <v>4.9038466830562122E-3</v>
      </c>
      <c r="E343" s="21">
        <f>Table1[[#This Row],[Current mortgage rate]]*G342</f>
        <v>-2746.2429127619366</v>
      </c>
      <c r="F343" s="5">
        <f>Table1[[#This Row],[Payment amount]]-Table1[[#This Row],[Interest paid]]</f>
        <v>7124.2406301754127</v>
      </c>
      <c r="G343" s="20">
        <f>G342-Table1[[#This Row],[Principal repaid]]-Table1[[#This Row],[Annual paym]]</f>
        <v>-567142.34279694268</v>
      </c>
      <c r="H343" s="20">
        <f>H342-(Table1[[#This Row],[Payment amount]]-Table1[[#This Row],[Interest Paid W/O LSP]])</f>
        <v>-174298.70772718854</v>
      </c>
      <c r="I343">
        <f>H342*Table1[[#This Row],[Current mortgage rate]]</f>
        <v>-829.198846152692</v>
      </c>
      <c r="J343" s="25">
        <f>IF(Table1[[#This Row],[Month]]&gt;Table7[Amortization period (yrs)]*12,0,IF(Table1[[#This Row],[Month]]&lt;Table7[mortgage term (yrs)]*12,0,IF(Table1[[#This Row],[Month]]=Table7[mortgage term (yrs)]*12,-H$5,Table1[[#This Row],[Payment amount]]+B343)))</f>
        <v>0</v>
      </c>
      <c r="K343">
        <v>332</v>
      </c>
      <c r="L343">
        <f>Table7[Initial Monthly Deposit]*Table9[[#This Row],[Inflation Modifier]]</f>
        <v>682.75459065644179</v>
      </c>
      <c r="M343">
        <f xml:space="preserve"> (1+Table7[Inflation])^(QUOTIENT(Table9[[#This Row],[Month]]-1,12))</f>
        <v>1.7068864766411045</v>
      </c>
      <c r="N343">
        <f>N342*(1+Table7[Monthly SF Inter])+Table9[[#This Row],[Monthly Payment]]-O342*(1+Table7[Monthly SF Inter])</f>
        <v>6100.3252764094304</v>
      </c>
      <c r="O343">
        <f>IF(MOD(Table9[[#This Row],[Month]],12)=0,(IF(Table9[[#This Row],[Current Balance]]&lt;Table9[[#This Row],[Max Lump Sum ]],Table9[[#This Row],[Current Balance]],Table9[[#This Row],[Max Lump Sum ]])),0)</f>
        <v>0</v>
      </c>
      <c r="P343" s="21">
        <f>Table7[Max annual lump sum repayment]*SUM(C344:C355)</f>
        <v>7880.3958913442566</v>
      </c>
      <c r="Q343" s="25">
        <f>Q342*(1+Table7[Monthly SF Inter])+Table9[[#This Row],[Inflation Modifier]]-R342*(1+Table7[Monthly SF Inter])</f>
        <v>13.853819369989933</v>
      </c>
      <c r="R343" s="25">
        <f>IF(MOD(Table9[[#This Row],[Month]],12)=0,Table9[[#This Row],[Q2 ACC FACTOR]],0)</f>
        <v>0</v>
      </c>
      <c r="S343" s="25">
        <f>S342*(1+D342)+Table9[[#This Row],[ACC FACTOR PAYMENTS]]</f>
        <v>987.3423985313118</v>
      </c>
    </row>
    <row r="344" spans="1:19" x14ac:dyDescent="0.25">
      <c r="A344" s="1">
        <v>332</v>
      </c>
      <c r="B344" s="1">
        <f t="shared" si="5"/>
        <v>0</v>
      </c>
      <c r="C344" s="7">
        <f>G$12/-PV(Table7[Monthly mortgage rate], (12*Table7[Amortization period (yrs)]),1 )</f>
        <v>4377.9977174134756</v>
      </c>
      <c r="D344" s="11">
        <f>IF(Table1[[#This Row],[Month]]&lt;=(12*Table7[mortgage term (yrs)]),Table7[Monthly mortgage rate],Table7[Monthly Exp Renewal Rate])</f>
        <v>4.9038466830562122E-3</v>
      </c>
      <c r="E344" s="21">
        <f>Table1[[#This Row],[Current mortgage rate]]*G343</f>
        <v>-2781.1790965455166</v>
      </c>
      <c r="F344" s="5">
        <f>Table1[[#This Row],[Payment amount]]-Table1[[#This Row],[Interest paid]]</f>
        <v>7159.1768139589922</v>
      </c>
      <c r="G344" s="20">
        <f>G343-Table1[[#This Row],[Principal repaid]]-Table1[[#This Row],[Annual paym]]</f>
        <v>-574301.51961090171</v>
      </c>
      <c r="H344" s="20">
        <f>H343-(Table1[[#This Row],[Payment amount]]-Table1[[#This Row],[Interest Paid W/O LSP]])</f>
        <v>-179531.43958435097</v>
      </c>
      <c r="I344">
        <f>H343*Table1[[#This Row],[Current mortgage rate]]</f>
        <v>-854.73413974895766</v>
      </c>
      <c r="J344" s="25">
        <f>IF(Table1[[#This Row],[Month]]&gt;Table7[Amortization period (yrs)]*12,0,IF(Table1[[#This Row],[Month]]&lt;Table7[mortgage term (yrs)]*12,0,IF(Table1[[#This Row],[Month]]=Table7[mortgage term (yrs)]*12,-H$5,Table1[[#This Row],[Payment amount]]+B344)))</f>
        <v>0</v>
      </c>
      <c r="K344">
        <v>333</v>
      </c>
      <c r="L344">
        <f>Table7[Initial Monthly Deposit]*Table9[[#This Row],[Inflation Modifier]]</f>
        <v>682.75459065644179</v>
      </c>
      <c r="M344">
        <f xml:space="preserve"> (1+Table7[Inflation])^(QUOTIENT(Table9[[#This Row],[Month]]-1,12))</f>
        <v>1.7068864766411045</v>
      </c>
      <c r="N344">
        <f>N343*(1+Table7[Monthly SF Inter])+Table9[[#This Row],[Monthly Payment]]-O343*(1+Table7[Monthly SF Inter])</f>
        <v>6808.2370928156679</v>
      </c>
      <c r="O344">
        <f>IF(MOD(Table9[[#This Row],[Month]],12)=0,(IF(Table9[[#This Row],[Current Balance]]&lt;Table9[[#This Row],[Max Lump Sum ]],Table9[[#This Row],[Current Balance]],Table9[[#This Row],[Max Lump Sum ]])),0)</f>
        <v>0</v>
      </c>
      <c r="P344" s="21">
        <f>Table7[Max annual lump sum repayment]*SUM(C345:C356)</f>
        <v>7880.3958913442566</v>
      </c>
      <c r="Q344" s="25">
        <f>Q343*(1+Table7[Monthly SF Inter])+Table9[[#This Row],[Inflation Modifier]]-R343*(1+Table7[Monthly SF Inter])</f>
        <v>15.617837826582255</v>
      </c>
      <c r="R344" s="25">
        <f>IF(MOD(Table9[[#This Row],[Month]],12)=0,Table9[[#This Row],[Q2 ACC FACTOR]],0)</f>
        <v>0</v>
      </c>
      <c r="S344" s="25">
        <f>S343*(1+D343)+Table9[[#This Row],[ACC FACTOR PAYMENTS]]</f>
        <v>992.1841742773903</v>
      </c>
    </row>
    <row r="345" spans="1:19" x14ac:dyDescent="0.25">
      <c r="A345" s="1">
        <v>333</v>
      </c>
      <c r="B345" s="1">
        <f t="shared" si="5"/>
        <v>0</v>
      </c>
      <c r="C345" s="7">
        <f>G$12/-PV(Table7[Monthly mortgage rate], (12*Table7[Amortization period (yrs)]),1 )</f>
        <v>4377.9977174134756</v>
      </c>
      <c r="D345" s="11">
        <f>IF(Table1[[#This Row],[Month]]&lt;=(12*Table7[mortgage term (yrs)]),Table7[Monthly mortgage rate],Table7[Monthly Exp Renewal Rate])</f>
        <v>4.9038466830562122E-3</v>
      </c>
      <c r="E345" s="21">
        <f>Table1[[#This Row],[Current mortgage rate]]*G344</f>
        <v>-2816.2866020180627</v>
      </c>
      <c r="F345" s="5">
        <f>Table1[[#This Row],[Payment amount]]-Table1[[#This Row],[Interest paid]]</f>
        <v>7194.2843194315383</v>
      </c>
      <c r="G345" s="20">
        <f>G344-Table1[[#This Row],[Principal repaid]]-Table1[[#This Row],[Annual paym]]</f>
        <v>-581495.80393033323</v>
      </c>
      <c r="H345" s="20">
        <f>H344-(Table1[[#This Row],[Payment amount]]-Table1[[#This Row],[Interest Paid W/O LSP]])</f>
        <v>-184789.83195627446</v>
      </c>
      <c r="I345">
        <f>H344*Table1[[#This Row],[Current mortgage rate]]</f>
        <v>-880.39465451002627</v>
      </c>
      <c r="J345" s="25">
        <f>IF(Table1[[#This Row],[Month]]&gt;Table7[Amortization period (yrs)]*12,0,IF(Table1[[#This Row],[Month]]&lt;Table7[mortgage term (yrs)]*12,0,IF(Table1[[#This Row],[Month]]=Table7[mortgage term (yrs)]*12,-H$5,Table1[[#This Row],[Payment amount]]+B345)))</f>
        <v>0</v>
      </c>
      <c r="K345">
        <v>334</v>
      </c>
      <c r="L345">
        <f>Table7[Initial Monthly Deposit]*Table9[[#This Row],[Inflation Modifier]]</f>
        <v>682.75459065644179</v>
      </c>
      <c r="M345">
        <f xml:space="preserve"> (1+Table7[Inflation])^(QUOTIENT(Table9[[#This Row],[Month]]-1,12))</f>
        <v>1.7068864766411045</v>
      </c>
      <c r="N345">
        <f>N344*(1+Table7[Monthly SF Inter])+Table9[[#This Row],[Monthly Payment]]-O344*(1+Table7[Monthly SF Inter])</f>
        <v>7519.0682777095408</v>
      </c>
      <c r="O345">
        <f>IF(MOD(Table9[[#This Row],[Month]],12)=0,(IF(Table9[[#This Row],[Current Balance]]&lt;Table9[[#This Row],[Max Lump Sum ]],Table9[[#This Row],[Current Balance]],Table9[[#This Row],[Max Lump Sum ]])),0)</f>
        <v>0</v>
      </c>
      <c r="P345" s="21">
        <f>Table7[Max annual lump sum repayment]*SUM(C346:C357)</f>
        <v>7880.3958913442566</v>
      </c>
      <c r="Q345" s="25">
        <f>Q344*(1+Table7[Monthly SF Inter])+Table9[[#This Row],[Inflation Modifier]]-R344*(1+Table7[Monthly SF Inter])</f>
        <v>17.389130946168518</v>
      </c>
      <c r="R345" s="25">
        <f>IF(MOD(Table9[[#This Row],[Month]],12)=0,Table9[[#This Row],[Q2 ACC FACTOR]],0)</f>
        <v>0</v>
      </c>
      <c r="S345" s="25">
        <f>S344*(1+D344)+Table9[[#This Row],[ACC FACTOR PAYMENTS]]</f>
        <v>997.04969334940131</v>
      </c>
    </row>
    <row r="346" spans="1:19" x14ac:dyDescent="0.25">
      <c r="A346" s="1">
        <v>334</v>
      </c>
      <c r="B346" s="1">
        <f t="shared" si="5"/>
        <v>0</v>
      </c>
      <c r="C346" s="7">
        <f>G$12/-PV(Table7[Monthly mortgage rate], (12*Table7[Amortization period (yrs)]),1 )</f>
        <v>4377.9977174134756</v>
      </c>
      <c r="D346" s="11">
        <f>IF(Table1[[#This Row],[Month]]&lt;=(12*Table7[mortgage term (yrs)]),Table7[Monthly mortgage rate],Table7[Monthly Exp Renewal Rate])</f>
        <v>4.9038466830562122E-3</v>
      </c>
      <c r="E346" s="21">
        <f>Table1[[#This Row],[Current mortgage rate]]*G345</f>
        <v>-2851.5662693148702</v>
      </c>
      <c r="F346" s="5">
        <f>Table1[[#This Row],[Payment amount]]-Table1[[#This Row],[Interest paid]]</f>
        <v>7229.5639867283462</v>
      </c>
      <c r="G346" s="20">
        <f>G345-Table1[[#This Row],[Principal repaid]]-Table1[[#This Row],[Annual paym]]</f>
        <v>-588725.36791706155</v>
      </c>
      <c r="H346" s="20">
        <f>H345-(Table1[[#This Row],[Payment amount]]-Table1[[#This Row],[Interest Paid W/O LSP]])</f>
        <v>-190074.01067818922</v>
      </c>
      <c r="I346">
        <f>H345*Table1[[#This Row],[Current mortgage rate]]</f>
        <v>-906.18100450129134</v>
      </c>
      <c r="J346" s="25">
        <f>IF(Table1[[#This Row],[Month]]&gt;Table7[Amortization period (yrs)]*12,0,IF(Table1[[#This Row],[Month]]&lt;Table7[mortgage term (yrs)]*12,0,IF(Table1[[#This Row],[Month]]=Table7[mortgage term (yrs)]*12,-H$5,Table1[[#This Row],[Payment amount]]+B346)))</f>
        <v>0</v>
      </c>
      <c r="K346">
        <v>335</v>
      </c>
      <c r="L346">
        <f>Table7[Initial Monthly Deposit]*Table9[[#This Row],[Inflation Modifier]]</f>
        <v>682.75459065644179</v>
      </c>
      <c r="M346">
        <f xml:space="preserve"> (1+Table7[Inflation])^(QUOTIENT(Table9[[#This Row],[Month]]-1,12))</f>
        <v>1.7068864766411045</v>
      </c>
      <c r="N346">
        <f>N345*(1+Table7[Monthly SF Inter])+Table9[[#This Row],[Monthly Payment]]-O345*(1+Table7[Monthly SF Inter])</f>
        <v>8232.8308703199036</v>
      </c>
      <c r="O346">
        <f>IF(MOD(Table9[[#This Row],[Month]],12)=0,(IF(Table9[[#This Row],[Current Balance]]&lt;Table9[[#This Row],[Max Lump Sum ]],Table9[[#This Row],[Current Balance]],Table9[[#This Row],[Max Lump Sum ]])),0)</f>
        <v>0</v>
      </c>
      <c r="P346" s="21">
        <f>Table7[Max annual lump sum repayment]*SUM(C347:C358)</f>
        <v>7880.3958913442566</v>
      </c>
      <c r="Q346" s="25">
        <f>Q345*(1+Table7[Monthly SF Inter])+Table9[[#This Row],[Inflation Modifier]]-R345*(1+Table7[Monthly SF Inter])</f>
        <v>19.167728728843947</v>
      </c>
      <c r="R346" s="25">
        <f>IF(MOD(Table9[[#This Row],[Month]],12)=0,Table9[[#This Row],[Q2 ACC FACTOR]],0)</f>
        <v>0</v>
      </c>
      <c r="S346" s="25">
        <f>S345*(1+D345)+Table9[[#This Row],[ACC FACTOR PAYMENTS]]</f>
        <v>1001.939072180975</v>
      </c>
    </row>
    <row r="347" spans="1:19" x14ac:dyDescent="0.25">
      <c r="A347" s="1">
        <v>335</v>
      </c>
      <c r="B347" s="1">
        <f t="shared" si="5"/>
        <v>0</v>
      </c>
      <c r="C347" s="7">
        <f>G$12/-PV(Table7[Monthly mortgage rate], (12*Table7[Amortization period (yrs)]),1 )</f>
        <v>4377.9977174134756</v>
      </c>
      <c r="D347" s="11">
        <f>IF(Table1[[#This Row],[Month]]&lt;=(12*Table7[mortgage term (yrs)]),Table7[Monthly mortgage rate],Table7[Monthly Exp Renewal Rate])</f>
        <v>4.9038466830562122E-3</v>
      </c>
      <c r="E347" s="21">
        <f>Table1[[#This Row],[Current mortgage rate]]*G346</f>
        <v>-2887.0189426911306</v>
      </c>
      <c r="F347" s="5">
        <f>Table1[[#This Row],[Payment amount]]-Table1[[#This Row],[Interest paid]]</f>
        <v>7265.0166601046058</v>
      </c>
      <c r="G347" s="20">
        <f>G346-Table1[[#This Row],[Principal repaid]]-Table1[[#This Row],[Annual paym]]</f>
        <v>-595990.38457716617</v>
      </c>
      <c r="H347" s="20">
        <f>H346-(Table1[[#This Row],[Payment amount]]-Table1[[#This Row],[Interest Paid W/O LSP]])</f>
        <v>-195384.10220240214</v>
      </c>
      <c r="I347">
        <f>H346*Table1[[#This Row],[Current mortgage rate]]</f>
        <v>-932.09380679942933</v>
      </c>
      <c r="J347" s="25">
        <f>IF(Table1[[#This Row],[Month]]&gt;Table7[Amortization period (yrs)]*12,0,IF(Table1[[#This Row],[Month]]&lt;Table7[mortgage term (yrs)]*12,0,IF(Table1[[#This Row],[Month]]=Table7[mortgage term (yrs)]*12,-H$5,Table1[[#This Row],[Payment amount]]+B347)))</f>
        <v>0</v>
      </c>
      <c r="K347">
        <v>336</v>
      </c>
      <c r="L347">
        <f>Table7[Initial Monthly Deposit]*Table9[[#This Row],[Inflation Modifier]]</f>
        <v>682.75459065644179</v>
      </c>
      <c r="M347">
        <f xml:space="preserve"> (1+Table7[Inflation])^(QUOTIENT(Table9[[#This Row],[Month]]-1,12))</f>
        <v>1.7068864766411045</v>
      </c>
      <c r="N347">
        <f>N346*(1+Table7[Monthly SF Inter])+Table9[[#This Row],[Monthly Payment]]-O346*(1+Table7[Monthly SF Inter])</f>
        <v>8949.5369595243737</v>
      </c>
      <c r="O347">
        <f>IF(MOD(Table9[[#This Row],[Month]],12)=0,(IF(Table9[[#This Row],[Current Balance]]&lt;Table9[[#This Row],[Max Lump Sum ]],Table9[[#This Row],[Current Balance]],Table9[[#This Row],[Max Lump Sum ]])),0)</f>
        <v>7880.3958913442566</v>
      </c>
      <c r="P347" s="21">
        <f>Table7[Max annual lump sum repayment]*SUM(C348:C359)</f>
        <v>7880.3958913442566</v>
      </c>
      <c r="Q347" s="25">
        <f>Q346*(1+Table7[Monthly SF Inter])+Table9[[#This Row],[Inflation Modifier]]-R346*(1+Table7[Monthly SF Inter])</f>
        <v>20.953661298421622</v>
      </c>
      <c r="R347" s="25">
        <f>IF(MOD(Table9[[#This Row],[Month]],12)=0,Table9[[#This Row],[Q2 ACC FACTOR]],0)</f>
        <v>20.953661298421622</v>
      </c>
      <c r="S347" s="25">
        <f>S346*(1+D346)+Table9[[#This Row],[ACC FACTOR PAYMENTS]]</f>
        <v>1027.8060890751358</v>
      </c>
    </row>
    <row r="348" spans="1:19" x14ac:dyDescent="0.25">
      <c r="A348" s="1">
        <v>336</v>
      </c>
      <c r="B348" s="1">
        <f t="shared" si="5"/>
        <v>7880.3958913442566</v>
      </c>
      <c r="C348" s="7">
        <f>G$12/-PV(Table7[Monthly mortgage rate], (12*Table7[Amortization period (yrs)]),1 )</f>
        <v>4377.9977174134756</v>
      </c>
      <c r="D348" s="11">
        <f>IF(Table1[[#This Row],[Month]]&lt;=(12*Table7[mortgage term (yrs)]),Table7[Monthly mortgage rate],Table7[Monthly Exp Renewal Rate])</f>
        <v>4.9038466830562122E-3</v>
      </c>
      <c r="E348" s="21">
        <f>Table1[[#This Row],[Current mortgage rate]]*G347</f>
        <v>-2922.6454705421324</v>
      </c>
      <c r="F348" s="5">
        <f>Table1[[#This Row],[Payment amount]]-Table1[[#This Row],[Interest paid]]</f>
        <v>7300.6431879556076</v>
      </c>
      <c r="G348" s="20">
        <f>G347-Table1[[#This Row],[Principal repaid]]-Table1[[#This Row],[Annual paym]]</f>
        <v>-611171.42365646607</v>
      </c>
      <c r="H348" s="20">
        <f>H347-(Table1[[#This Row],[Payment amount]]-Table1[[#This Row],[Interest Paid W/O LSP]])</f>
        <v>-200720.23360132278</v>
      </c>
      <c r="I348">
        <f>H347*Table1[[#This Row],[Current mortgage rate]]</f>
        <v>-958.13368150716565</v>
      </c>
      <c r="J348" s="25">
        <f>IF(Table1[[#This Row],[Month]]&gt;Table7[Amortization period (yrs)]*12,0,IF(Table1[[#This Row],[Month]]&lt;Table7[mortgage term (yrs)]*12,0,IF(Table1[[#This Row],[Month]]=Table7[mortgage term (yrs)]*12,-H$5,Table1[[#This Row],[Payment amount]]+B348)))</f>
        <v>0</v>
      </c>
      <c r="K348">
        <v>337</v>
      </c>
      <c r="L348">
        <f>Table7[Initial Monthly Deposit]*Table9[[#This Row],[Inflation Modifier]]</f>
        <v>696.40968246957073</v>
      </c>
      <c r="M348">
        <f xml:space="preserve"> (1+Table7[Inflation])^(QUOTIENT(Table9[[#This Row],[Month]]-1,12))</f>
        <v>1.7410242061739269</v>
      </c>
      <c r="N348">
        <f>N347*(1+Table7[Monthly SF Inter])+Table9[[#This Row],[Monthly Payment]]-O347*(1+Table7[Monthly SF Inter])</f>
        <v>1769.9597980351764</v>
      </c>
      <c r="O348">
        <f>IF(MOD(Table9[[#This Row],[Month]],12)=0,(IF(Table9[[#This Row],[Current Balance]]&lt;Table9[[#This Row],[Max Lump Sum ]],Table9[[#This Row],[Current Balance]],Table9[[#This Row],[Max Lump Sum ]])),0)</f>
        <v>0</v>
      </c>
      <c r="P348" s="21">
        <f>Table7[Max annual lump sum repayment]*SUM(C349:C360)</f>
        <v>7880.3958913442566</v>
      </c>
      <c r="Q348" s="25">
        <f>Q347*(1+Table7[Monthly SF Inter])+Table9[[#This Row],[Inflation Modifier]]-R347*(1+Table7[Monthly SF Inter])</f>
        <v>1.7410242061739254</v>
      </c>
      <c r="R348" s="25">
        <f>IF(MOD(Table9[[#This Row],[Month]],12)=0,Table9[[#This Row],[Q2 ACC FACTOR]],0)</f>
        <v>0</v>
      </c>
      <c r="S348" s="25">
        <f>S347*(1+D347)+Table9[[#This Row],[ACC FACTOR PAYMENTS]]</f>
        <v>1032.846292555872</v>
      </c>
    </row>
    <row r="349" spans="1:19" x14ac:dyDescent="0.25">
      <c r="A349" s="1">
        <v>337</v>
      </c>
      <c r="B349" s="1">
        <f t="shared" si="5"/>
        <v>0</v>
      </c>
      <c r="C349" s="7">
        <f>G$12/-PV(Table7[Monthly mortgage rate], (12*Table7[Amortization period (yrs)]),1 )</f>
        <v>4377.9977174134756</v>
      </c>
      <c r="D349" s="11">
        <f>IF(Table1[[#This Row],[Month]]&lt;=(12*Table7[mortgage term (yrs)]),Table7[Monthly mortgage rate],Table7[Monthly Exp Renewal Rate])</f>
        <v>4.9038466830562122E-3</v>
      </c>
      <c r="E349" s="21">
        <f>Table1[[#This Row],[Current mortgage rate]]*G348</f>
        <v>-2997.0909586765042</v>
      </c>
      <c r="F349" s="5">
        <f>Table1[[#This Row],[Payment amount]]-Table1[[#This Row],[Interest paid]]</f>
        <v>7375.0886760899793</v>
      </c>
      <c r="G349" s="20">
        <f>G348-Table1[[#This Row],[Principal repaid]]-Table1[[#This Row],[Annual paym]]</f>
        <v>-618546.51233255607</v>
      </c>
      <c r="H349" s="20">
        <f>H348-(Table1[[#This Row],[Payment amount]]-Table1[[#This Row],[Interest Paid W/O LSP]])</f>
        <v>-206082.53257050438</v>
      </c>
      <c r="I349">
        <f>H348*Table1[[#This Row],[Current mortgage rate]]</f>
        <v>-984.30125176811475</v>
      </c>
      <c r="J349" s="25">
        <f>IF(Table1[[#This Row],[Month]]&gt;Table7[Amortization period (yrs)]*12,0,IF(Table1[[#This Row],[Month]]&lt;Table7[mortgage term (yrs)]*12,0,IF(Table1[[#This Row],[Month]]=Table7[mortgage term (yrs)]*12,-H$5,Table1[[#This Row],[Payment amount]]+B349)))</f>
        <v>0</v>
      </c>
      <c r="K349">
        <v>338</v>
      </c>
      <c r="L349">
        <f>Table7[Initial Monthly Deposit]*Table9[[#This Row],[Inflation Modifier]]</f>
        <v>696.40968246957073</v>
      </c>
      <c r="M349">
        <f xml:space="preserve"> (1+Table7[Inflation])^(QUOTIENT(Table9[[#This Row],[Month]]-1,12))</f>
        <v>1.7410242061739269</v>
      </c>
      <c r="N349">
        <f>N348*(1+Table7[Monthly SF Inter])+Table9[[#This Row],[Monthly Payment]]-O348*(1+Table7[Monthly SF Inter])</f>
        <v>2473.6686450885481</v>
      </c>
      <c r="O349">
        <f>IF(MOD(Table9[[#This Row],[Month]],12)=0,(IF(Table9[[#This Row],[Current Balance]]&lt;Table9[[#This Row],[Max Lump Sum ]],Table9[[#This Row],[Current Balance]],Table9[[#This Row],[Max Lump Sum ]])),0)</f>
        <v>0</v>
      </c>
      <c r="P349" s="21">
        <f>Table7[Max annual lump sum repayment]*SUM(C350:C361)</f>
        <v>7880.3958913442566</v>
      </c>
      <c r="Q349" s="25">
        <f>Q348*(1+Table7[Monthly SF Inter])+Table9[[#This Row],[Inflation Modifier]]-R348*(1+Table7[Monthly SF Inter])</f>
        <v>3.4892282489968833</v>
      </c>
      <c r="R349" s="25">
        <f>IF(MOD(Table9[[#This Row],[Month]],12)=0,Table9[[#This Row],[Q2 ACC FACTOR]],0)</f>
        <v>0</v>
      </c>
      <c r="S349" s="25">
        <f>S348*(1+D348)+Table9[[#This Row],[ACC FACTOR PAYMENTS]]</f>
        <v>1037.911212421729</v>
      </c>
    </row>
    <row r="350" spans="1:19" x14ac:dyDescent="0.25">
      <c r="A350" s="1">
        <v>338</v>
      </c>
      <c r="B350" s="1">
        <f t="shared" si="5"/>
        <v>0</v>
      </c>
      <c r="C350" s="7">
        <f>G$12/-PV(Table7[Monthly mortgage rate], (12*Table7[Amortization period (yrs)]),1 )</f>
        <v>4377.9977174134756</v>
      </c>
      <c r="D350" s="11">
        <f>IF(Table1[[#This Row],[Month]]&lt;=(12*Table7[mortgage term (yrs)]),Table7[Monthly mortgage rate],Table7[Monthly Exp Renewal Rate])</f>
        <v>4.9038466830562122E-3</v>
      </c>
      <c r="E350" s="21">
        <f>Table1[[#This Row],[Current mortgage rate]]*G349</f>
        <v>-3033.2572628179937</v>
      </c>
      <c r="F350" s="5">
        <f>Table1[[#This Row],[Payment amount]]-Table1[[#This Row],[Interest paid]]</f>
        <v>7411.2549802314697</v>
      </c>
      <c r="G350" s="20">
        <f>G349-Table1[[#This Row],[Principal repaid]]-Table1[[#This Row],[Annual paym]]</f>
        <v>-625957.76731278759</v>
      </c>
      <c r="H350" s="20">
        <f>H349-(Table1[[#This Row],[Payment amount]]-Table1[[#This Row],[Interest Paid W/O LSP]])</f>
        <v>-211471.12743169954</v>
      </c>
      <c r="I350">
        <f>H349*Table1[[#This Row],[Current mortgage rate]]</f>
        <v>-1010.5971437816917</v>
      </c>
      <c r="J350" s="25">
        <f>IF(Table1[[#This Row],[Month]]&gt;Table7[Amortization period (yrs)]*12,0,IF(Table1[[#This Row],[Month]]&lt;Table7[mortgage term (yrs)]*12,0,IF(Table1[[#This Row],[Month]]=Table7[mortgage term (yrs)]*12,-H$5,Table1[[#This Row],[Payment amount]]+B350)))</f>
        <v>0</v>
      </c>
      <c r="K350">
        <v>339</v>
      </c>
      <c r="L350">
        <f>Table7[Initial Monthly Deposit]*Table9[[#This Row],[Inflation Modifier]]</f>
        <v>696.40968246957073</v>
      </c>
      <c r="M350">
        <f xml:space="preserve"> (1+Table7[Inflation])^(QUOTIENT(Table9[[#This Row],[Month]]-1,12))</f>
        <v>1.7410242061739269</v>
      </c>
      <c r="N350">
        <f>N349*(1+Table7[Monthly SF Inter])+Table9[[#This Row],[Monthly Payment]]-O349*(1+Table7[Monthly SF Inter])</f>
        <v>3180.2795279392421</v>
      </c>
      <c r="O350">
        <f>IF(MOD(Table9[[#This Row],[Month]],12)=0,(IF(Table9[[#This Row],[Current Balance]]&lt;Table9[[#This Row],[Max Lump Sum ]],Table9[[#This Row],[Current Balance]],Table9[[#This Row],[Max Lump Sum ]])),0)</f>
        <v>0</v>
      </c>
      <c r="P350" s="21">
        <f>Table7[Max annual lump sum repayment]*SUM(C351:C362)</f>
        <v>7880.3958913442566</v>
      </c>
      <c r="Q350" s="25">
        <f>Q349*(1+Table7[Monthly SF Inter])+Table9[[#This Row],[Inflation Modifier]]-R349*(1+Table7[Monthly SF Inter])</f>
        <v>5.2446417375082666</v>
      </c>
      <c r="R350" s="25">
        <f>IF(MOD(Table9[[#This Row],[Month]],12)=0,Table9[[#This Row],[Q2 ACC FACTOR]],0)</f>
        <v>0</v>
      </c>
      <c r="S350" s="25">
        <f>S349*(1+D349)+Table9[[#This Row],[ACC FACTOR PAYMENTS]]</f>
        <v>1043.0009698780702</v>
      </c>
    </row>
    <row r="351" spans="1:19" x14ac:dyDescent="0.25">
      <c r="A351" s="1">
        <v>339</v>
      </c>
      <c r="B351" s="1">
        <f t="shared" si="5"/>
        <v>0</v>
      </c>
      <c r="C351" s="7">
        <f>G$12/-PV(Table7[Monthly mortgage rate], (12*Table7[Amortization period (yrs)]),1 )</f>
        <v>4377.9977174134756</v>
      </c>
      <c r="D351" s="11">
        <f>IF(Table1[[#This Row],[Month]]&lt;=(12*Table7[mortgage term (yrs)]),Table7[Monthly mortgage rate],Table7[Monthly Exp Renewal Rate])</f>
        <v>4.9038466830562122E-3</v>
      </c>
      <c r="E351" s="21">
        <f>Table1[[#This Row],[Current mortgage rate]]*G350</f>
        <v>-3069.6009209700856</v>
      </c>
      <c r="F351" s="5">
        <f>Table1[[#This Row],[Payment amount]]-Table1[[#This Row],[Interest paid]]</f>
        <v>7447.5986383835607</v>
      </c>
      <c r="G351" s="20">
        <f>G350-Table1[[#This Row],[Principal repaid]]-Table1[[#This Row],[Annual paym]]</f>
        <v>-633405.36595117114</v>
      </c>
      <c r="H351" s="20">
        <f>H350-(Table1[[#This Row],[Payment amount]]-Table1[[#This Row],[Interest Paid W/O LSP]])</f>
        <v>-216886.14713593113</v>
      </c>
      <c r="I351">
        <f>H350*Table1[[#This Row],[Current mortgage rate]]</f>
        <v>-1037.0219868180973</v>
      </c>
      <c r="J351" s="25">
        <f>IF(Table1[[#This Row],[Month]]&gt;Table7[Amortization period (yrs)]*12,0,IF(Table1[[#This Row],[Month]]&lt;Table7[mortgage term (yrs)]*12,0,IF(Table1[[#This Row],[Month]]=Table7[mortgage term (yrs)]*12,-H$5,Table1[[#This Row],[Payment amount]]+B351)))</f>
        <v>0</v>
      </c>
      <c r="K351">
        <v>340</v>
      </c>
      <c r="L351">
        <f>Table7[Initial Monthly Deposit]*Table9[[#This Row],[Inflation Modifier]]</f>
        <v>696.40968246957073</v>
      </c>
      <c r="M351">
        <f xml:space="preserve"> (1+Table7[Inflation])^(QUOTIENT(Table9[[#This Row],[Month]]-1,12))</f>
        <v>1.7410242061739269</v>
      </c>
      <c r="N351">
        <f>N350*(1+Table7[Monthly SF Inter])+Table9[[#This Row],[Monthly Payment]]-O350*(1+Table7[Monthly SF Inter])</f>
        <v>3889.8044143375632</v>
      </c>
      <c r="O351">
        <f>IF(MOD(Table9[[#This Row],[Month]],12)=0,(IF(Table9[[#This Row],[Current Balance]]&lt;Table9[[#This Row],[Max Lump Sum ]],Table9[[#This Row],[Current Balance]],Table9[[#This Row],[Max Lump Sum ]])),0)</f>
        <v>0</v>
      </c>
      <c r="P351" s="21">
        <f>Table7[Max annual lump sum repayment]*SUM(C352:C363)</f>
        <v>7880.3958913442566</v>
      </c>
      <c r="Q351" s="25">
        <f>Q350*(1+Table7[Monthly SF Inter])+Table9[[#This Row],[Inflation Modifier]]-R350*(1+Table7[Monthly SF Inter])</f>
        <v>7.0072944028526454</v>
      </c>
      <c r="R351" s="25">
        <f>IF(MOD(Table9[[#This Row],[Month]],12)=0,Table9[[#This Row],[Q2 ACC FACTOR]],0)</f>
        <v>0</v>
      </c>
      <c r="S351" s="25">
        <f>S350*(1+D350)+Table9[[#This Row],[ACC FACTOR PAYMENTS]]</f>
        <v>1048.1156867246311</v>
      </c>
    </row>
    <row r="352" spans="1:19" x14ac:dyDescent="0.25">
      <c r="A352" s="1">
        <v>340</v>
      </c>
      <c r="B352" s="1">
        <f t="shared" si="5"/>
        <v>0</v>
      </c>
      <c r="C352" s="7">
        <f>G$12/-PV(Table7[Monthly mortgage rate], (12*Table7[Amortization period (yrs)]),1 )</f>
        <v>4377.9977174134756</v>
      </c>
      <c r="D352" s="11">
        <f>IF(Table1[[#This Row],[Month]]&lt;=(12*Table7[mortgage term (yrs)]),Table7[Monthly mortgage rate],Table7[Monthly Exp Renewal Rate])</f>
        <v>4.9038466830562122E-3</v>
      </c>
      <c r="E352" s="21">
        <f>Table1[[#This Row],[Current mortgage rate]]*G351</f>
        <v>-3106.1228028496566</v>
      </c>
      <c r="F352" s="5">
        <f>Table1[[#This Row],[Payment amount]]-Table1[[#This Row],[Interest paid]]</f>
        <v>7484.1205202631318</v>
      </c>
      <c r="G352" s="20">
        <f>G351-Table1[[#This Row],[Principal repaid]]-Table1[[#This Row],[Annual paym]]</f>
        <v>-640889.48647143424</v>
      </c>
      <c r="H352" s="20">
        <f>H351-(Table1[[#This Row],[Payment amount]]-Table1[[#This Row],[Interest Paid W/O LSP]])</f>
        <v>-222327.72126657798</v>
      </c>
      <c r="I352">
        <f>H351*Table1[[#This Row],[Current mortgage rate]]</f>
        <v>-1063.5764132333775</v>
      </c>
      <c r="J352" s="25">
        <f>IF(Table1[[#This Row],[Month]]&gt;Table7[Amortization period (yrs)]*12,0,IF(Table1[[#This Row],[Month]]&lt;Table7[mortgage term (yrs)]*12,0,IF(Table1[[#This Row],[Month]]=Table7[mortgage term (yrs)]*12,-H$5,Table1[[#This Row],[Payment amount]]+B352)))</f>
        <v>0</v>
      </c>
      <c r="K352">
        <v>341</v>
      </c>
      <c r="L352">
        <f>Table7[Initial Monthly Deposit]*Table9[[#This Row],[Inflation Modifier]]</f>
        <v>696.40968246957073</v>
      </c>
      <c r="M352">
        <f xml:space="preserve"> (1+Table7[Inflation])^(QUOTIENT(Table9[[#This Row],[Month]]-1,12))</f>
        <v>1.7410242061739269</v>
      </c>
      <c r="N352">
        <f>N351*(1+Table7[Monthly SF Inter])+Table9[[#This Row],[Monthly Payment]]-O351*(1+Table7[Monthly SF Inter])</f>
        <v>4602.2553213878073</v>
      </c>
      <c r="O352">
        <f>IF(MOD(Table9[[#This Row],[Month]],12)=0,(IF(Table9[[#This Row],[Current Balance]]&lt;Table9[[#This Row],[Max Lump Sum ]],Table9[[#This Row],[Current Balance]],Table9[[#This Row],[Max Lump Sum ]])),0)</f>
        <v>0</v>
      </c>
      <c r="P352" s="21">
        <f>Table7[Max annual lump sum repayment]*SUM(C353:C364)</f>
        <v>7880.3958913442566</v>
      </c>
      <c r="Q352" s="25">
        <f>Q351*(1+Table7[Monthly SF Inter])+Table9[[#This Row],[Inflation Modifier]]-R351*(1+Table7[Monthly SF Inter])</f>
        <v>8.777216098783315</v>
      </c>
      <c r="R352" s="25">
        <f>IF(MOD(Table9[[#This Row],[Month]],12)=0,Table9[[#This Row],[Q2 ACC FACTOR]],0)</f>
        <v>0</v>
      </c>
      <c r="S352" s="25">
        <f>S351*(1+D351)+Table9[[#This Row],[ACC FACTOR PAYMENTS]]</f>
        <v>1053.255485358435</v>
      </c>
    </row>
    <row r="353" spans="1:19" x14ac:dyDescent="0.25">
      <c r="A353" s="1">
        <v>341</v>
      </c>
      <c r="B353" s="1">
        <f t="shared" si="5"/>
        <v>0</v>
      </c>
      <c r="C353" s="7">
        <f>G$12/-PV(Table7[Monthly mortgage rate], (12*Table7[Amortization period (yrs)]),1 )</f>
        <v>4377.9977174134756</v>
      </c>
      <c r="D353" s="11">
        <f>IF(Table1[[#This Row],[Month]]&lt;=(12*Table7[mortgage term (yrs)]),Table7[Monthly mortgage rate],Table7[Monthly Exp Renewal Rate])</f>
        <v>4.9038466830562122E-3</v>
      </c>
      <c r="E353" s="21">
        <f>Table1[[#This Row],[Current mortgage rate]]*G352</f>
        <v>-3142.8237824385419</v>
      </c>
      <c r="F353" s="5">
        <f>Table1[[#This Row],[Payment amount]]-Table1[[#This Row],[Interest paid]]</f>
        <v>7520.821499852018</v>
      </c>
      <c r="G353" s="20">
        <f>G352-Table1[[#This Row],[Principal repaid]]-Table1[[#This Row],[Annual paym]]</f>
        <v>-648410.30797128624</v>
      </c>
      <c r="H353" s="20">
        <f>H352-(Table1[[#This Row],[Payment amount]]-Table1[[#This Row],[Interest Paid W/O LSP]])</f>
        <v>-227795.980042476</v>
      </c>
      <c r="I353">
        <f>H352*Table1[[#This Row],[Current mortgage rate]]</f>
        <v>-1090.2610584845545</v>
      </c>
      <c r="J353" s="25">
        <f>IF(Table1[[#This Row],[Month]]&gt;Table7[Amortization period (yrs)]*12,0,IF(Table1[[#This Row],[Month]]&lt;Table7[mortgage term (yrs)]*12,0,IF(Table1[[#This Row],[Month]]=Table7[mortgage term (yrs)]*12,-H$5,Table1[[#This Row],[Payment amount]]+B353)))</f>
        <v>0</v>
      </c>
      <c r="K353">
        <v>342</v>
      </c>
      <c r="L353">
        <f>Table7[Initial Monthly Deposit]*Table9[[#This Row],[Inflation Modifier]]</f>
        <v>696.40968246957073</v>
      </c>
      <c r="M353">
        <f xml:space="preserve"> (1+Table7[Inflation])^(QUOTIENT(Table9[[#This Row],[Month]]-1,12))</f>
        <v>1.7410242061739269</v>
      </c>
      <c r="N353">
        <f>N352*(1+Table7[Monthly SF Inter])+Table9[[#This Row],[Monthly Payment]]-O352*(1+Table7[Monthly SF Inter])</f>
        <v>5317.6443157517915</v>
      </c>
      <c r="O353">
        <f>IF(MOD(Table9[[#This Row],[Month]],12)=0,(IF(Table9[[#This Row],[Current Balance]]&lt;Table9[[#This Row],[Max Lump Sum ]],Table9[[#This Row],[Current Balance]],Table9[[#This Row],[Max Lump Sum ]])),0)</f>
        <v>0</v>
      </c>
      <c r="P353" s="21">
        <f>Table7[Max annual lump sum repayment]*SUM(C354:C365)</f>
        <v>7880.3958913442566</v>
      </c>
      <c r="Q353" s="25">
        <f>Q352*(1+Table7[Monthly SF Inter])+Table9[[#This Row],[Inflation Modifier]]-R352*(1+Table7[Monthly SF Inter])</f>
        <v>10.554436802167928</v>
      </c>
      <c r="R353" s="25">
        <f>IF(MOD(Table9[[#This Row],[Month]],12)=0,Table9[[#This Row],[Q2 ACC FACTOR]],0)</f>
        <v>0</v>
      </c>
      <c r="S353" s="25">
        <f>S352*(1+D352)+Table9[[#This Row],[ACC FACTOR PAYMENTS]]</f>
        <v>1058.4204887767207</v>
      </c>
    </row>
    <row r="354" spans="1:19" x14ac:dyDescent="0.25">
      <c r="A354" s="1">
        <v>342</v>
      </c>
      <c r="B354" s="1">
        <f t="shared" si="5"/>
        <v>0</v>
      </c>
      <c r="C354" s="7">
        <f>G$12/-PV(Table7[Monthly mortgage rate], (12*Table7[Amortization period (yrs)]),1 )</f>
        <v>4377.9977174134756</v>
      </c>
      <c r="D354" s="11">
        <f>IF(Table1[[#This Row],[Month]]&lt;=(12*Table7[mortgage term (yrs)]),Table7[Monthly mortgage rate],Table7[Monthly Exp Renewal Rate])</f>
        <v>4.9038466830562122E-3</v>
      </c>
      <c r="E354" s="21">
        <f>Table1[[#This Row],[Current mortgage rate]]*G353</f>
        <v>-3179.7047380044492</v>
      </c>
      <c r="F354" s="5">
        <f>Table1[[#This Row],[Payment amount]]-Table1[[#This Row],[Interest paid]]</f>
        <v>7557.7024554179243</v>
      </c>
      <c r="G354" s="20">
        <f>G353-Table1[[#This Row],[Principal repaid]]-Table1[[#This Row],[Annual paym]]</f>
        <v>-655968.01042670419</v>
      </c>
      <c r="H354" s="20">
        <f>H353-(Table1[[#This Row],[Payment amount]]-Table1[[#This Row],[Interest Paid W/O LSP]])</f>
        <v>-233291.05432103432</v>
      </c>
      <c r="I354">
        <f>H353*Table1[[#This Row],[Current mortgage rate]]</f>
        <v>-1117.0765611448351</v>
      </c>
      <c r="J354" s="25">
        <f>IF(Table1[[#This Row],[Month]]&gt;Table7[Amortization period (yrs)]*12,0,IF(Table1[[#This Row],[Month]]&lt;Table7[mortgage term (yrs)]*12,0,IF(Table1[[#This Row],[Month]]=Table7[mortgage term (yrs)]*12,-H$5,Table1[[#This Row],[Payment amount]]+B354)))</f>
        <v>0</v>
      </c>
      <c r="K354">
        <v>343</v>
      </c>
      <c r="L354">
        <f>Table7[Initial Monthly Deposit]*Table9[[#This Row],[Inflation Modifier]]</f>
        <v>696.40968246957073</v>
      </c>
      <c r="M354">
        <f xml:space="preserve"> (1+Table7[Inflation])^(QUOTIENT(Table9[[#This Row],[Month]]-1,12))</f>
        <v>1.7410242061739269</v>
      </c>
      <c r="N354">
        <f>N353*(1+Table7[Monthly SF Inter])+Table9[[#This Row],[Monthly Payment]]-O353*(1+Table7[Monthly SF Inter])</f>
        <v>6035.9835138532271</v>
      </c>
      <c r="O354">
        <f>IF(MOD(Table9[[#This Row],[Month]],12)=0,(IF(Table9[[#This Row],[Current Balance]]&lt;Table9[[#This Row],[Max Lump Sum ]],Table9[[#This Row],[Current Balance]],Table9[[#This Row],[Max Lump Sum ]])),0)</f>
        <v>0</v>
      </c>
      <c r="P354" s="21">
        <f>Table7[Max annual lump sum repayment]*SUM(C355:C366)</f>
        <v>7880.3958913442566</v>
      </c>
      <c r="Q354" s="25">
        <f>Q353*(1+Table7[Monthly SF Inter])+Table9[[#This Row],[Inflation Modifier]]-R353*(1+Table7[Monthly SF Inter])</f>
        <v>12.338986613496202</v>
      </c>
      <c r="R354" s="25">
        <f>IF(MOD(Table9[[#This Row],[Month]],12)=0,Table9[[#This Row],[Q2 ACC FACTOR]],0)</f>
        <v>0</v>
      </c>
      <c r="S354" s="25">
        <f>S353*(1+D353)+Table9[[#This Row],[ACC FACTOR PAYMENTS]]</f>
        <v>1063.6108205798871</v>
      </c>
    </row>
    <row r="355" spans="1:19" x14ac:dyDescent="0.25">
      <c r="A355" s="1">
        <v>343</v>
      </c>
      <c r="B355" s="1">
        <f t="shared" si="5"/>
        <v>0</v>
      </c>
      <c r="C355" s="7">
        <f>G$12/-PV(Table7[Monthly mortgage rate], (12*Table7[Amortization period (yrs)]),1 )</f>
        <v>4377.9977174134756</v>
      </c>
      <c r="D355" s="11">
        <f>IF(Table1[[#This Row],[Month]]&lt;=(12*Table7[mortgage term (yrs)]),Table7[Monthly mortgage rate],Table7[Monthly Exp Renewal Rate])</f>
        <v>4.9038466830562122E-3</v>
      </c>
      <c r="E355" s="21">
        <f>Table1[[#This Row],[Current mortgage rate]]*G354</f>
        <v>-3216.766552121976</v>
      </c>
      <c r="F355" s="5">
        <f>Table1[[#This Row],[Payment amount]]-Table1[[#This Row],[Interest paid]]</f>
        <v>7594.7642695354516</v>
      </c>
      <c r="G355" s="20">
        <f>G354-Table1[[#This Row],[Principal repaid]]-Table1[[#This Row],[Annual paym]]</f>
        <v>-663562.77469623962</v>
      </c>
      <c r="H355" s="20">
        <f>H354-(Table1[[#This Row],[Payment amount]]-Table1[[#This Row],[Interest Paid W/O LSP]])</f>
        <v>-238813.0756013667</v>
      </c>
      <c r="I355">
        <f>H354*Table1[[#This Row],[Current mortgage rate]]</f>
        <v>-1144.0235629188908</v>
      </c>
      <c r="J355" s="25">
        <f>IF(Table1[[#This Row],[Month]]&gt;Table7[Amortization period (yrs)]*12,0,IF(Table1[[#This Row],[Month]]&lt;Table7[mortgage term (yrs)]*12,0,IF(Table1[[#This Row],[Month]]=Table7[mortgage term (yrs)]*12,-H$5,Table1[[#This Row],[Payment amount]]+B355)))</f>
        <v>0</v>
      </c>
      <c r="K355">
        <v>344</v>
      </c>
      <c r="L355">
        <f>Table7[Initial Monthly Deposit]*Table9[[#This Row],[Inflation Modifier]]</f>
        <v>696.40968246957073</v>
      </c>
      <c r="M355">
        <f xml:space="preserve"> (1+Table7[Inflation])^(QUOTIENT(Table9[[#This Row],[Month]]-1,12))</f>
        <v>1.7410242061739269</v>
      </c>
      <c r="N355">
        <f>N354*(1+Table7[Monthly SF Inter])+Table9[[#This Row],[Monthly Payment]]-O354*(1+Table7[Monthly SF Inter])</f>
        <v>6757.2850820829326</v>
      </c>
      <c r="O355">
        <f>IF(MOD(Table9[[#This Row],[Month]],12)=0,(IF(Table9[[#This Row],[Current Balance]]&lt;Table9[[#This Row],[Max Lump Sum ]],Table9[[#This Row],[Current Balance]],Table9[[#This Row],[Max Lump Sum ]])),0)</f>
        <v>0</v>
      </c>
      <c r="P355" s="21">
        <f>Table7[Max annual lump sum repayment]*SUM(C356:C367)</f>
        <v>7880.3958913442566</v>
      </c>
      <c r="Q355" s="25">
        <f>Q354*(1+Table7[Monthly SF Inter])+Table9[[#This Row],[Inflation Modifier]]-R354*(1+Table7[Monthly SF Inter])</f>
        <v>14.130895757389734</v>
      </c>
      <c r="R355" s="25">
        <f>IF(MOD(Table9[[#This Row],[Month]],12)=0,Table9[[#This Row],[Q2 ACC FACTOR]],0)</f>
        <v>0</v>
      </c>
      <c r="S355" s="25">
        <f>S354*(1+D354)+Table9[[#This Row],[ACC FACTOR PAYMENTS]]</f>
        <v>1068.8266049744504</v>
      </c>
    </row>
    <row r="356" spans="1:19" x14ac:dyDescent="0.25">
      <c r="A356" s="1">
        <v>344</v>
      </c>
      <c r="B356" s="1">
        <f t="shared" si="5"/>
        <v>0</v>
      </c>
      <c r="C356" s="7">
        <f>G$12/-PV(Table7[Monthly mortgage rate], (12*Table7[Amortization period (yrs)]),1 )</f>
        <v>4377.9977174134756</v>
      </c>
      <c r="D356" s="11">
        <f>IF(Table1[[#This Row],[Month]]&lt;=(12*Table7[mortgage term (yrs)]),Table7[Monthly mortgage rate],Table7[Monthly Exp Renewal Rate])</f>
        <v>4.9038466830562122E-3</v>
      </c>
      <c r="E356" s="21">
        <f>Table1[[#This Row],[Current mortgage rate]]*G355</f>
        <v>-3254.0101116937312</v>
      </c>
      <c r="F356" s="5">
        <f>Table1[[#This Row],[Payment amount]]-Table1[[#This Row],[Interest paid]]</f>
        <v>7632.0078291072068</v>
      </c>
      <c r="G356" s="20">
        <f>G355-Table1[[#This Row],[Principal repaid]]-Table1[[#This Row],[Annual paym]]</f>
        <v>-671194.78252534685</v>
      </c>
      <c r="H356" s="20">
        <f>H355-(Table1[[#This Row],[Payment amount]]-Table1[[#This Row],[Interest Paid W/O LSP]])</f>
        <v>-244362.1760274384</v>
      </c>
      <c r="I356">
        <f>H355*Table1[[#This Row],[Current mortgage rate]]</f>
        <v>-1171.1027086582146</v>
      </c>
      <c r="J356" s="25">
        <f>IF(Table1[[#This Row],[Month]]&gt;Table7[Amortization period (yrs)]*12,0,IF(Table1[[#This Row],[Month]]&lt;Table7[mortgage term (yrs)]*12,0,IF(Table1[[#This Row],[Month]]=Table7[mortgage term (yrs)]*12,-H$5,Table1[[#This Row],[Payment amount]]+B356)))</f>
        <v>0</v>
      </c>
      <c r="K356">
        <v>345</v>
      </c>
      <c r="L356">
        <f>Table7[Initial Monthly Deposit]*Table9[[#This Row],[Inflation Modifier]]</f>
        <v>696.40968246957073</v>
      </c>
      <c r="M356">
        <f xml:space="preserve"> (1+Table7[Inflation])^(QUOTIENT(Table9[[#This Row],[Month]]-1,12))</f>
        <v>1.7410242061739269</v>
      </c>
      <c r="N356">
        <f>N355*(1+Table7[Monthly SF Inter])+Table9[[#This Row],[Monthly Payment]]-O355*(1+Table7[Monthly SF Inter])</f>
        <v>7481.5612370048939</v>
      </c>
      <c r="O356">
        <f>IF(MOD(Table9[[#This Row],[Month]],12)=0,(IF(Table9[[#This Row],[Current Balance]]&lt;Table9[[#This Row],[Max Lump Sum ]],Table9[[#This Row],[Current Balance]],Table9[[#This Row],[Max Lump Sum ]])),0)</f>
        <v>0</v>
      </c>
      <c r="P356" s="21">
        <f>Table7[Max annual lump sum repayment]*SUM(C357:C368)</f>
        <v>7880.3958913442566</v>
      </c>
      <c r="Q356" s="25">
        <f>Q355*(1+Table7[Monthly SF Inter])+Table9[[#This Row],[Inflation Modifier]]-R355*(1+Table7[Monthly SF Inter])</f>
        <v>15.930194583113902</v>
      </c>
      <c r="R356" s="25">
        <f>IF(MOD(Table9[[#This Row],[Month]],12)=0,Table9[[#This Row],[Q2 ACC FACTOR]],0)</f>
        <v>0</v>
      </c>
      <c r="S356" s="25">
        <f>S355*(1+D355)+Table9[[#This Row],[ACC FACTOR PAYMENTS]]</f>
        <v>1074.0679667760166</v>
      </c>
    </row>
    <row r="357" spans="1:19" x14ac:dyDescent="0.25">
      <c r="A357" s="1">
        <v>345</v>
      </c>
      <c r="B357" s="1">
        <f t="shared" si="5"/>
        <v>0</v>
      </c>
      <c r="C357" s="7">
        <f>G$12/-PV(Table7[Monthly mortgage rate], (12*Table7[Amortization period (yrs)]),1 )</f>
        <v>4377.9977174134756</v>
      </c>
      <c r="D357" s="11">
        <f>IF(Table1[[#This Row],[Month]]&lt;=(12*Table7[mortgage term (yrs)]),Table7[Monthly mortgage rate],Table7[Monthly Exp Renewal Rate])</f>
        <v>4.9038466830562122E-3</v>
      </c>
      <c r="E357" s="21">
        <f>Table1[[#This Row],[Current mortgage rate]]*G356</f>
        <v>-3291.4363079715577</v>
      </c>
      <c r="F357" s="5">
        <f>Table1[[#This Row],[Payment amount]]-Table1[[#This Row],[Interest paid]]</f>
        <v>7669.4340253850332</v>
      </c>
      <c r="G357" s="20">
        <f>G356-Table1[[#This Row],[Principal repaid]]-Table1[[#This Row],[Annual paym]]</f>
        <v>-678864.21655073192</v>
      </c>
      <c r="H357" s="20">
        <f>H356-(Table1[[#This Row],[Payment amount]]-Table1[[#This Row],[Interest Paid W/O LSP]])</f>
        <v>-249938.48839122843</v>
      </c>
      <c r="I357">
        <f>H356*Table1[[#This Row],[Current mortgage rate]]</f>
        <v>-1198.314646376552</v>
      </c>
      <c r="J357" s="25">
        <f>IF(Table1[[#This Row],[Month]]&gt;Table7[Amortization period (yrs)]*12,0,IF(Table1[[#This Row],[Month]]&lt;Table7[mortgage term (yrs)]*12,0,IF(Table1[[#This Row],[Month]]=Table7[mortgage term (yrs)]*12,-H$5,Table1[[#This Row],[Payment amount]]+B357)))</f>
        <v>0</v>
      </c>
      <c r="K357">
        <v>346</v>
      </c>
      <c r="L357">
        <f>Table7[Initial Monthly Deposit]*Table9[[#This Row],[Inflation Modifier]]</f>
        <v>696.40968246957073</v>
      </c>
      <c r="M357">
        <f xml:space="preserve"> (1+Table7[Inflation])^(QUOTIENT(Table9[[#This Row],[Month]]-1,12))</f>
        <v>1.7410242061739269</v>
      </c>
      <c r="N357">
        <f>N356*(1+Table7[Monthly SF Inter])+Table9[[#This Row],[Monthly Payment]]-O356*(1+Table7[Monthly SF Inter])</f>
        <v>8208.8242455631735</v>
      </c>
      <c r="O357">
        <f>IF(MOD(Table9[[#This Row],[Month]],12)=0,(IF(Table9[[#This Row],[Current Balance]]&lt;Table9[[#This Row],[Max Lump Sum ]],Table9[[#This Row],[Current Balance]],Table9[[#This Row],[Max Lump Sum ]])),0)</f>
        <v>0</v>
      </c>
      <c r="P357" s="21">
        <f>Table7[Max annual lump sum repayment]*SUM(C358:C369)</f>
        <v>7880.3958913442566</v>
      </c>
      <c r="Q357" s="25">
        <f>Q356*(1+Table7[Monthly SF Inter])+Table9[[#This Row],[Inflation Modifier]]-R356*(1+Table7[Monthly SF Inter])</f>
        <v>17.736913565091889</v>
      </c>
      <c r="R357" s="25">
        <f>IF(MOD(Table9[[#This Row],[Month]],12)=0,Table9[[#This Row],[Q2 ACC FACTOR]],0)</f>
        <v>0</v>
      </c>
      <c r="S357" s="25">
        <f>S356*(1+D356)+Table9[[#This Row],[ACC FACTOR PAYMENTS]]</f>
        <v>1079.3350314122681</v>
      </c>
    </row>
    <row r="358" spans="1:19" x14ac:dyDescent="0.25">
      <c r="A358" s="1">
        <v>346</v>
      </c>
      <c r="B358" s="1">
        <f t="shared" si="5"/>
        <v>0</v>
      </c>
      <c r="C358" s="7">
        <f>G$12/-PV(Table7[Monthly mortgage rate], (12*Table7[Amortization period (yrs)]),1 )</f>
        <v>4377.9977174134756</v>
      </c>
      <c r="D358" s="11">
        <f>IF(Table1[[#This Row],[Month]]&lt;=(12*Table7[mortgage term (yrs)]),Table7[Monthly mortgage rate],Table7[Monthly Exp Renewal Rate])</f>
        <v>4.9038466830562122E-3</v>
      </c>
      <c r="E358" s="21">
        <f>Table1[[#This Row],[Current mortgage rate]]*G357</f>
        <v>-3329.0460365778608</v>
      </c>
      <c r="F358" s="5">
        <f>Table1[[#This Row],[Payment amount]]-Table1[[#This Row],[Interest paid]]</f>
        <v>7707.0437539913364</v>
      </c>
      <c r="G358" s="20">
        <f>G357-Table1[[#This Row],[Principal repaid]]-Table1[[#This Row],[Annual paym]]</f>
        <v>-686571.26030472328</v>
      </c>
      <c r="H358" s="20">
        <f>H357-(Table1[[#This Row],[Payment amount]]-Table1[[#This Row],[Interest Paid W/O LSP]])</f>
        <v>-255542.1461359073</v>
      </c>
      <c r="I358">
        <f>H357*Table1[[#This Row],[Current mortgage rate]]</f>
        <v>-1225.6600272654091</v>
      </c>
      <c r="J358" s="25">
        <f>IF(Table1[[#This Row],[Month]]&gt;Table7[Amortization period (yrs)]*12,0,IF(Table1[[#This Row],[Month]]&lt;Table7[mortgage term (yrs)]*12,0,IF(Table1[[#This Row],[Month]]=Table7[mortgage term (yrs)]*12,-H$5,Table1[[#This Row],[Payment amount]]+B358)))</f>
        <v>0</v>
      </c>
      <c r="K358">
        <v>347</v>
      </c>
      <c r="L358">
        <f>Table7[Initial Monthly Deposit]*Table9[[#This Row],[Inflation Modifier]]</f>
        <v>696.40968246957073</v>
      </c>
      <c r="M358">
        <f xml:space="preserve"> (1+Table7[Inflation])^(QUOTIENT(Table9[[#This Row],[Month]]-1,12))</f>
        <v>1.7410242061739269</v>
      </c>
      <c r="N358">
        <f>N357*(1+Table7[Monthly SF Inter])+Table9[[#This Row],[Monthly Payment]]-O357*(1+Table7[Monthly SF Inter])</f>
        <v>8939.0864252896718</v>
      </c>
      <c r="O358">
        <f>IF(MOD(Table9[[#This Row],[Month]],12)=0,(IF(Table9[[#This Row],[Current Balance]]&lt;Table9[[#This Row],[Max Lump Sum ]],Table9[[#This Row],[Current Balance]],Table9[[#This Row],[Max Lump Sum ]])),0)</f>
        <v>0</v>
      </c>
      <c r="P358" s="21">
        <f>Table7[Max annual lump sum repayment]*SUM(C359:C370)</f>
        <v>7880.3958913442566</v>
      </c>
      <c r="Q358" s="25">
        <f>Q357*(1+Table7[Monthly SF Inter])+Table9[[#This Row],[Inflation Modifier]]-R357*(1+Table7[Monthly SF Inter])</f>
        <v>19.551083303420825</v>
      </c>
      <c r="R358" s="25">
        <f>IF(MOD(Table9[[#This Row],[Month]],12)=0,Table9[[#This Row],[Q2 ACC FACTOR]],0)</f>
        <v>0</v>
      </c>
      <c r="S358" s="25">
        <f>S357*(1+D357)+Table9[[#This Row],[ACC FACTOR PAYMENTS]]</f>
        <v>1084.6279249259655</v>
      </c>
    </row>
    <row r="359" spans="1:19" x14ac:dyDescent="0.25">
      <c r="A359" s="1">
        <v>347</v>
      </c>
      <c r="B359" s="1">
        <f t="shared" si="5"/>
        <v>0</v>
      </c>
      <c r="C359" s="7">
        <f>G$12/-PV(Table7[Monthly mortgage rate], (12*Table7[Amortization period (yrs)]),1 )</f>
        <v>4377.9977174134756</v>
      </c>
      <c r="D359" s="11">
        <f>IF(Table1[[#This Row],[Month]]&lt;=(12*Table7[mortgage term (yrs)]),Table7[Monthly mortgage rate],Table7[Monthly Exp Renewal Rate])</f>
        <v>4.9038466830562122E-3</v>
      </c>
      <c r="E359" s="21">
        <f>Table1[[#This Row],[Current mortgage rate]]*G358</f>
        <v>-3366.8401975270403</v>
      </c>
      <c r="F359" s="5">
        <f>Table1[[#This Row],[Payment amount]]-Table1[[#This Row],[Interest paid]]</f>
        <v>7744.8379149405155</v>
      </c>
      <c r="G359" s="20">
        <f>G358-Table1[[#This Row],[Principal repaid]]-Table1[[#This Row],[Annual paym]]</f>
        <v>-694316.09821966384</v>
      </c>
      <c r="H359" s="20">
        <f>H358-(Table1[[#This Row],[Payment amount]]-Table1[[#This Row],[Interest Paid W/O LSP]])</f>
        <v>-261173.28335903041</v>
      </c>
      <c r="I359">
        <f>H358*Table1[[#This Row],[Current mortgage rate]]</f>
        <v>-1253.1395057096349</v>
      </c>
      <c r="J359" s="25">
        <f>IF(Table1[[#This Row],[Month]]&gt;Table7[Amortization period (yrs)]*12,0,IF(Table1[[#This Row],[Month]]&lt;Table7[mortgage term (yrs)]*12,0,IF(Table1[[#This Row],[Month]]=Table7[mortgage term (yrs)]*12,-H$5,Table1[[#This Row],[Payment amount]]+B359)))</f>
        <v>0</v>
      </c>
      <c r="K359">
        <v>348</v>
      </c>
      <c r="L359">
        <f>Table7[Initial Monthly Deposit]*Table9[[#This Row],[Inflation Modifier]]</f>
        <v>696.40968246957073</v>
      </c>
      <c r="M359">
        <f xml:space="preserve"> (1+Table7[Inflation])^(QUOTIENT(Table9[[#This Row],[Month]]-1,12))</f>
        <v>1.7410242061739269</v>
      </c>
      <c r="N359">
        <f>N358*(1+Table7[Monthly SF Inter])+Table9[[#This Row],[Monthly Payment]]-O358*(1+Table7[Monthly SF Inter])</f>
        <v>9672.360144512757</v>
      </c>
      <c r="O359">
        <f>IF(MOD(Table9[[#This Row],[Month]],12)=0,(IF(Table9[[#This Row],[Current Balance]]&lt;Table9[[#This Row],[Max Lump Sum ]],Table9[[#This Row],[Current Balance]],Table9[[#This Row],[Max Lump Sum ]])),0)</f>
        <v>7880.3958913442566</v>
      </c>
      <c r="P359" s="21">
        <f>Table7[Max annual lump sum repayment]*SUM(C360:C371)</f>
        <v>7880.3958913442566</v>
      </c>
      <c r="Q359" s="25">
        <f>Q358*(1+Table7[Monthly SF Inter])+Table9[[#This Row],[Inflation Modifier]]-R358*(1+Table7[Monthly SF Inter])</f>
        <v>21.372734524390051</v>
      </c>
      <c r="R359" s="25">
        <f>IF(MOD(Table9[[#This Row],[Month]],12)=0,Table9[[#This Row],[Q2 ACC FACTOR]],0)</f>
        <v>21.372734524390051</v>
      </c>
      <c r="S359" s="25">
        <f>S358*(1+D358)+Table9[[#This Row],[ACC FACTOR PAYMENTS]]</f>
        <v>1111.319508502354</v>
      </c>
    </row>
    <row r="360" spans="1:19" x14ac:dyDescent="0.25">
      <c r="A360" s="1">
        <v>348</v>
      </c>
      <c r="B360" s="1">
        <f t="shared" si="5"/>
        <v>7880.3958913442566</v>
      </c>
      <c r="C360" s="7">
        <f>G$12/-PV(Table7[Monthly mortgage rate], (12*Table7[Amortization period (yrs)]),1 )</f>
        <v>4377.9977174134756</v>
      </c>
      <c r="D360" s="11">
        <f>IF(Table1[[#This Row],[Month]]&lt;=(12*Table7[mortgage term (yrs)]),Table7[Monthly mortgage rate],Table7[Monthly Exp Renewal Rate])</f>
        <v>4.9038466830562122E-3</v>
      </c>
      <c r="E360" s="21">
        <f>Table1[[#This Row],[Current mortgage rate]]*G359</f>
        <v>-3404.8196952470298</v>
      </c>
      <c r="F360" s="5">
        <f>Table1[[#This Row],[Payment amount]]-Table1[[#This Row],[Interest paid]]</f>
        <v>7782.8174126605054</v>
      </c>
      <c r="G360" s="20">
        <f>G359-Table1[[#This Row],[Principal repaid]]-Table1[[#This Row],[Annual paym]]</f>
        <v>-709979.31152366858</v>
      </c>
      <c r="H360" s="20">
        <f>H359-(Table1[[#This Row],[Payment amount]]-Table1[[#This Row],[Interest Paid W/O LSP]])</f>
        <v>-266832.03481574694</v>
      </c>
      <c r="I360">
        <f>H359*Table1[[#This Row],[Current mortgage rate]]</f>
        <v>-1280.7537393030814</v>
      </c>
      <c r="J360" s="25">
        <f>IF(Table1[[#This Row],[Month]]&gt;Table7[Amortization period (yrs)]*12,0,IF(Table1[[#This Row],[Month]]&lt;Table7[mortgage term (yrs)]*12,0,IF(Table1[[#This Row],[Month]]=Table7[mortgage term (yrs)]*12,-H$5,Table1[[#This Row],[Payment amount]]+B360)))</f>
        <v>0</v>
      </c>
      <c r="K360">
        <v>349</v>
      </c>
      <c r="L360">
        <f>Table7[Initial Monthly Deposit]*Table9[[#This Row],[Inflation Modifier]]</f>
        <v>710.33787611896207</v>
      </c>
      <c r="M360">
        <f xml:space="preserve"> (1+Table7[Inflation])^(QUOTIENT(Table9[[#This Row],[Month]]-1,12))</f>
        <v>1.7758446902974052</v>
      </c>
      <c r="N360">
        <f>N359*(1+Table7[Monthly SF Inter])+Table9[[#This Row],[Monthly Payment]]-O359*(1+Table7[Monthly SF Inter])</f>
        <v>2509.6920383840888</v>
      </c>
      <c r="O360">
        <f>IF(MOD(Table9[[#This Row],[Month]],12)=0,(IF(Table9[[#This Row],[Current Balance]]&lt;Table9[[#This Row],[Max Lump Sum ]],Table9[[#This Row],[Current Balance]],Table9[[#This Row],[Max Lump Sum ]])),0)</f>
        <v>0</v>
      </c>
      <c r="P360" s="21">
        <f>Table7[Max annual lump sum repayment]*SUM(C361:C372)</f>
        <v>7880.3958913442566</v>
      </c>
      <c r="Q360" s="25">
        <f>Q359*(1+Table7[Monthly SF Inter])+Table9[[#This Row],[Inflation Modifier]]-R359*(1+Table7[Monthly SF Inter])</f>
        <v>1.7758446902974043</v>
      </c>
      <c r="R360" s="25">
        <f>IF(MOD(Table9[[#This Row],[Month]],12)=0,Table9[[#This Row],[Q2 ACC FACTOR]],0)</f>
        <v>0</v>
      </c>
      <c r="S360" s="25">
        <f>S359*(1+D359)+Table9[[#This Row],[ACC FACTOR PAYMENTS]]</f>
        <v>1116.7692489879389</v>
      </c>
    </row>
    <row r="361" spans="1:19" x14ac:dyDescent="0.25">
      <c r="A361" s="1">
        <v>349</v>
      </c>
      <c r="B361" s="1">
        <f t="shared" si="5"/>
        <v>0</v>
      </c>
      <c r="C361" s="7">
        <f>G$12/-PV(Table7[Monthly mortgage rate], (12*Table7[Amortization period (yrs)]),1 )</f>
        <v>4377.9977174134756</v>
      </c>
      <c r="D361" s="11">
        <f>IF(Table1[[#This Row],[Month]]&lt;=(12*Table7[mortgage term (yrs)]),Table7[Monthly mortgage rate],Table7[Monthly Exp Renewal Rate])</f>
        <v>4.9038466830562122E-3</v>
      </c>
      <c r="E361" s="21">
        <f>Table1[[#This Row],[Current mortgage rate]]*G360</f>
        <v>-3481.6296918538756</v>
      </c>
      <c r="F361" s="5">
        <f>Table1[[#This Row],[Payment amount]]-Table1[[#This Row],[Interest paid]]</f>
        <v>7859.6274092673511</v>
      </c>
      <c r="G361" s="20">
        <f>G360-Table1[[#This Row],[Principal repaid]]-Table1[[#This Row],[Annual paym]]</f>
        <v>-717838.93893293594</v>
      </c>
      <c r="H361" s="20">
        <f>H360-(Table1[[#This Row],[Payment amount]]-Table1[[#This Row],[Interest Paid W/O LSP]])</f>
        <v>-272518.53592202475</v>
      </c>
      <c r="I361">
        <f>H360*Table1[[#This Row],[Current mortgage rate]]</f>
        <v>-1308.5033888643404</v>
      </c>
      <c r="J361" s="25">
        <f>IF(Table1[[#This Row],[Month]]&gt;Table7[Amortization period (yrs)]*12,0,IF(Table1[[#This Row],[Month]]&lt;Table7[mortgage term (yrs)]*12,0,IF(Table1[[#This Row],[Month]]=Table7[mortgage term (yrs)]*12,-H$5,Table1[[#This Row],[Payment amount]]+B361)))</f>
        <v>0</v>
      </c>
      <c r="K361">
        <v>350</v>
      </c>
      <c r="L361">
        <f>Table7[Initial Monthly Deposit]*Table9[[#This Row],[Inflation Modifier]]</f>
        <v>710.33787611896207</v>
      </c>
      <c r="M361">
        <f xml:space="preserve"> (1+Table7[Inflation])^(QUOTIENT(Table9[[#This Row],[Month]]-1,12))</f>
        <v>1.7758446902974052</v>
      </c>
      <c r="N361">
        <f>N360*(1+Table7[Monthly SF Inter])+Table9[[#This Row],[Monthly Payment]]-O360*(1+Table7[Monthly SF Inter])</f>
        <v>3230.3796723128921</v>
      </c>
      <c r="O361">
        <f>IF(MOD(Table9[[#This Row],[Month]],12)=0,(IF(Table9[[#This Row],[Current Balance]]&lt;Table9[[#This Row],[Max Lump Sum ]],Table9[[#This Row],[Current Balance]],Table9[[#This Row],[Max Lump Sum ]])),0)</f>
        <v>0</v>
      </c>
      <c r="P361" s="21">
        <f>Table7[Max annual lump sum repayment]*SUM(C362:C373)</f>
        <v>7880.3958913442566</v>
      </c>
      <c r="Q361" s="25">
        <f>Q360*(1+Table7[Monthly SF Inter])+Table9[[#This Row],[Inflation Modifier]]-R360*(1+Table7[Monthly SF Inter])</f>
        <v>3.5590128139768211</v>
      </c>
      <c r="R361" s="25">
        <f>IF(MOD(Table9[[#This Row],[Month]],12)=0,Table9[[#This Row],[Q2 ACC FACTOR]],0)</f>
        <v>0</v>
      </c>
      <c r="S361" s="25">
        <f>S360*(1+D360)+Table9[[#This Row],[ACC FACTOR PAYMENTS]]</f>
        <v>1122.2457141653276</v>
      </c>
    </row>
    <row r="362" spans="1:19" x14ac:dyDescent="0.25">
      <c r="A362" s="1">
        <v>350</v>
      </c>
      <c r="B362" s="1">
        <f t="shared" si="5"/>
        <v>0</v>
      </c>
      <c r="C362" s="7">
        <f>G$12/-PV(Table7[Monthly mortgage rate], (12*Table7[Amortization period (yrs)]),1 )</f>
        <v>4377.9977174134756</v>
      </c>
      <c r="D362" s="11">
        <f>IF(Table1[[#This Row],[Month]]&lt;=(12*Table7[mortgage term (yrs)]),Table7[Monthly mortgage rate],Table7[Monthly Exp Renewal Rate])</f>
        <v>4.9038466830562122E-3</v>
      </c>
      <c r="E362" s="21">
        <f>Table1[[#This Row],[Current mortgage rate]]*G361</f>
        <v>-3520.1720996548688</v>
      </c>
      <c r="F362" s="5">
        <f>Table1[[#This Row],[Payment amount]]-Table1[[#This Row],[Interest paid]]</f>
        <v>7898.1698170683449</v>
      </c>
      <c r="G362" s="20">
        <f>G361-Table1[[#This Row],[Principal repaid]]-Table1[[#This Row],[Annual paym]]</f>
        <v>-725737.10875000432</v>
      </c>
      <c r="H362" s="20">
        <f>H361-(Table1[[#This Row],[Payment amount]]-Table1[[#This Row],[Interest Paid W/O LSP]])</f>
        <v>-278232.92275789077</v>
      </c>
      <c r="I362">
        <f>H361*Table1[[#This Row],[Current mortgage rate]]</f>
        <v>-1336.3891184525562</v>
      </c>
      <c r="J362" s="25">
        <f>IF(Table1[[#This Row],[Month]]&gt;Table7[Amortization period (yrs)]*12,0,IF(Table1[[#This Row],[Month]]&lt;Table7[mortgage term (yrs)]*12,0,IF(Table1[[#This Row],[Month]]=Table7[mortgage term (yrs)]*12,-H$5,Table1[[#This Row],[Payment amount]]+B362)))</f>
        <v>0</v>
      </c>
      <c r="K362">
        <v>351</v>
      </c>
      <c r="L362">
        <f>Table7[Initial Monthly Deposit]*Table9[[#This Row],[Inflation Modifier]]</f>
        <v>710.33787611896207</v>
      </c>
      <c r="M362">
        <f xml:space="preserve"> (1+Table7[Inflation])^(QUOTIENT(Table9[[#This Row],[Month]]-1,12))</f>
        <v>1.7758446902974052</v>
      </c>
      <c r="N362">
        <f>N361*(1+Table7[Monthly SF Inter])+Table9[[#This Row],[Monthly Payment]]-O361*(1+Table7[Monthly SF Inter])</f>
        <v>3954.0393611207928</v>
      </c>
      <c r="O362">
        <f>IF(MOD(Table9[[#This Row],[Month]],12)=0,(IF(Table9[[#This Row],[Current Balance]]&lt;Table9[[#This Row],[Max Lump Sum ]],Table9[[#This Row],[Current Balance]],Table9[[#This Row],[Max Lump Sum ]])),0)</f>
        <v>0</v>
      </c>
      <c r="P362" s="21">
        <f>Table7[Max annual lump sum repayment]*SUM(C363:C374)</f>
        <v>7880.3958913442566</v>
      </c>
      <c r="Q362" s="25">
        <f>Q361*(1+Table7[Monthly SF Inter])+Table9[[#This Row],[Inflation Modifier]]-R361*(1+Table7[Monthly SF Inter])</f>
        <v>5.349534572258432</v>
      </c>
      <c r="R362" s="25">
        <f>IF(MOD(Table9[[#This Row],[Month]],12)=0,Table9[[#This Row],[Q2 ACC FACTOR]],0)</f>
        <v>0</v>
      </c>
      <c r="S362" s="25">
        <f>S361*(1+D361)+Table9[[#This Row],[ACC FACTOR PAYMENTS]]</f>
        <v>1127.7490350883113</v>
      </c>
    </row>
    <row r="363" spans="1:19" x14ac:dyDescent="0.25">
      <c r="A363" s="1">
        <v>351</v>
      </c>
      <c r="B363" s="1">
        <f t="shared" si="5"/>
        <v>0</v>
      </c>
      <c r="C363" s="7">
        <f>G$12/-PV(Table7[Monthly mortgage rate], (12*Table7[Amortization period (yrs)]),1 )</f>
        <v>4377.9977174134756</v>
      </c>
      <c r="D363" s="11">
        <f>IF(Table1[[#This Row],[Month]]&lt;=(12*Table7[mortgage term (yrs)]),Table7[Monthly mortgage rate],Table7[Monthly Exp Renewal Rate])</f>
        <v>4.9038466830562122E-3</v>
      </c>
      <c r="E363" s="21">
        <f>Table1[[#This Row],[Current mortgage rate]]*G362</f>
        <v>-3558.9035135145141</v>
      </c>
      <c r="F363" s="5">
        <f>Table1[[#This Row],[Payment amount]]-Table1[[#This Row],[Interest paid]]</f>
        <v>7936.9012309279897</v>
      </c>
      <c r="G363" s="20">
        <f>G362-Table1[[#This Row],[Principal repaid]]-Table1[[#This Row],[Annual paym]]</f>
        <v>-733674.00998093234</v>
      </c>
      <c r="H363" s="20">
        <f>H362-(Table1[[#This Row],[Payment amount]]-Table1[[#This Row],[Interest Paid W/O LSP]])</f>
        <v>-283975.33207068755</v>
      </c>
      <c r="I363">
        <f>H362*Table1[[#This Row],[Current mortgage rate]]</f>
        <v>-1364.4115953833179</v>
      </c>
      <c r="J363" s="25">
        <f>IF(Table1[[#This Row],[Month]]&gt;Table7[Amortization period (yrs)]*12,0,IF(Table1[[#This Row],[Month]]&lt;Table7[mortgage term (yrs)]*12,0,IF(Table1[[#This Row],[Month]]=Table7[mortgage term (yrs)]*12,-H$5,Table1[[#This Row],[Payment amount]]+B363)))</f>
        <v>0</v>
      </c>
      <c r="K363">
        <v>352</v>
      </c>
      <c r="L363">
        <f>Table7[Initial Monthly Deposit]*Table9[[#This Row],[Inflation Modifier]]</f>
        <v>710.33787611896207</v>
      </c>
      <c r="M363">
        <f xml:space="preserve"> (1+Table7[Inflation])^(QUOTIENT(Table9[[#This Row],[Month]]-1,12))</f>
        <v>1.7758446902974052</v>
      </c>
      <c r="N363">
        <f>N362*(1+Table7[Monthly SF Inter])+Table9[[#This Row],[Monthly Payment]]-O362*(1+Table7[Monthly SF Inter])</f>
        <v>4680.6833613108702</v>
      </c>
      <c r="O363">
        <f>IF(MOD(Table9[[#This Row],[Month]],12)=0,(IF(Table9[[#This Row],[Current Balance]]&lt;Table9[[#This Row],[Max Lump Sum ]],Table9[[#This Row],[Current Balance]],Table9[[#This Row],[Max Lump Sum ]])),0)</f>
        <v>0</v>
      </c>
      <c r="P363" s="21">
        <f>Table7[Max annual lump sum repayment]*SUM(C364:C375)</f>
        <v>7880.3958913442566</v>
      </c>
      <c r="Q363" s="25">
        <f>Q362*(1+Table7[Monthly SF Inter])+Table9[[#This Row],[Inflation Modifier]]-R362*(1+Table7[Monthly SF Inter])</f>
        <v>7.1474402909096977</v>
      </c>
      <c r="R363" s="25">
        <f>IF(MOD(Table9[[#This Row],[Month]],12)=0,Table9[[#This Row],[Q2 ACC FACTOR]],0)</f>
        <v>0</v>
      </c>
      <c r="S363" s="25">
        <f>S362*(1+D362)+Table9[[#This Row],[ACC FACTOR PAYMENTS]]</f>
        <v>1133.2793434533489</v>
      </c>
    </row>
    <row r="364" spans="1:19" x14ac:dyDescent="0.25">
      <c r="A364" s="1">
        <v>352</v>
      </c>
      <c r="B364" s="1">
        <f t="shared" si="5"/>
        <v>0</v>
      </c>
      <c r="C364" s="7">
        <f>G$12/-PV(Table7[Monthly mortgage rate], (12*Table7[Amortization period (yrs)]),1 )</f>
        <v>4377.9977174134756</v>
      </c>
      <c r="D364" s="11">
        <f>IF(Table1[[#This Row],[Month]]&lt;=(12*Table7[mortgage term (yrs)]),Table7[Monthly mortgage rate],Table7[Monthly Exp Renewal Rate])</f>
        <v>4.9038466830562122E-3</v>
      </c>
      <c r="E364" s="21">
        <f>Table1[[#This Row],[Current mortgage rate]]*G363</f>
        <v>-3597.8248602895455</v>
      </c>
      <c r="F364" s="5">
        <f>Table1[[#This Row],[Payment amount]]-Table1[[#This Row],[Interest paid]]</f>
        <v>7975.8225777030211</v>
      </c>
      <c r="G364" s="20">
        <f>G363-Table1[[#This Row],[Principal repaid]]-Table1[[#This Row],[Annual paym]]</f>
        <v>-741649.83255863539</v>
      </c>
      <c r="H364" s="20">
        <f>H363-(Table1[[#This Row],[Payment amount]]-Table1[[#This Row],[Interest Paid W/O LSP]])</f>
        <v>-289745.90127834567</v>
      </c>
      <c r="I364">
        <f>H363*Table1[[#This Row],[Current mortgage rate]]</f>
        <v>-1392.5714902446275</v>
      </c>
      <c r="J364" s="25">
        <f>IF(Table1[[#This Row],[Month]]&gt;Table7[Amortization period (yrs)]*12,0,IF(Table1[[#This Row],[Month]]&lt;Table7[mortgage term (yrs)]*12,0,IF(Table1[[#This Row],[Month]]=Table7[mortgage term (yrs)]*12,-H$5,Table1[[#This Row],[Payment amount]]+B364)))</f>
        <v>0</v>
      </c>
      <c r="K364">
        <v>353</v>
      </c>
      <c r="L364">
        <f>Table7[Initial Monthly Deposit]*Table9[[#This Row],[Inflation Modifier]]</f>
        <v>710.33787611896207</v>
      </c>
      <c r="M364">
        <f xml:space="preserve"> (1+Table7[Inflation])^(QUOTIENT(Table9[[#This Row],[Month]]-1,12))</f>
        <v>1.7758446902974052</v>
      </c>
      <c r="N364">
        <f>N363*(1+Table7[Monthly SF Inter])+Table9[[#This Row],[Monthly Payment]]-O363*(1+Table7[Monthly SF Inter])</f>
        <v>5410.3239799309858</v>
      </c>
      <c r="O364">
        <f>IF(MOD(Table9[[#This Row],[Month]],12)=0,(IF(Table9[[#This Row],[Current Balance]]&lt;Table9[[#This Row],[Max Lump Sum ]],Table9[[#This Row],[Current Balance]],Table9[[#This Row],[Max Lump Sum ]])),0)</f>
        <v>0</v>
      </c>
      <c r="P364" s="21">
        <f>Table7[Max annual lump sum repayment]*SUM(C365:C376)</f>
        <v>7880.3958913442566</v>
      </c>
      <c r="Q364" s="25">
        <f>Q363*(1+Table7[Monthly SF Inter])+Table9[[#This Row],[Inflation Modifier]]-R363*(1+Table7[Monthly SF Inter])</f>
        <v>8.952760420758981</v>
      </c>
      <c r="R364" s="25">
        <f>IF(MOD(Table9[[#This Row],[Month]],12)=0,Table9[[#This Row],[Q2 ACC FACTOR]],0)</f>
        <v>0</v>
      </c>
      <c r="S364" s="25">
        <f>S363*(1+D363)+Table9[[#This Row],[ACC FACTOR PAYMENTS]]</f>
        <v>1138.8367716027187</v>
      </c>
    </row>
    <row r="365" spans="1:19" x14ac:dyDescent="0.25">
      <c r="A365" s="1">
        <v>353</v>
      </c>
      <c r="B365" s="1">
        <f t="shared" si="5"/>
        <v>0</v>
      </c>
      <c r="C365" s="7">
        <f>G$12/-PV(Table7[Monthly mortgage rate], (12*Table7[Amortization period (yrs)]),1 )</f>
        <v>4377.9977174134756</v>
      </c>
      <c r="D365" s="11">
        <f>IF(Table1[[#This Row],[Month]]&lt;=(12*Table7[mortgage term (yrs)]),Table7[Monthly mortgage rate],Table7[Monthly Exp Renewal Rate])</f>
        <v>4.9038466830562122E-3</v>
      </c>
      <c r="E365" s="21">
        <f>Table1[[#This Row],[Current mortgage rate]]*G364</f>
        <v>-3636.9370713818594</v>
      </c>
      <c r="F365" s="5">
        <f>Table1[[#This Row],[Payment amount]]-Table1[[#This Row],[Interest paid]]</f>
        <v>8014.9347887953354</v>
      </c>
      <c r="G365" s="20">
        <f>G364-Table1[[#This Row],[Principal repaid]]-Table1[[#This Row],[Annual paym]]</f>
        <v>-749664.76734743069</v>
      </c>
      <c r="H365" s="20">
        <f>H364-(Table1[[#This Row],[Payment amount]]-Table1[[#This Row],[Interest Paid W/O LSP]])</f>
        <v>-295544.76847267209</v>
      </c>
      <c r="I365">
        <f>H364*Table1[[#This Row],[Current mortgage rate]]</f>
        <v>-1420.8694769129481</v>
      </c>
      <c r="J365" s="25">
        <f>IF(Table1[[#This Row],[Month]]&gt;Table7[Amortization period (yrs)]*12,0,IF(Table1[[#This Row],[Month]]&lt;Table7[mortgage term (yrs)]*12,0,IF(Table1[[#This Row],[Month]]=Table7[mortgage term (yrs)]*12,-H$5,Table1[[#This Row],[Payment amount]]+B365)))</f>
        <v>0</v>
      </c>
      <c r="K365">
        <v>354</v>
      </c>
      <c r="L365">
        <f>Table7[Initial Monthly Deposit]*Table9[[#This Row],[Inflation Modifier]]</f>
        <v>710.33787611896207</v>
      </c>
      <c r="M365">
        <f xml:space="preserve"> (1+Table7[Inflation])^(QUOTIENT(Table9[[#This Row],[Month]]-1,12))</f>
        <v>1.7758446902974052</v>
      </c>
      <c r="N365">
        <f>N364*(1+Table7[Monthly SF Inter])+Table9[[#This Row],[Monthly Payment]]-O364*(1+Table7[Monthly SF Inter])</f>
        <v>6142.973574782226</v>
      </c>
      <c r="O365">
        <f>IF(MOD(Table9[[#This Row],[Month]],12)=0,(IF(Table9[[#This Row],[Current Balance]]&lt;Table9[[#This Row],[Max Lump Sum ]],Table9[[#This Row],[Current Balance]],Table9[[#This Row],[Max Lump Sum ]])),0)</f>
        <v>0</v>
      </c>
      <c r="P365" s="21">
        <f>Table7[Max annual lump sum repayment]*SUM(C366:C377)</f>
        <v>7880.3958913442566</v>
      </c>
      <c r="Q365" s="25">
        <f>Q364*(1+Table7[Monthly SF Inter])+Table9[[#This Row],[Inflation Modifier]]-R364*(1+Table7[Monthly SF Inter])</f>
        <v>10.765525538211286</v>
      </c>
      <c r="R365" s="25">
        <f>IF(MOD(Table9[[#This Row],[Month]],12)=0,Table9[[#This Row],[Q2 ACC FACTOR]],0)</f>
        <v>0</v>
      </c>
      <c r="S365" s="25">
        <f>S364*(1+D364)+Table9[[#This Row],[ACC FACTOR PAYMENTS]]</f>
        <v>1144.4214525276852</v>
      </c>
    </row>
    <row r="366" spans="1:19" x14ac:dyDescent="0.25">
      <c r="A366" s="1">
        <v>354</v>
      </c>
      <c r="B366" s="1">
        <f t="shared" si="5"/>
        <v>0</v>
      </c>
      <c r="C366" s="7">
        <f>G$12/-PV(Table7[Monthly mortgage rate], (12*Table7[Amortization period (yrs)]),1 )</f>
        <v>4377.9977174134756</v>
      </c>
      <c r="D366" s="11">
        <f>IF(Table1[[#This Row],[Month]]&lt;=(12*Table7[mortgage term (yrs)]),Table7[Monthly mortgage rate],Table7[Monthly Exp Renewal Rate])</f>
        <v>4.9038466830562122E-3</v>
      </c>
      <c r="E366" s="21">
        <f>Table1[[#This Row],[Current mortgage rate]]*G365</f>
        <v>-3676.2410827608051</v>
      </c>
      <c r="F366" s="5">
        <f>Table1[[#This Row],[Payment amount]]-Table1[[#This Row],[Interest paid]]</f>
        <v>8054.2388001742802</v>
      </c>
      <c r="G366" s="20">
        <f>G365-Table1[[#This Row],[Principal repaid]]-Table1[[#This Row],[Annual paym]]</f>
        <v>-757719.00614760502</v>
      </c>
      <c r="H366" s="20">
        <f>H365-(Table1[[#This Row],[Payment amount]]-Table1[[#This Row],[Interest Paid W/O LSP]])</f>
        <v>-301372.07242265489</v>
      </c>
      <c r="I366">
        <f>H365*Table1[[#This Row],[Current mortgage rate]]</f>
        <v>-1449.3062325693293</v>
      </c>
      <c r="J366" s="25">
        <f>IF(Table1[[#This Row],[Month]]&gt;Table7[Amortization period (yrs)]*12,0,IF(Table1[[#This Row],[Month]]&lt;Table7[mortgage term (yrs)]*12,0,IF(Table1[[#This Row],[Month]]=Table7[mortgage term (yrs)]*12,-H$5,Table1[[#This Row],[Payment amount]]+B366)))</f>
        <v>0</v>
      </c>
      <c r="K366">
        <v>355</v>
      </c>
      <c r="L366">
        <f>Table7[Initial Monthly Deposit]*Table9[[#This Row],[Inflation Modifier]]</f>
        <v>710.33787611896207</v>
      </c>
      <c r="M366">
        <f xml:space="preserve"> (1+Table7[Inflation])^(QUOTIENT(Table9[[#This Row],[Month]]-1,12))</f>
        <v>1.7758446902974052</v>
      </c>
      <c r="N366">
        <f>N365*(1+Table7[Monthly SF Inter])+Table9[[#This Row],[Monthly Payment]]-O365*(1+Table7[Monthly SF Inter])</f>
        <v>6878.6445546282048</v>
      </c>
      <c r="O366">
        <f>IF(MOD(Table9[[#This Row],[Month]],12)=0,(IF(Table9[[#This Row],[Current Balance]]&lt;Table9[[#This Row],[Max Lump Sum ]],Table9[[#This Row],[Current Balance]],Table9[[#This Row],[Max Lump Sum ]])),0)</f>
        <v>0</v>
      </c>
      <c r="P366" s="21">
        <f>Table7[Max annual lump sum repayment]*SUM(C367:C378)</f>
        <v>7880.3958913442566</v>
      </c>
      <c r="Q366" s="25">
        <f>Q365*(1+Table7[Monthly SF Inter])+Table9[[#This Row],[Inflation Modifier]]-R365*(1+Table7[Monthly SF Inter])</f>
        <v>12.585766345766125</v>
      </c>
      <c r="R366" s="25">
        <f>IF(MOD(Table9[[#This Row],[Month]],12)=0,Table9[[#This Row],[Q2 ACC FACTOR]],0)</f>
        <v>0</v>
      </c>
      <c r="S366" s="25">
        <f>S365*(1+D365)+Table9[[#This Row],[ACC FACTOR PAYMENTS]]</f>
        <v>1150.0335198716814</v>
      </c>
    </row>
    <row r="367" spans="1:19" x14ac:dyDescent="0.25">
      <c r="A367" s="1">
        <v>355</v>
      </c>
      <c r="B367" s="1">
        <f t="shared" si="5"/>
        <v>0</v>
      </c>
      <c r="C367" s="7">
        <f>G$12/-PV(Table7[Monthly mortgage rate], (12*Table7[Amortization period (yrs)]),1 )</f>
        <v>4377.9977174134756</v>
      </c>
      <c r="D367" s="11">
        <f>IF(Table1[[#This Row],[Month]]&lt;=(12*Table7[mortgage term (yrs)]),Table7[Monthly mortgage rate],Table7[Monthly Exp Renewal Rate])</f>
        <v>4.9038466830562122E-3</v>
      </c>
      <c r="E367" s="21">
        <f>Table1[[#This Row],[Current mortgage rate]]*G366</f>
        <v>-3715.7378349855826</v>
      </c>
      <c r="F367" s="5">
        <f>Table1[[#This Row],[Payment amount]]-Table1[[#This Row],[Interest paid]]</f>
        <v>8093.7355523990582</v>
      </c>
      <c r="G367" s="20">
        <f>G366-Table1[[#This Row],[Principal repaid]]-Table1[[#This Row],[Annual paym]]</f>
        <v>-765812.74170000409</v>
      </c>
      <c r="H367" s="20">
        <f>H366-(Table1[[#This Row],[Payment amount]]-Table1[[#This Row],[Interest Paid W/O LSP]])</f>
        <v>-307227.95257778396</v>
      </c>
      <c r="I367">
        <f>H366*Table1[[#This Row],[Current mortgage rate]]</f>
        <v>-1477.8824377156127</v>
      </c>
      <c r="J367" s="25">
        <f>IF(Table1[[#This Row],[Month]]&gt;Table7[Amortization period (yrs)]*12,0,IF(Table1[[#This Row],[Month]]&lt;Table7[mortgage term (yrs)]*12,0,IF(Table1[[#This Row],[Month]]=Table7[mortgage term (yrs)]*12,-H$5,Table1[[#This Row],[Payment amount]]+B367)))</f>
        <v>0</v>
      </c>
      <c r="K367">
        <v>356</v>
      </c>
      <c r="L367">
        <f>Table7[Initial Monthly Deposit]*Table9[[#This Row],[Inflation Modifier]]</f>
        <v>710.33787611896207</v>
      </c>
      <c r="M367">
        <f xml:space="preserve"> (1+Table7[Inflation])^(QUOTIENT(Table9[[#This Row],[Month]]-1,12))</f>
        <v>1.7758446902974052</v>
      </c>
      <c r="N367">
        <f>N366*(1+Table7[Monthly SF Inter])+Table9[[#This Row],[Monthly Payment]]-O366*(1+Table7[Monthly SF Inter])</f>
        <v>7617.3493794052283</v>
      </c>
      <c r="O367">
        <f>IF(MOD(Table9[[#This Row],[Month]],12)=0,(IF(Table9[[#This Row],[Current Balance]]&lt;Table9[[#This Row],[Max Lump Sum ]],Table9[[#This Row],[Current Balance]],Table9[[#This Row],[Max Lump Sum ]])),0)</f>
        <v>0</v>
      </c>
      <c r="P367" s="21">
        <f>Table7[Max annual lump sum repayment]*SUM(C368:C379)</f>
        <v>7880.3958913442566</v>
      </c>
      <c r="Q367" s="25">
        <f>Q366*(1+Table7[Monthly SF Inter])+Table9[[#This Row],[Inflation Modifier]]-R366*(1+Table7[Monthly SF Inter])</f>
        <v>14.413513672537526</v>
      </c>
      <c r="R367" s="25">
        <f>IF(MOD(Table9[[#This Row],[Month]],12)=0,Table9[[#This Row],[Q2 ACC FACTOR]],0)</f>
        <v>0</v>
      </c>
      <c r="S367" s="25">
        <f>S366*(1+D366)+Table9[[#This Row],[ACC FACTOR PAYMENTS]]</f>
        <v>1155.6731079335077</v>
      </c>
    </row>
    <row r="368" spans="1:19" x14ac:dyDescent="0.25">
      <c r="A368" s="1">
        <v>356</v>
      </c>
      <c r="B368" s="1">
        <f t="shared" si="5"/>
        <v>0</v>
      </c>
      <c r="C368" s="7">
        <f>G$12/-PV(Table7[Monthly mortgage rate], (12*Table7[Amortization period (yrs)]),1 )</f>
        <v>4377.9977174134756</v>
      </c>
      <c r="D368" s="11">
        <f>IF(Table1[[#This Row],[Month]]&lt;=(12*Table7[mortgage term (yrs)]),Table7[Monthly mortgage rate],Table7[Monthly Exp Renewal Rate])</f>
        <v>4.9038466830562122E-3</v>
      </c>
      <c r="E368" s="21">
        <f>Table1[[#This Row],[Current mortgage rate]]*G367</f>
        <v>-3755.4282732277488</v>
      </c>
      <c r="F368" s="5">
        <f>Table1[[#This Row],[Payment amount]]-Table1[[#This Row],[Interest paid]]</f>
        <v>8133.4259906412244</v>
      </c>
      <c r="G368" s="20">
        <f>G367-Table1[[#This Row],[Principal repaid]]-Table1[[#This Row],[Annual paym]]</f>
        <v>-773946.16769064532</v>
      </c>
      <c r="H368" s="20">
        <f>H367-(Table1[[#This Row],[Payment amount]]-Table1[[#This Row],[Interest Paid W/O LSP]])</f>
        <v>-313112.54907138814</v>
      </c>
      <c r="I368">
        <f>H367*Table1[[#This Row],[Current mortgage rate]]</f>
        <v>-1506.5987761907172</v>
      </c>
      <c r="J368" s="25">
        <f>IF(Table1[[#This Row],[Month]]&gt;Table7[Amortization period (yrs)]*12,0,IF(Table1[[#This Row],[Month]]&lt;Table7[mortgage term (yrs)]*12,0,IF(Table1[[#This Row],[Month]]=Table7[mortgage term (yrs)]*12,-H$5,Table1[[#This Row],[Payment amount]]+B368)))</f>
        <v>0</v>
      </c>
      <c r="K368">
        <v>357</v>
      </c>
      <c r="L368">
        <f>Table7[Initial Monthly Deposit]*Table9[[#This Row],[Inflation Modifier]]</f>
        <v>710.33787611896207</v>
      </c>
      <c r="M368">
        <f xml:space="preserve"> (1+Table7[Inflation])^(QUOTIENT(Table9[[#This Row],[Month]]-1,12))</f>
        <v>1.7758446902974052</v>
      </c>
      <c r="N368">
        <f>N367*(1+Table7[Monthly SF Inter])+Table9[[#This Row],[Monthly Payment]]-O367*(1+Table7[Monthly SF Inter])</f>
        <v>8359.1005604333259</v>
      </c>
      <c r="O368">
        <f>IF(MOD(Table9[[#This Row],[Month]],12)=0,(IF(Table9[[#This Row],[Current Balance]]&lt;Table9[[#This Row],[Max Lump Sum ]],Table9[[#This Row],[Current Balance]],Table9[[#This Row],[Max Lump Sum ]])),0)</f>
        <v>0</v>
      </c>
      <c r="P368" s="21">
        <f>Table7[Max annual lump sum repayment]*SUM(C369:C380)</f>
        <v>7880.3958913442566</v>
      </c>
      <c r="Q368" s="25">
        <f>Q367*(1+Table7[Monthly SF Inter])+Table9[[#This Row],[Inflation Modifier]]-R367*(1+Table7[Monthly SF Inter])</f>
        <v>16.248798474776176</v>
      </c>
      <c r="R368" s="25">
        <f>IF(MOD(Table9[[#This Row],[Month]],12)=0,Table9[[#This Row],[Q2 ACC FACTOR]],0)</f>
        <v>0</v>
      </c>
      <c r="S368" s="25">
        <f>S367*(1+D367)+Table9[[#This Row],[ACC FACTOR PAYMENTS]]</f>
        <v>1161.3403516705448</v>
      </c>
    </row>
    <row r="369" spans="1:19" x14ac:dyDescent="0.25">
      <c r="A369" s="1">
        <v>357</v>
      </c>
      <c r="B369" s="1">
        <f t="shared" si="5"/>
        <v>0</v>
      </c>
      <c r="C369" s="7">
        <f>G$12/-PV(Table7[Monthly mortgage rate], (12*Table7[Amortization period (yrs)]),1 )</f>
        <v>4377.9977174134756</v>
      </c>
      <c r="D369" s="11">
        <f>IF(Table1[[#This Row],[Month]]&lt;=(12*Table7[mortgage term (yrs)]),Table7[Monthly mortgage rate],Table7[Monthly Exp Renewal Rate])</f>
        <v>4.9038466830562122E-3</v>
      </c>
      <c r="E369" s="21">
        <f>Table1[[#This Row],[Current mortgage rate]]*G368</f>
        <v>-3795.313347293838</v>
      </c>
      <c r="F369" s="5">
        <f>Table1[[#This Row],[Payment amount]]-Table1[[#This Row],[Interest paid]]</f>
        <v>8173.3110647073136</v>
      </c>
      <c r="G369" s="20">
        <f>G368-Table1[[#This Row],[Principal repaid]]-Table1[[#This Row],[Annual paym]]</f>
        <v>-782119.47875535267</v>
      </c>
      <c r="H369" s="20">
        <f>H368-(Table1[[#This Row],[Payment amount]]-Table1[[#This Row],[Interest Paid W/O LSP]])</f>
        <v>-319026.00272398861</v>
      </c>
      <c r="I369">
        <f>H368*Table1[[#This Row],[Current mortgage rate]]</f>
        <v>-1535.4559351870023</v>
      </c>
      <c r="J369" s="25">
        <f>IF(Table1[[#This Row],[Month]]&gt;Table7[Amortization period (yrs)]*12,0,IF(Table1[[#This Row],[Month]]&lt;Table7[mortgage term (yrs)]*12,0,IF(Table1[[#This Row],[Month]]=Table7[mortgage term (yrs)]*12,-H$5,Table1[[#This Row],[Payment amount]]+B369)))</f>
        <v>0</v>
      </c>
      <c r="K369">
        <v>358</v>
      </c>
      <c r="L369">
        <f>Table7[Initial Monthly Deposit]*Table9[[#This Row],[Inflation Modifier]]</f>
        <v>710.33787611896207</v>
      </c>
      <c r="M369">
        <f xml:space="preserve"> (1+Table7[Inflation])^(QUOTIENT(Table9[[#This Row],[Month]]-1,12))</f>
        <v>1.7758446902974052</v>
      </c>
      <c r="N369">
        <f>N368*(1+Table7[Monthly SF Inter])+Table9[[#This Row],[Monthly Payment]]-O368*(1+Table7[Monthly SF Inter])</f>
        <v>9103.9106606281548</v>
      </c>
      <c r="O369">
        <f>IF(MOD(Table9[[#This Row],[Month]],12)=0,(IF(Table9[[#This Row],[Current Balance]]&lt;Table9[[#This Row],[Max Lump Sum ]],Table9[[#This Row],[Current Balance]],Table9[[#This Row],[Max Lump Sum ]])),0)</f>
        <v>0</v>
      </c>
      <c r="P369" s="21">
        <f>Table7[Max annual lump sum repayment]*SUM(C370:C381)</f>
        <v>7880.3958913442566</v>
      </c>
      <c r="Q369" s="25">
        <f>Q368*(1+Table7[Monthly SF Inter])+Table9[[#This Row],[Inflation Modifier]]-R368*(1+Table7[Monthly SF Inter])</f>
        <v>18.091651836393723</v>
      </c>
      <c r="R369" s="25">
        <f>IF(MOD(Table9[[#This Row],[Month]],12)=0,Table9[[#This Row],[Q2 ACC FACTOR]],0)</f>
        <v>0</v>
      </c>
      <c r="S369" s="25">
        <f>S368*(1+D368)+Table9[[#This Row],[ACC FACTOR PAYMENTS]]</f>
        <v>1167.0353867019837</v>
      </c>
    </row>
    <row r="370" spans="1:19" x14ac:dyDescent="0.25">
      <c r="A370" s="1">
        <v>358</v>
      </c>
      <c r="B370" s="1">
        <f t="shared" si="5"/>
        <v>0</v>
      </c>
      <c r="C370" s="7">
        <f>G$12/-PV(Table7[Monthly mortgage rate], (12*Table7[Amortization period (yrs)]),1 )</f>
        <v>4377.9977174134756</v>
      </c>
      <c r="D370" s="11">
        <f>IF(Table1[[#This Row],[Month]]&lt;=(12*Table7[mortgage term (yrs)]),Table7[Monthly mortgage rate],Table7[Monthly Exp Renewal Rate])</f>
        <v>4.9038466830562122E-3</v>
      </c>
      <c r="E370" s="21">
        <f>Table1[[#This Row],[Current mortgage rate]]*G369</f>
        <v>-3835.3940116480899</v>
      </c>
      <c r="F370" s="5">
        <f>Table1[[#This Row],[Payment amount]]-Table1[[#This Row],[Interest paid]]</f>
        <v>8213.3917290615645</v>
      </c>
      <c r="G370" s="20">
        <f>G369-Table1[[#This Row],[Principal repaid]]-Table1[[#This Row],[Annual paym]]</f>
        <v>-790332.87048441428</v>
      </c>
      <c r="H370" s="20">
        <f>H369-(Table1[[#This Row],[Payment amount]]-Table1[[#This Row],[Interest Paid W/O LSP]])</f>
        <v>-324968.45504666882</v>
      </c>
      <c r="I370">
        <f>H369*Table1[[#This Row],[Current mortgage rate]]</f>
        <v>-1564.4546052667138</v>
      </c>
      <c r="J370" s="25">
        <f>IF(Table1[[#This Row],[Month]]&gt;Table7[Amortization period (yrs)]*12,0,IF(Table1[[#This Row],[Month]]&lt;Table7[mortgage term (yrs)]*12,0,IF(Table1[[#This Row],[Month]]=Table7[mortgage term (yrs)]*12,-H$5,Table1[[#This Row],[Payment amount]]+B370)))</f>
        <v>0</v>
      </c>
      <c r="K370">
        <v>359</v>
      </c>
      <c r="L370">
        <f>Table7[Initial Monthly Deposit]*Table9[[#This Row],[Inflation Modifier]]</f>
        <v>710.33787611896207</v>
      </c>
      <c r="M370">
        <f xml:space="preserve"> (1+Table7[Inflation])^(QUOTIENT(Table9[[#This Row],[Month]]-1,12))</f>
        <v>1.7758446902974052</v>
      </c>
      <c r="N370">
        <f>N369*(1+Table7[Monthly SF Inter])+Table9[[#This Row],[Monthly Payment]]-O369*(1+Table7[Monthly SF Inter])</f>
        <v>9851.7922947137722</v>
      </c>
      <c r="O370">
        <f>IF(MOD(Table9[[#This Row],[Month]],12)=0,(IF(Table9[[#This Row],[Current Balance]]&lt;Table9[[#This Row],[Max Lump Sum ]],Table9[[#This Row],[Current Balance]],Table9[[#This Row],[Max Lump Sum ]])),0)</f>
        <v>0</v>
      </c>
      <c r="P370" s="21">
        <f>Table7[Max annual lump sum repayment]*SUM(C371:C382)</f>
        <v>7880.3958913442566</v>
      </c>
      <c r="Q370" s="25">
        <f>Q369*(1+Table7[Monthly SF Inter])+Table9[[#This Row],[Inflation Modifier]]-R369*(1+Table7[Monthly SF Inter])</f>
        <v>19.942104969489236</v>
      </c>
      <c r="R370" s="25">
        <f>IF(MOD(Table9[[#This Row],[Month]],12)=0,Table9[[#This Row],[Q2 ACC FACTOR]],0)</f>
        <v>0</v>
      </c>
      <c r="S370" s="25">
        <f>S369*(1+D369)+Table9[[#This Row],[ACC FACTOR PAYMENTS]]</f>
        <v>1172.7583493120715</v>
      </c>
    </row>
    <row r="371" spans="1:19" x14ac:dyDescent="0.25">
      <c r="A371" s="1">
        <v>359</v>
      </c>
      <c r="B371" s="1">
        <f t="shared" si="5"/>
        <v>0</v>
      </c>
      <c r="C371" s="7">
        <f>G$12/-PV(Table7[Monthly mortgage rate], (12*Table7[Amortization period (yrs)]),1 )</f>
        <v>4377.9977174134756</v>
      </c>
      <c r="D371" s="11">
        <f>IF(Table1[[#This Row],[Month]]&lt;=(12*Table7[mortgage term (yrs)]),Table7[Monthly mortgage rate],Table7[Monthly Exp Renewal Rate])</f>
        <v>4.9038466830562122E-3</v>
      </c>
      <c r="E371" s="21">
        <f>Table1[[#This Row],[Current mortgage rate]]*G370</f>
        <v>-3875.6712254352897</v>
      </c>
      <c r="F371" s="5">
        <f>Table1[[#This Row],[Payment amount]]-Table1[[#This Row],[Interest paid]]</f>
        <v>8253.6689428487662</v>
      </c>
      <c r="G371" s="20">
        <f>G370-Table1[[#This Row],[Principal repaid]]-Table1[[#This Row],[Annual paym]]</f>
        <v>-798586.53942726308</v>
      </c>
      <c r="H371" s="20">
        <f>H370-(Table1[[#This Row],[Payment amount]]-Table1[[#This Row],[Interest Paid W/O LSP]])</f>
        <v>-330940.04824446084</v>
      </c>
      <c r="I371">
        <f>H370*Table1[[#This Row],[Current mortgage rate]]</f>
        <v>-1593.5954803785087</v>
      </c>
      <c r="J371" s="25">
        <f>IF(Table1[[#This Row],[Month]]&gt;Table7[Amortization period (yrs)]*12,0,IF(Table1[[#This Row],[Month]]&lt;Table7[mortgage term (yrs)]*12,0,IF(Table1[[#This Row],[Month]]=Table7[mortgage term (yrs)]*12,-H$5,Table1[[#This Row],[Payment amount]]+B371)))</f>
        <v>0</v>
      </c>
      <c r="K371">
        <v>360</v>
      </c>
      <c r="L371">
        <f>Table7[Initial Monthly Deposit]*Table9[[#This Row],[Inflation Modifier]]</f>
        <v>710.33787611896207</v>
      </c>
      <c r="M371">
        <f xml:space="preserve"> (1+Table7[Inflation])^(QUOTIENT(Table9[[#This Row],[Month]]-1,12))</f>
        <v>1.7758446902974052</v>
      </c>
      <c r="N371">
        <f>N370*(1+Table7[Monthly SF Inter])+Table9[[#This Row],[Monthly Payment]]-O370*(1+Table7[Monthly SF Inter])</f>
        <v>10602.758129436294</v>
      </c>
      <c r="O371">
        <f>IF(MOD(Table9[[#This Row],[Month]],12)=0,(IF(Table9[[#This Row],[Current Balance]]&lt;Table9[[#This Row],[Max Lump Sum ]],Table9[[#This Row],[Current Balance]],Table9[[#This Row],[Max Lump Sum ]])),0)</f>
        <v>7880.3958913442566</v>
      </c>
      <c r="P371" s="21">
        <f>Table7[Max annual lump sum repayment]*SUM(C372:C383)</f>
        <v>7880.3958913442566</v>
      </c>
      <c r="Q371" s="25">
        <f>Q370*(1+Table7[Monthly SF Inter])+Table9[[#This Row],[Inflation Modifier]]-R370*(1+Table7[Monthly SF Inter])</f>
        <v>21.800189214877847</v>
      </c>
      <c r="R371" s="25">
        <f>IF(MOD(Table9[[#This Row],[Month]],12)=0,Table9[[#This Row],[Q2 ACC FACTOR]],0)</f>
        <v>21.800189214877847</v>
      </c>
      <c r="S371" s="25">
        <f>S370*(1+D370)+Table9[[#This Row],[ACC FACTOR PAYMENTS]]</f>
        <v>1200.3095656682499</v>
      </c>
    </row>
    <row r="372" spans="1:19" x14ac:dyDescent="0.25">
      <c r="A372" s="1">
        <v>360</v>
      </c>
      <c r="B372" s="1">
        <f t="shared" si="5"/>
        <v>7880.3958913442566</v>
      </c>
      <c r="C372" s="7">
        <f>G$12/-PV(Table7[Monthly mortgage rate], (12*Table7[Amortization period (yrs)]),1 )</f>
        <v>4377.9977174134756</v>
      </c>
      <c r="D372" s="11">
        <f>IF(Table1[[#This Row],[Month]]&lt;=(12*Table7[mortgage term (yrs)]),Table7[Monthly mortgage rate],Table7[Monthly Exp Renewal Rate])</f>
        <v>4.9038466830562122E-3</v>
      </c>
      <c r="E372" s="21">
        <f>Table1[[#This Row],[Current mortgage rate]]*G371</f>
        <v>-3916.145952503723</v>
      </c>
      <c r="F372" s="5">
        <f>Table1[[#This Row],[Payment amount]]-Table1[[#This Row],[Interest paid]]</f>
        <v>8294.1436699171991</v>
      </c>
      <c r="G372" s="20">
        <f>G371-Table1[[#This Row],[Principal repaid]]-Table1[[#This Row],[Annual paym]]</f>
        <v>-814761.07898852462</v>
      </c>
      <c r="H372" s="20">
        <f>H371-(Table1[[#This Row],[Payment amount]]-Table1[[#This Row],[Interest Paid W/O LSP]])</f>
        <v>-336940.9252197484</v>
      </c>
      <c r="I372">
        <f>H371*Table1[[#This Row],[Current mortgage rate]]</f>
        <v>-1622.8792578740622</v>
      </c>
      <c r="J372" s="25">
        <f>IF(Table1[[#This Row],[Month]]&gt;Table7[Amortization period (yrs)]*12,0,IF(Table1[[#This Row],[Month]]&lt;Table7[mortgage term (yrs)]*12,0,IF(Table1[[#This Row],[Month]]=Table7[mortgage term (yrs)]*12,-H$5,Table1[[#This Row],[Payment amount]]+B372)))</f>
        <v>0</v>
      </c>
      <c r="K372">
        <v>361</v>
      </c>
      <c r="L372">
        <f>Table7[Initial Monthly Deposit]*Table9[[#This Row],[Inflation Modifier]]</f>
        <v>724.54463364134142</v>
      </c>
      <c r="M372">
        <f xml:space="preserve"> (1+Table7[Inflation])^(QUOTIENT(Table9[[#This Row],[Month]]-1,12))</f>
        <v>1.8113615841033535</v>
      </c>
      <c r="N372">
        <f>N371*(1+Table7[Monthly SF Inter])+Table9[[#This Row],[Monthly Payment]]-O371*(1+Table7[Monthly SF Inter])</f>
        <v>3458.1336634687696</v>
      </c>
      <c r="O372">
        <f>IF(MOD(Table9[[#This Row],[Month]],12)=0,(IF(Table9[[#This Row],[Current Balance]]&lt;Table9[[#This Row],[Max Lump Sum ]],Table9[[#This Row],[Current Balance]],Table9[[#This Row],[Max Lump Sum ]])),0)</f>
        <v>0</v>
      </c>
      <c r="P372" s="21">
        <f>Table7[Max annual lump sum repayment]*SUM(C373:C384)</f>
        <v>7880.3958913442566</v>
      </c>
      <c r="Q372" s="25">
        <f>Q371*(1+Table7[Monthly SF Inter])+Table9[[#This Row],[Inflation Modifier]]-R371*(1+Table7[Monthly SF Inter])</f>
        <v>1.8113615841033521</v>
      </c>
      <c r="R372" s="25">
        <f>IF(MOD(Table9[[#This Row],[Month]],12)=0,Table9[[#This Row],[Q2 ACC FACTOR]],0)</f>
        <v>0</v>
      </c>
      <c r="S372" s="25">
        <f>S371*(1+D371)+Table9[[#This Row],[ACC FACTOR PAYMENTS]]</f>
        <v>1206.1956997504928</v>
      </c>
    </row>
    <row r="373" spans="1:19" x14ac:dyDescent="0.25">
      <c r="A373" s="1">
        <v>361</v>
      </c>
      <c r="B373" s="1">
        <f t="shared" si="5"/>
        <v>0</v>
      </c>
      <c r="C373" s="7">
        <f>G$12/-PV(Table7[Monthly mortgage rate], (12*Table7[Amortization period (yrs)]),1 )</f>
        <v>4377.9977174134756</v>
      </c>
      <c r="D373" s="11">
        <f>IF(Table1[[#This Row],[Month]]&lt;=(12*Table7[mortgage term (yrs)]),Table7[Monthly mortgage rate],Table7[Monthly Exp Renewal Rate])</f>
        <v>4.9038466830562122E-3</v>
      </c>
      <c r="E373" s="21">
        <f>Table1[[#This Row],[Current mortgage rate]]*G372</f>
        <v>-3995.4634146811768</v>
      </c>
      <c r="F373" s="5">
        <f>Table1[[#This Row],[Payment amount]]-Table1[[#This Row],[Interest paid]]</f>
        <v>8373.4611320946533</v>
      </c>
      <c r="G373" s="20">
        <f>G372-Table1[[#This Row],[Principal repaid]]-Table1[[#This Row],[Annual paym]]</f>
        <v>-823134.54012061923</v>
      </c>
      <c r="H373" s="20">
        <f>H372-(Table1[[#This Row],[Payment amount]]-Table1[[#This Row],[Interest Paid W/O LSP]])</f>
        <v>-342971.22957568662</v>
      </c>
      <c r="I373">
        <f>H372*Table1[[#This Row],[Current mortgage rate]]</f>
        <v>-1652.3066385247544</v>
      </c>
      <c r="J373" s="25">
        <f>IF(Table1[[#This Row],[Month]]&gt;Table7[Amortization period (yrs)]*12,0,IF(Table1[[#This Row],[Month]]&lt;Table7[mortgage term (yrs)]*12,0,IF(Table1[[#This Row],[Month]]=Table7[mortgage term (yrs)]*12,-H$5,Table1[[#This Row],[Payment amount]]+B373)))</f>
        <v>0</v>
      </c>
      <c r="K373">
        <v>362</v>
      </c>
      <c r="L373">
        <f>Table7[Initial Monthly Deposit]*Table9[[#This Row],[Inflation Modifier]]</f>
        <v>724.54463364134142</v>
      </c>
      <c r="M373">
        <f xml:space="preserve"> (1+Table7[Inflation])^(QUOTIENT(Table9[[#This Row],[Month]]-1,12))</f>
        <v>1.8113615841033535</v>
      </c>
      <c r="N373">
        <f>N372*(1+Table7[Monthly SF Inter])+Table9[[#This Row],[Monthly Payment]]-O372*(1+Table7[Monthly SF Inter])</f>
        <v>4196.9393480054259</v>
      </c>
      <c r="O373">
        <f>IF(MOD(Table9[[#This Row],[Month]],12)=0,(IF(Table9[[#This Row],[Current Balance]]&lt;Table9[[#This Row],[Max Lump Sum ]],Table9[[#This Row],[Current Balance]],Table9[[#This Row],[Max Lump Sum ]])),0)</f>
        <v>0</v>
      </c>
      <c r="P373" s="21">
        <f>Table7[Max annual lump sum repayment]*SUM(C374:C385)</f>
        <v>7880.3958913442566</v>
      </c>
      <c r="Q373" s="25">
        <f>Q372*(1+Table7[Monthly SF Inter])+Table9[[#This Row],[Inflation Modifier]]-R372*(1+Table7[Monthly SF Inter])</f>
        <v>3.6301930702563574</v>
      </c>
      <c r="R373" s="25">
        <f>IF(MOD(Table9[[#This Row],[Month]],12)=0,Table9[[#This Row],[Q2 ACC FACTOR]],0)</f>
        <v>0</v>
      </c>
      <c r="S373" s="25">
        <f>S372*(1+D372)+Table9[[#This Row],[ACC FACTOR PAYMENTS]]</f>
        <v>1212.1106985318311</v>
      </c>
    </row>
    <row r="374" spans="1:19" x14ac:dyDescent="0.25">
      <c r="A374" s="1">
        <v>362</v>
      </c>
      <c r="B374" s="1">
        <f t="shared" si="5"/>
        <v>0</v>
      </c>
      <c r="C374" s="7">
        <f>G$12/-PV(Table7[Monthly mortgage rate], (12*Table7[Amortization period (yrs)]),1 )</f>
        <v>4377.9977174134756</v>
      </c>
      <c r="D374" s="11">
        <f>IF(Table1[[#This Row],[Month]]&lt;=(12*Table7[mortgage term (yrs)]),Table7[Monthly mortgage rate],Table7[Monthly Exp Renewal Rate])</f>
        <v>4.9038466830562122E-3</v>
      </c>
      <c r="E374" s="21">
        <f>Table1[[#This Row],[Current mortgage rate]]*G373</f>
        <v>-4036.5255842794991</v>
      </c>
      <c r="F374" s="5">
        <f>Table1[[#This Row],[Payment amount]]-Table1[[#This Row],[Interest paid]]</f>
        <v>8414.5233016929742</v>
      </c>
      <c r="G374" s="20">
        <f>G373-Table1[[#This Row],[Principal repaid]]-Table1[[#This Row],[Annual paym]]</f>
        <v>-831549.06342231226</v>
      </c>
      <c r="H374" s="20">
        <f>H373-(Table1[[#This Row],[Payment amount]]-Table1[[#This Row],[Interest Paid W/O LSP]])</f>
        <v>-349031.10561963852</v>
      </c>
      <c r="I374">
        <f>H373*Table1[[#This Row],[Current mortgage rate]]</f>
        <v>-1681.8783265384416</v>
      </c>
      <c r="J374" s="25">
        <f>IF(Table1[[#This Row],[Month]]&gt;Table7[Amortization period (yrs)]*12,0,IF(Table1[[#This Row],[Month]]&lt;Table7[mortgage term (yrs)]*12,0,IF(Table1[[#This Row],[Month]]=Table7[mortgage term (yrs)]*12,-H$5,Table1[[#This Row],[Payment amount]]+B374)))</f>
        <v>0</v>
      </c>
      <c r="K374">
        <v>363</v>
      </c>
      <c r="L374">
        <f>Table7[Initial Monthly Deposit]*Table9[[#This Row],[Inflation Modifier]]</f>
        <v>724.54463364134142</v>
      </c>
      <c r="M374">
        <f xml:space="preserve"> (1+Table7[Inflation])^(QUOTIENT(Table9[[#This Row],[Month]]-1,12))</f>
        <v>1.8113615841033535</v>
      </c>
      <c r="N374">
        <f>N373*(1+Table7[Monthly SF Inter])+Table9[[#This Row],[Monthly Payment]]-O373*(1+Table7[Monthly SF Inter])</f>
        <v>4938.7918047302792</v>
      </c>
      <c r="O374">
        <f>IF(MOD(Table9[[#This Row],[Month]],12)=0,(IF(Table9[[#This Row],[Current Balance]]&lt;Table9[[#This Row],[Max Lump Sum ]],Table9[[#This Row],[Current Balance]],Table9[[#This Row],[Max Lump Sum ]])),0)</f>
        <v>0</v>
      </c>
      <c r="P374" s="21">
        <f>Table7[Max annual lump sum repayment]*SUM(C375:C386)</f>
        <v>7880.3958913442566</v>
      </c>
      <c r="Q374" s="25">
        <f>Q373*(1+Table7[Monthly SF Inter])+Table9[[#This Row],[Inflation Modifier]]-R373*(1+Table7[Monthly SF Inter])</f>
        <v>5.4565252637036004</v>
      </c>
      <c r="R374" s="25">
        <f>IF(MOD(Table9[[#This Row],[Month]],12)=0,Table9[[#This Row],[Q2 ACC FACTOR]],0)</f>
        <v>0</v>
      </c>
      <c r="S374" s="25">
        <f>S373*(1+D373)+Table9[[#This Row],[ACC FACTOR PAYMENTS]]</f>
        <v>1218.0547035603233</v>
      </c>
    </row>
    <row r="375" spans="1:19" x14ac:dyDescent="0.25">
      <c r="A375" s="1">
        <v>363</v>
      </c>
      <c r="B375" s="1">
        <f t="shared" si="5"/>
        <v>0</v>
      </c>
      <c r="C375" s="7">
        <f>G$12/-PV(Table7[Monthly mortgage rate], (12*Table7[Amortization period (yrs)]),1 )</f>
        <v>4377.9977174134756</v>
      </c>
      <c r="D375" s="11">
        <f>IF(Table1[[#This Row],[Month]]&lt;=(12*Table7[mortgage term (yrs)]),Table7[Monthly mortgage rate],Table7[Monthly Exp Renewal Rate])</f>
        <v>4.9038466830562122E-3</v>
      </c>
      <c r="E375" s="21">
        <f>Table1[[#This Row],[Current mortgage rate]]*G374</f>
        <v>-4077.7891164620059</v>
      </c>
      <c r="F375" s="5">
        <f>Table1[[#This Row],[Payment amount]]-Table1[[#This Row],[Interest paid]]</f>
        <v>8455.7868338754815</v>
      </c>
      <c r="G375" s="20">
        <f>G374-Table1[[#This Row],[Principal repaid]]-Table1[[#This Row],[Annual paym]]</f>
        <v>-840004.85025618772</v>
      </c>
      <c r="H375" s="20">
        <f>H374-(Table1[[#This Row],[Payment amount]]-Table1[[#This Row],[Interest Paid W/O LSP]])</f>
        <v>-355120.69836662832</v>
      </c>
      <c r="I375">
        <f>H374*Table1[[#This Row],[Current mortgage rate]]</f>
        <v>-1711.5950295763068</v>
      </c>
      <c r="J375" s="25">
        <f>IF(Table1[[#This Row],[Month]]&gt;Table7[Amortization period (yrs)]*12,0,IF(Table1[[#This Row],[Month]]&lt;Table7[mortgage term (yrs)]*12,0,IF(Table1[[#This Row],[Month]]=Table7[mortgage term (yrs)]*12,-H$5,Table1[[#This Row],[Payment amount]]+B375)))</f>
        <v>0</v>
      </c>
      <c r="K375">
        <v>364</v>
      </c>
      <c r="L375">
        <f>Table7[Initial Monthly Deposit]*Table9[[#This Row],[Inflation Modifier]]</f>
        <v>724.54463364134142</v>
      </c>
      <c r="M375">
        <f xml:space="preserve"> (1+Table7[Inflation])^(QUOTIENT(Table9[[#This Row],[Month]]-1,12))</f>
        <v>1.8113615841033535</v>
      </c>
      <c r="N375">
        <f>N374*(1+Table7[Monthly SF Inter])+Table9[[#This Row],[Monthly Payment]]-O374*(1+Table7[Monthly SF Inter])</f>
        <v>5683.7035982742755</v>
      </c>
      <c r="O375">
        <f>IF(MOD(Table9[[#This Row],[Month]],12)=0,(IF(Table9[[#This Row],[Current Balance]]&lt;Table9[[#This Row],[Max Lump Sum ]],Table9[[#This Row],[Current Balance]],Table9[[#This Row],[Max Lump Sum ]])),0)</f>
        <v>0</v>
      </c>
      <c r="P375" s="21">
        <f>Table7[Max annual lump sum repayment]*SUM(C376:C387)</f>
        <v>7880.3958913442566</v>
      </c>
      <c r="Q375" s="25">
        <f>Q374*(1+Table7[Monthly SF Inter])+Table9[[#This Row],[Inflation Modifier]]-R374*(1+Table7[Monthly SF Inter])</f>
        <v>7.2903890967278908</v>
      </c>
      <c r="R375" s="25">
        <f>IF(MOD(Table9[[#This Row],[Month]],12)=0,Table9[[#This Row],[Q2 ACC FACTOR]],0)</f>
        <v>0</v>
      </c>
      <c r="S375" s="25">
        <f>S374*(1+D374)+Table9[[#This Row],[ACC FACTOR PAYMENTS]]</f>
        <v>1224.0278570781586</v>
      </c>
    </row>
    <row r="376" spans="1:19" x14ac:dyDescent="0.25">
      <c r="A376" s="1">
        <v>364</v>
      </c>
      <c r="B376" s="1">
        <f t="shared" si="5"/>
        <v>0</v>
      </c>
      <c r="C376" s="7">
        <f>G$12/-PV(Table7[Monthly mortgage rate], (12*Table7[Amortization period (yrs)]),1 )</f>
        <v>4377.9977174134756</v>
      </c>
      <c r="D376" s="11">
        <f>IF(Table1[[#This Row],[Month]]&lt;=(12*Table7[mortgage term (yrs)]),Table7[Monthly mortgage rate],Table7[Monthly Exp Renewal Rate])</f>
        <v>4.9038466830562122E-3</v>
      </c>
      <c r="E376" s="21">
        <f>Table1[[#This Row],[Current mortgage rate]]*G375</f>
        <v>-4119.2549986799368</v>
      </c>
      <c r="F376" s="5">
        <f>Table1[[#This Row],[Payment amount]]-Table1[[#This Row],[Interest paid]]</f>
        <v>8497.2527160934114</v>
      </c>
      <c r="G376" s="20">
        <f>G375-Table1[[#This Row],[Principal repaid]]-Table1[[#This Row],[Annual paym]]</f>
        <v>-848502.10297228117</v>
      </c>
      <c r="H376" s="20">
        <f>H375-(Table1[[#This Row],[Payment amount]]-Table1[[#This Row],[Interest Paid W/O LSP]])</f>
        <v>-361240.15354281157</v>
      </c>
      <c r="I376">
        <f>H375*Table1[[#This Row],[Current mortgage rate]]</f>
        <v>-1741.4574587697959</v>
      </c>
      <c r="J376" s="25">
        <f>IF(Table1[[#This Row],[Month]]&gt;Table7[Amortization period (yrs)]*12,0,IF(Table1[[#This Row],[Month]]&lt;Table7[mortgage term (yrs)]*12,0,IF(Table1[[#This Row],[Month]]=Table7[mortgage term (yrs)]*12,-H$5,Table1[[#This Row],[Payment amount]]+B376)))</f>
        <v>0</v>
      </c>
      <c r="K376">
        <v>365</v>
      </c>
      <c r="L376">
        <f>Table7[Initial Monthly Deposit]*Table9[[#This Row],[Inflation Modifier]]</f>
        <v>724.54463364134142</v>
      </c>
      <c r="M376">
        <f xml:space="preserve"> (1+Table7[Inflation])^(QUOTIENT(Table9[[#This Row],[Month]]-1,12))</f>
        <v>1.8113615841033535</v>
      </c>
      <c r="N376">
        <f>N375*(1+Table7[Monthly SF Inter])+Table9[[#This Row],[Monthly Payment]]-O375*(1+Table7[Monthly SF Inter])</f>
        <v>6431.6873450838366</v>
      </c>
      <c r="O376">
        <f>IF(MOD(Table9[[#This Row],[Month]],12)=0,(IF(Table9[[#This Row],[Current Balance]]&lt;Table9[[#This Row],[Max Lump Sum ]],Table9[[#This Row],[Current Balance]],Table9[[#This Row],[Max Lump Sum ]])),0)</f>
        <v>0</v>
      </c>
      <c r="P376" s="21">
        <f>Table7[Max annual lump sum repayment]*SUM(C377:C388)</f>
        <v>7880.3958913442566</v>
      </c>
      <c r="Q376" s="25">
        <f>Q375*(1+Table7[Monthly SF Inter])+Table9[[#This Row],[Inflation Modifier]]-R375*(1+Table7[Monthly SF Inter])</f>
        <v>9.1318156291741595</v>
      </c>
      <c r="R376" s="25">
        <f>IF(MOD(Table9[[#This Row],[Month]],12)=0,Table9[[#This Row],[Q2 ACC FACTOR]],0)</f>
        <v>0</v>
      </c>
      <c r="S376" s="25">
        <f>S375*(1+D375)+Table9[[#This Row],[ACC FACTOR PAYMENTS]]</f>
        <v>1230.0303020250597</v>
      </c>
    </row>
    <row r="377" spans="1:19" x14ac:dyDescent="0.25">
      <c r="A377" s="1">
        <v>365</v>
      </c>
      <c r="B377" s="1">
        <f t="shared" si="5"/>
        <v>0</v>
      </c>
      <c r="C377" s="7">
        <f>G$12/-PV(Table7[Monthly mortgage rate], (12*Table7[Amortization period (yrs)]),1 )</f>
        <v>4377.9977174134756</v>
      </c>
      <c r="D377" s="11">
        <f>IF(Table1[[#This Row],[Month]]&lt;=(12*Table7[mortgage term (yrs)]),Table7[Monthly mortgage rate],Table7[Monthly Exp Renewal Rate])</f>
        <v>4.9038466830562122E-3</v>
      </c>
      <c r="E377" s="21">
        <f>Table1[[#This Row],[Current mortgage rate]]*G376</f>
        <v>-4160.9242232268416</v>
      </c>
      <c r="F377" s="5">
        <f>Table1[[#This Row],[Payment amount]]-Table1[[#This Row],[Interest paid]]</f>
        <v>8538.9219406403172</v>
      </c>
      <c r="G377" s="20">
        <f>G376-Table1[[#This Row],[Principal repaid]]-Table1[[#This Row],[Annual paym]]</f>
        <v>-857041.02491292148</v>
      </c>
      <c r="H377" s="20">
        <f>H376-(Table1[[#This Row],[Payment amount]]-Table1[[#This Row],[Interest Paid W/O LSP]])</f>
        <v>-367389.61758896266</v>
      </c>
      <c r="I377">
        <f>H376*Table1[[#This Row],[Current mortgage rate]]</f>
        <v>-1771.4663287376334</v>
      </c>
      <c r="J377" s="25">
        <f>IF(Table1[[#This Row],[Month]]&gt;Table7[Amortization period (yrs)]*12,0,IF(Table1[[#This Row],[Month]]&lt;Table7[mortgage term (yrs)]*12,0,IF(Table1[[#This Row],[Month]]=Table7[mortgage term (yrs)]*12,-H$5,Table1[[#This Row],[Payment amount]]+B377)))</f>
        <v>0</v>
      </c>
      <c r="K377">
        <v>366</v>
      </c>
      <c r="L377">
        <f>Table7[Initial Monthly Deposit]*Table9[[#This Row],[Inflation Modifier]]</f>
        <v>724.54463364134142</v>
      </c>
      <c r="M377">
        <f xml:space="preserve"> (1+Table7[Inflation])^(QUOTIENT(Table9[[#This Row],[Month]]-1,12))</f>
        <v>1.8113615841033535</v>
      </c>
      <c r="N377">
        <f>N376*(1+Table7[Monthly SF Inter])+Table9[[#This Row],[Monthly Payment]]-O376*(1+Table7[Monthly SF Inter])</f>
        <v>7182.7557136345422</v>
      </c>
      <c r="O377">
        <f>IF(MOD(Table9[[#This Row],[Month]],12)=0,(IF(Table9[[#This Row],[Current Balance]]&lt;Table9[[#This Row],[Max Lump Sum ]],Table9[[#This Row],[Current Balance]],Table9[[#This Row],[Max Lump Sum ]])),0)</f>
        <v>0</v>
      </c>
      <c r="P377" s="21">
        <f>Table7[Max annual lump sum repayment]*SUM(C378:C389)</f>
        <v>7880.3958913442566</v>
      </c>
      <c r="Q377" s="25">
        <f>Q376*(1+Table7[Monthly SF Inter])+Table9[[#This Row],[Inflation Modifier]]-R376*(1+Table7[Monthly SF Inter])</f>
        <v>10.98083604897551</v>
      </c>
      <c r="R377" s="25">
        <f>IF(MOD(Table9[[#This Row],[Month]],12)=0,Table9[[#This Row],[Q2 ACC FACTOR]],0)</f>
        <v>0</v>
      </c>
      <c r="S377" s="25">
        <f>S376*(1+D376)+Table9[[#This Row],[ACC FACTOR PAYMENTS]]</f>
        <v>1236.0621820417039</v>
      </c>
    </row>
    <row r="378" spans="1:19" x14ac:dyDescent="0.25">
      <c r="A378" s="1">
        <v>366</v>
      </c>
      <c r="B378" s="1">
        <f t="shared" si="5"/>
        <v>0</v>
      </c>
      <c r="C378" s="7">
        <f>G$12/-PV(Table7[Monthly mortgage rate], (12*Table7[Amortization period (yrs)]),1 )</f>
        <v>4377.9977174134756</v>
      </c>
      <c r="D378" s="11">
        <f>IF(Table1[[#This Row],[Month]]&lt;=(12*Table7[mortgage term (yrs)]),Table7[Monthly mortgage rate],Table7[Monthly Exp Renewal Rate])</f>
        <v>4.9038466830562122E-3</v>
      </c>
      <c r="E378" s="21">
        <f>Table1[[#This Row],[Current mortgage rate]]*G377</f>
        <v>-4202.7977872623269</v>
      </c>
      <c r="F378" s="5">
        <f>Table1[[#This Row],[Payment amount]]-Table1[[#This Row],[Interest paid]]</f>
        <v>8580.7955046758034</v>
      </c>
      <c r="G378" s="20">
        <f>G377-Table1[[#This Row],[Principal repaid]]-Table1[[#This Row],[Annual paym]]</f>
        <v>-865621.82041759731</v>
      </c>
      <c r="H378" s="20">
        <f>H377-(Table1[[#This Row],[Payment amount]]-Table1[[#This Row],[Interest Paid W/O LSP]])</f>
        <v>-373569.23766397906</v>
      </c>
      <c r="I378">
        <f>H377*Table1[[#This Row],[Current mortgage rate]]</f>
        <v>-1801.6223576029247</v>
      </c>
      <c r="J378" s="25">
        <f>IF(Table1[[#This Row],[Month]]&gt;Table7[Amortization period (yrs)]*12,0,IF(Table1[[#This Row],[Month]]&lt;Table7[mortgage term (yrs)]*12,0,IF(Table1[[#This Row],[Month]]=Table7[mortgage term (yrs)]*12,-H$5,Table1[[#This Row],[Payment amount]]+B378)))</f>
        <v>0</v>
      </c>
      <c r="K378">
        <v>367</v>
      </c>
      <c r="L378">
        <f>Table7[Initial Monthly Deposit]*Table9[[#This Row],[Inflation Modifier]]</f>
        <v>724.54463364134142</v>
      </c>
      <c r="M378">
        <f xml:space="preserve"> (1+Table7[Inflation])^(QUOTIENT(Table9[[#This Row],[Month]]-1,12))</f>
        <v>1.8113615841033535</v>
      </c>
      <c r="N378">
        <f>N377*(1+Table7[Monthly SF Inter])+Table9[[#This Row],[Monthly Payment]]-O377*(1+Table7[Monthly SF Inter])</f>
        <v>7936.9214246456941</v>
      </c>
      <c r="O378">
        <f>IF(MOD(Table9[[#This Row],[Month]],12)=0,(IF(Table9[[#This Row],[Current Balance]]&lt;Table9[[#This Row],[Max Lump Sum ]],Table9[[#This Row],[Current Balance]],Table9[[#This Row],[Max Lump Sum ]])),0)</f>
        <v>0</v>
      </c>
      <c r="P378" s="21">
        <f>Table7[Max annual lump sum repayment]*SUM(C379:C390)</f>
        <v>7880.3958913442566</v>
      </c>
      <c r="Q378" s="25">
        <f>Q377*(1+Table7[Monthly SF Inter])+Table9[[#This Row],[Inflation Modifier]]-R377*(1+Table7[Monthly SF Inter])</f>
        <v>12.837481672681447</v>
      </c>
      <c r="R378" s="25">
        <f>IF(MOD(Table9[[#This Row],[Month]],12)=0,Table9[[#This Row],[Q2 ACC FACTOR]],0)</f>
        <v>0</v>
      </c>
      <c r="S378" s="25">
        <f>S377*(1+D377)+Table9[[#This Row],[ACC FACTOR PAYMENTS]]</f>
        <v>1242.1236414731602</v>
      </c>
    </row>
    <row r="379" spans="1:19" x14ac:dyDescent="0.25">
      <c r="A379" s="1">
        <v>367</v>
      </c>
      <c r="B379" s="1">
        <f t="shared" si="5"/>
        <v>0</v>
      </c>
      <c r="C379" s="7">
        <f>G$12/-PV(Table7[Monthly mortgage rate], (12*Table7[Amortization period (yrs)]),1 )</f>
        <v>4377.9977174134756</v>
      </c>
      <c r="D379" s="11">
        <f>IF(Table1[[#This Row],[Month]]&lt;=(12*Table7[mortgage term (yrs)]),Table7[Monthly mortgage rate],Table7[Monthly Exp Renewal Rate])</f>
        <v>4.9038466830562122E-3</v>
      </c>
      <c r="E379" s="21">
        <f>Table1[[#This Row],[Current mortgage rate]]*G378</f>
        <v>-4244.8766928359146</v>
      </c>
      <c r="F379" s="5">
        <f>Table1[[#This Row],[Payment amount]]-Table1[[#This Row],[Interest paid]]</f>
        <v>8622.8744102493911</v>
      </c>
      <c r="G379" s="20">
        <f>G378-Table1[[#This Row],[Principal repaid]]-Table1[[#This Row],[Annual paym]]</f>
        <v>-874244.69482784672</v>
      </c>
      <c r="H379" s="20">
        <f>H378-(Table1[[#This Row],[Payment amount]]-Table1[[#This Row],[Interest Paid W/O LSP]])</f>
        <v>-379779.16164840286</v>
      </c>
      <c r="I379">
        <f>H378*Table1[[#This Row],[Current mortgage rate]]</f>
        <v>-1831.9262670103415</v>
      </c>
      <c r="J379" s="25">
        <f>IF(Table1[[#This Row],[Month]]&gt;Table7[Amortization period (yrs)]*12,0,IF(Table1[[#This Row],[Month]]&lt;Table7[mortgage term (yrs)]*12,0,IF(Table1[[#This Row],[Month]]=Table7[mortgage term (yrs)]*12,-H$5,Table1[[#This Row],[Payment amount]]+B379)))</f>
        <v>0</v>
      </c>
      <c r="K379">
        <v>368</v>
      </c>
      <c r="L379">
        <f>Table7[Initial Monthly Deposit]*Table9[[#This Row],[Inflation Modifier]]</f>
        <v>724.54463364134142</v>
      </c>
      <c r="M379">
        <f xml:space="preserve"> (1+Table7[Inflation])^(QUOTIENT(Table9[[#This Row],[Month]]-1,12))</f>
        <v>1.8113615841033535</v>
      </c>
      <c r="N379">
        <f>N378*(1+Table7[Monthly SF Inter])+Table9[[#This Row],[Monthly Payment]]-O378*(1+Table7[Monthly SF Inter])</f>
        <v>8694.1972512957655</v>
      </c>
      <c r="O379">
        <f>IF(MOD(Table9[[#This Row],[Month]],12)=0,(IF(Table9[[#This Row],[Current Balance]]&lt;Table9[[#This Row],[Max Lump Sum ]],Table9[[#This Row],[Current Balance]],Table9[[#This Row],[Max Lump Sum ]])),0)</f>
        <v>0</v>
      </c>
      <c r="P379" s="21">
        <f>Table7[Max annual lump sum repayment]*SUM(C380:C391)</f>
        <v>7880.3958913442566</v>
      </c>
      <c r="Q379" s="25">
        <f>Q378*(1+Table7[Monthly SF Inter])+Table9[[#This Row],[Inflation Modifier]]-R378*(1+Table7[Monthly SF Inter])</f>
        <v>14.701783945988277</v>
      </c>
      <c r="R379" s="25">
        <f>IF(MOD(Table9[[#This Row],[Month]],12)=0,Table9[[#This Row],[Q2 ACC FACTOR]],0)</f>
        <v>0</v>
      </c>
      <c r="S379" s="25">
        <f>S378*(1+D378)+Table9[[#This Row],[ACC FACTOR PAYMENTS]]</f>
        <v>1248.214825372344</v>
      </c>
    </row>
    <row r="380" spans="1:19" x14ac:dyDescent="0.25">
      <c r="A380" s="1">
        <v>368</v>
      </c>
      <c r="B380" s="1">
        <f t="shared" si="5"/>
        <v>0</v>
      </c>
      <c r="C380" s="7">
        <f>G$12/-PV(Table7[Monthly mortgage rate], (12*Table7[Amortization period (yrs)]),1 )</f>
        <v>4377.9977174134756</v>
      </c>
      <c r="D380" s="11">
        <f>IF(Table1[[#This Row],[Month]]&lt;=(12*Table7[mortgage term (yrs)]),Table7[Monthly mortgage rate],Table7[Monthly Exp Renewal Rate])</f>
        <v>4.9038466830562122E-3</v>
      </c>
      <c r="E380" s="21">
        <f>Table1[[#This Row],[Current mortgage rate]]*G379</f>
        <v>-4287.1619469110265</v>
      </c>
      <c r="F380" s="5">
        <f>Table1[[#This Row],[Payment amount]]-Table1[[#This Row],[Interest paid]]</f>
        <v>8665.159664324503</v>
      </c>
      <c r="G380" s="20">
        <f>G379-Table1[[#This Row],[Principal repaid]]-Table1[[#This Row],[Annual paym]]</f>
        <v>-882909.8544921712</v>
      </c>
      <c r="H380" s="20">
        <f>H379-(Table1[[#This Row],[Payment amount]]-Table1[[#This Row],[Interest Paid W/O LSP]])</f>
        <v>-386019.53814795974</v>
      </c>
      <c r="I380">
        <f>H379*Table1[[#This Row],[Current mortgage rate]]</f>
        <v>-1862.3787821433893</v>
      </c>
      <c r="J380" s="25">
        <f>IF(Table1[[#This Row],[Month]]&gt;Table7[Amortization period (yrs)]*12,0,IF(Table1[[#This Row],[Month]]&lt;Table7[mortgage term (yrs)]*12,0,IF(Table1[[#This Row],[Month]]=Table7[mortgage term (yrs)]*12,-H$5,Table1[[#This Row],[Payment amount]]+B380)))</f>
        <v>0</v>
      </c>
      <c r="K380">
        <v>369</v>
      </c>
      <c r="L380">
        <f>Table7[Initial Monthly Deposit]*Table9[[#This Row],[Inflation Modifier]]</f>
        <v>724.54463364134142</v>
      </c>
      <c r="M380">
        <f xml:space="preserve"> (1+Table7[Inflation])^(QUOTIENT(Table9[[#This Row],[Month]]-1,12))</f>
        <v>1.8113615841033535</v>
      </c>
      <c r="N380">
        <f>N379*(1+Table7[Monthly SF Inter])+Table9[[#This Row],[Monthly Payment]]-O379*(1+Table7[Monthly SF Inter])</f>
        <v>9454.5960194387389</v>
      </c>
      <c r="O380">
        <f>IF(MOD(Table9[[#This Row],[Month]],12)=0,(IF(Table9[[#This Row],[Current Balance]]&lt;Table9[[#This Row],[Max Lump Sum ]],Table9[[#This Row],[Current Balance]],Table9[[#This Row],[Max Lump Sum ]])),0)</f>
        <v>0</v>
      </c>
      <c r="P380" s="21">
        <f>Table7[Max annual lump sum repayment]*SUM(C381:C392)</f>
        <v>7880.3958913442566</v>
      </c>
      <c r="Q380" s="25">
        <f>Q379*(1+Table7[Monthly SF Inter])+Table9[[#This Row],[Inflation Modifier]]-R379*(1+Table7[Monthly SF Inter])</f>
        <v>16.573774444271699</v>
      </c>
      <c r="R380" s="25">
        <f>IF(MOD(Table9[[#This Row],[Month]],12)=0,Table9[[#This Row],[Q2 ACC FACTOR]],0)</f>
        <v>0</v>
      </c>
      <c r="S380" s="25">
        <f>S379*(1+D379)+Table9[[#This Row],[ACC FACTOR PAYMENTS]]</f>
        <v>1254.3358795034878</v>
      </c>
    </row>
    <row r="381" spans="1:19" x14ac:dyDescent="0.25">
      <c r="A381" s="1">
        <v>369</v>
      </c>
      <c r="B381" s="1">
        <f t="shared" si="5"/>
        <v>0</v>
      </c>
      <c r="C381" s="7">
        <f>G$12/-PV(Table7[Monthly mortgage rate], (12*Table7[Amortization period (yrs)]),1 )</f>
        <v>4377.9977174134756</v>
      </c>
      <c r="D381" s="11">
        <f>IF(Table1[[#This Row],[Month]]&lt;=(12*Table7[mortgage term (yrs)]),Table7[Monthly mortgage rate],Table7[Monthly Exp Renewal Rate])</f>
        <v>4.9038466830562122E-3</v>
      </c>
      <c r="E381" s="21">
        <f>Table1[[#This Row],[Current mortgage rate]]*G380</f>
        <v>-4329.6545613890767</v>
      </c>
      <c r="F381" s="5">
        <f>Table1[[#This Row],[Payment amount]]-Table1[[#This Row],[Interest paid]]</f>
        <v>8707.6522788025522</v>
      </c>
      <c r="G381" s="20">
        <f>G380-Table1[[#This Row],[Principal repaid]]-Table1[[#This Row],[Annual paym]]</f>
        <v>-891617.50677097379</v>
      </c>
      <c r="H381" s="20">
        <f>H380-(Table1[[#This Row],[Payment amount]]-Table1[[#This Row],[Interest Paid W/O LSP]])</f>
        <v>-392290.51649711496</v>
      </c>
      <c r="I381">
        <f>H380*Table1[[#This Row],[Current mortgage rate]]</f>
        <v>-1892.9806317417633</v>
      </c>
      <c r="J381" s="25">
        <f>IF(Table1[[#This Row],[Month]]&gt;Table7[Amortization period (yrs)]*12,0,IF(Table1[[#This Row],[Month]]&lt;Table7[mortgage term (yrs)]*12,0,IF(Table1[[#This Row],[Month]]=Table7[mortgage term (yrs)]*12,-H$5,Table1[[#This Row],[Payment amount]]+B381)))</f>
        <v>0</v>
      </c>
      <c r="K381">
        <v>370</v>
      </c>
      <c r="L381">
        <f>Table7[Initial Monthly Deposit]*Table9[[#This Row],[Inflation Modifier]]</f>
        <v>724.54463364134142</v>
      </c>
      <c r="M381">
        <f xml:space="preserve"> (1+Table7[Inflation])^(QUOTIENT(Table9[[#This Row],[Month]]-1,12))</f>
        <v>1.8113615841033535</v>
      </c>
      <c r="N381">
        <f>N380*(1+Table7[Monthly SF Inter])+Table9[[#This Row],[Monthly Payment]]-O380*(1+Table7[Monthly SF Inter])</f>
        <v>10218.130607821335</v>
      </c>
      <c r="O381">
        <f>IF(MOD(Table9[[#This Row],[Month]],12)=0,(IF(Table9[[#This Row],[Current Balance]]&lt;Table9[[#This Row],[Max Lump Sum ]],Table9[[#This Row],[Current Balance]],Table9[[#This Row],[Max Lump Sum ]])),0)</f>
        <v>0</v>
      </c>
      <c r="P381" s="21">
        <f>Table7[Max annual lump sum repayment]*SUM(C382:C393)</f>
        <v>7880.3958913442566</v>
      </c>
      <c r="Q381" s="25">
        <f>Q380*(1+Table7[Monthly SF Inter])+Table9[[#This Row],[Inflation Modifier]]-R380*(1+Table7[Monthly SF Inter])</f>
        <v>18.453484873121596</v>
      </c>
      <c r="R381" s="25">
        <f>IF(MOD(Table9[[#This Row],[Month]],12)=0,Table9[[#This Row],[Q2 ACC FACTOR]],0)</f>
        <v>0</v>
      </c>
      <c r="S381" s="25">
        <f>S380*(1+D380)+Table9[[#This Row],[ACC FACTOR PAYMENTS]]</f>
        <v>1260.4869503456293</v>
      </c>
    </row>
    <row r="382" spans="1:19" x14ac:dyDescent="0.25">
      <c r="A382" s="1">
        <v>370</v>
      </c>
      <c r="B382" s="1">
        <f t="shared" si="5"/>
        <v>0</v>
      </c>
      <c r="C382" s="7">
        <f>G$12/-PV(Table7[Monthly mortgage rate], (12*Table7[Amortization period (yrs)]),1 )</f>
        <v>4377.9977174134756</v>
      </c>
      <c r="D382" s="11">
        <f>IF(Table1[[#This Row],[Month]]&lt;=(12*Table7[mortgage term (yrs)]),Table7[Monthly mortgage rate],Table7[Monthly Exp Renewal Rate])</f>
        <v>4.9038466830562122E-3</v>
      </c>
      <c r="E382" s="21">
        <f>Table1[[#This Row],[Current mortgage rate]]*G381</f>
        <v>-4372.3555531336897</v>
      </c>
      <c r="F382" s="5">
        <f>Table1[[#This Row],[Payment amount]]-Table1[[#This Row],[Interest paid]]</f>
        <v>8750.3532705471662</v>
      </c>
      <c r="G382" s="20">
        <f>G381-Table1[[#This Row],[Principal repaid]]-Table1[[#This Row],[Annual paym]]</f>
        <v>-900367.86004152091</v>
      </c>
      <c r="H382" s="20">
        <f>H381-(Table1[[#This Row],[Payment amount]]-Table1[[#This Row],[Interest Paid W/O LSP]])</f>
        <v>-398592.24676264724</v>
      </c>
      <c r="I382">
        <f>H381*Table1[[#This Row],[Current mortgage rate]]</f>
        <v>-1923.7325481187854</v>
      </c>
      <c r="J382" s="25">
        <f>IF(Table1[[#This Row],[Month]]&gt;Table7[Amortization period (yrs)]*12,0,IF(Table1[[#This Row],[Month]]&lt;Table7[mortgage term (yrs)]*12,0,IF(Table1[[#This Row],[Month]]=Table7[mortgage term (yrs)]*12,-H$5,Table1[[#This Row],[Payment amount]]+B382)))</f>
        <v>0</v>
      </c>
      <c r="K382">
        <v>371</v>
      </c>
      <c r="L382">
        <f>Table7[Initial Monthly Deposit]*Table9[[#This Row],[Inflation Modifier]]</f>
        <v>724.54463364134142</v>
      </c>
      <c r="M382">
        <f xml:space="preserve"> (1+Table7[Inflation])^(QUOTIENT(Table9[[#This Row],[Month]]-1,12))</f>
        <v>1.8113615841033535</v>
      </c>
      <c r="N382">
        <f>N381*(1+Table7[Monthly SF Inter])+Table9[[#This Row],[Monthly Payment]]-O381*(1+Table7[Monthly SF Inter])</f>
        <v>10984.813948301133</v>
      </c>
      <c r="O382">
        <f>IF(MOD(Table9[[#This Row],[Month]],12)=0,(IF(Table9[[#This Row],[Current Balance]]&lt;Table9[[#This Row],[Max Lump Sum ]],Table9[[#This Row],[Current Balance]],Table9[[#This Row],[Max Lump Sum ]])),0)</f>
        <v>0</v>
      </c>
      <c r="P382" s="21">
        <f>Table7[Max annual lump sum repayment]*SUM(C383:C394)</f>
        <v>7880.3958913442566</v>
      </c>
      <c r="Q382" s="25">
        <f>Q381*(1+Table7[Monthly SF Inter])+Table9[[#This Row],[Inflation Modifier]]-R381*(1+Table7[Monthly SF Inter])</f>
        <v>20.340947068879018</v>
      </c>
      <c r="R382" s="25">
        <f>IF(MOD(Table9[[#This Row],[Month]],12)=0,Table9[[#This Row],[Q2 ACC FACTOR]],0)</f>
        <v>0</v>
      </c>
      <c r="S382" s="25">
        <f>S381*(1+D381)+Table9[[#This Row],[ACC FACTOR PAYMENTS]]</f>
        <v>1266.6681850961174</v>
      </c>
    </row>
    <row r="383" spans="1:19" x14ac:dyDescent="0.25">
      <c r="A383" s="1">
        <v>371</v>
      </c>
      <c r="B383" s="1">
        <f t="shared" si="5"/>
        <v>0</v>
      </c>
      <c r="C383" s="7">
        <f>G$12/-PV(Table7[Monthly mortgage rate], (12*Table7[Amortization period (yrs)]),1 )</f>
        <v>4377.9977174134756</v>
      </c>
      <c r="D383" s="11">
        <f>IF(Table1[[#This Row],[Month]]&lt;=(12*Table7[mortgage term (yrs)]),Table7[Monthly mortgage rate],Table7[Monthly Exp Renewal Rate])</f>
        <v>4.9038466830562122E-3</v>
      </c>
      <c r="E383" s="21">
        <f>Table1[[#This Row],[Current mortgage rate]]*G382</f>
        <v>-4415.2659439950321</v>
      </c>
      <c r="F383" s="5">
        <f>Table1[[#This Row],[Payment amount]]-Table1[[#This Row],[Interest paid]]</f>
        <v>8793.2636614085077</v>
      </c>
      <c r="G383" s="20">
        <f>G382-Table1[[#This Row],[Principal repaid]]-Table1[[#This Row],[Annual paym]]</f>
        <v>-909161.12370292947</v>
      </c>
      <c r="H383" s="20">
        <f>H382-(Table1[[#This Row],[Payment amount]]-Table1[[#This Row],[Interest Paid W/O LSP]])</f>
        <v>-404924.87974723964</v>
      </c>
      <c r="I383">
        <f>H382*Table1[[#This Row],[Current mortgage rate]]</f>
        <v>-1954.6352671789309</v>
      </c>
      <c r="J383" s="25">
        <f>IF(Table1[[#This Row],[Month]]&gt;Table7[Amortization period (yrs)]*12,0,IF(Table1[[#This Row],[Month]]&lt;Table7[mortgage term (yrs)]*12,0,IF(Table1[[#This Row],[Month]]=Table7[mortgage term (yrs)]*12,-H$5,Table1[[#This Row],[Payment amount]]+B383)))</f>
        <v>0</v>
      </c>
      <c r="K383">
        <v>372</v>
      </c>
      <c r="L383">
        <f>Table7[Initial Monthly Deposit]*Table9[[#This Row],[Inflation Modifier]]</f>
        <v>724.54463364134142</v>
      </c>
      <c r="M383">
        <f xml:space="preserve"> (1+Table7[Inflation])^(QUOTIENT(Table9[[#This Row],[Month]]-1,12))</f>
        <v>1.8113615841033535</v>
      </c>
      <c r="N383">
        <f>N382*(1+Table7[Monthly SF Inter])+Table9[[#This Row],[Monthly Payment]]-O382*(1+Table7[Monthly SF Inter])</f>
        <v>11754.659026065605</v>
      </c>
      <c r="O383">
        <f>IF(MOD(Table9[[#This Row],[Month]],12)=0,(IF(Table9[[#This Row],[Current Balance]]&lt;Table9[[#This Row],[Max Lump Sum ]],Table9[[#This Row],[Current Balance]],Table9[[#This Row],[Max Lump Sum ]])),0)</f>
        <v>7880.3958913442566</v>
      </c>
      <c r="P383" s="21">
        <f>Table7[Max annual lump sum repayment]*SUM(C384:C395)</f>
        <v>7880.3958913442566</v>
      </c>
      <c r="Q383" s="25">
        <f>Q382*(1+Table7[Monthly SF Inter])+Table9[[#This Row],[Inflation Modifier]]-R382*(1+Table7[Monthly SF Inter])</f>
        <v>22.236192999175401</v>
      </c>
      <c r="R383" s="25">
        <f>IF(MOD(Table9[[#This Row],[Month]],12)=0,Table9[[#This Row],[Q2 ACC FACTOR]],0)</f>
        <v>22.236192999175401</v>
      </c>
      <c r="S383" s="25">
        <f>S382*(1+D382)+Table9[[#This Row],[ACC FACTOR PAYMENTS]]</f>
        <v>1295.1159246733093</v>
      </c>
    </row>
    <row r="384" spans="1:19" x14ac:dyDescent="0.25">
      <c r="A384" s="1">
        <v>372</v>
      </c>
      <c r="B384" s="1">
        <f t="shared" si="5"/>
        <v>7880.3958913442566</v>
      </c>
      <c r="C384" s="7">
        <f>G$12/-PV(Table7[Monthly mortgage rate], (12*Table7[Amortization period (yrs)]),1 )</f>
        <v>4377.9977174134756</v>
      </c>
      <c r="D384" s="11">
        <f>IF(Table1[[#This Row],[Month]]&lt;=(12*Table7[mortgage term (yrs)]),Table7[Monthly mortgage rate],Table7[Monthly Exp Renewal Rate])</f>
        <v>4.9038466830562122E-3</v>
      </c>
      <c r="E384" s="21">
        <f>Table1[[#This Row],[Current mortgage rate]]*G383</f>
        <v>-4458.3867608342689</v>
      </c>
      <c r="F384" s="5">
        <f>Table1[[#This Row],[Payment amount]]-Table1[[#This Row],[Interest paid]]</f>
        <v>8836.3844782477445</v>
      </c>
      <c r="G384" s="20">
        <f>G383-Table1[[#This Row],[Principal repaid]]-Table1[[#This Row],[Annual paym]]</f>
        <v>-925877.90407252149</v>
      </c>
      <c r="H384" s="20">
        <f>H383-(Table1[[#This Row],[Payment amount]]-Table1[[#This Row],[Interest Paid W/O LSP]])</f>
        <v>-411288.56699308858</v>
      </c>
      <c r="I384">
        <f>H383*Table1[[#This Row],[Current mortgage rate]]</f>
        <v>-1985.6895284354366</v>
      </c>
      <c r="J384" s="25">
        <f>IF(Table1[[#This Row],[Month]]&gt;Table7[Amortization period (yrs)]*12,0,IF(Table1[[#This Row],[Month]]&lt;Table7[mortgage term (yrs)]*12,0,IF(Table1[[#This Row],[Month]]=Table7[mortgage term (yrs)]*12,-H$5,Table1[[#This Row],[Payment amount]]+B384)))</f>
        <v>0</v>
      </c>
      <c r="K384">
        <v>373</v>
      </c>
      <c r="L384">
        <f>Table7[Initial Monthly Deposit]*Table9[[#This Row],[Inflation Modifier]]</f>
        <v>739.03552631416801</v>
      </c>
      <c r="M384">
        <f xml:space="preserve"> (1+Table7[Inflation])^(QUOTIENT(Table9[[#This Row],[Month]]-1,12))</f>
        <v>1.8475888157854201</v>
      </c>
      <c r="N384">
        <f>N383*(1+Table7[Monthly SF Inter])+Table9[[#This Row],[Monthly Payment]]-O383*(1+Table7[Monthly SF Inter])</f>
        <v>4629.2757946928314</v>
      </c>
      <c r="O384">
        <f>IF(MOD(Table9[[#This Row],[Month]],12)=0,(IF(Table9[[#This Row],[Current Balance]]&lt;Table9[[#This Row],[Max Lump Sum ]],Table9[[#This Row],[Current Balance]],Table9[[#This Row],[Max Lump Sum ]])),0)</f>
        <v>0</v>
      </c>
      <c r="P384" s="21">
        <f>Table7[Max annual lump sum repayment]*SUM(C385:C396)</f>
        <v>7880.3958913442566</v>
      </c>
      <c r="Q384" s="25">
        <f>Q383*(1+Table7[Monthly SF Inter])+Table9[[#This Row],[Inflation Modifier]]-R383*(1+Table7[Monthly SF Inter])</f>
        <v>1.8475888157854214</v>
      </c>
      <c r="R384" s="25">
        <f>IF(MOD(Table9[[#This Row],[Month]],12)=0,Table9[[#This Row],[Q2 ACC FACTOR]],0)</f>
        <v>0</v>
      </c>
      <c r="S384" s="25">
        <f>S383*(1+D383)+Table9[[#This Row],[ACC FACTOR PAYMENTS]]</f>
        <v>1301.4669746046918</v>
      </c>
    </row>
    <row r="385" spans="1:19" x14ac:dyDescent="0.25">
      <c r="A385" s="1">
        <v>373</v>
      </c>
      <c r="B385" s="1">
        <f t="shared" si="5"/>
        <v>0</v>
      </c>
      <c r="C385" s="7">
        <f>G$12/-PV(Table7[Monthly mortgage rate], (12*Table7[Amortization period (yrs)]),1 )</f>
        <v>4377.9977174134756</v>
      </c>
      <c r="D385" s="11">
        <f>IF(Table1[[#This Row],[Month]]&lt;=(12*Table7[mortgage term (yrs)]),Table7[Monthly mortgage rate],Table7[Monthly Exp Renewal Rate])</f>
        <v>4.9038466830562122E-3</v>
      </c>
      <c r="E385" s="21">
        <f>Table1[[#This Row],[Current mortgage rate]]*G384</f>
        <v>-4540.3632888010725</v>
      </c>
      <c r="F385" s="5">
        <f>Table1[[#This Row],[Payment amount]]-Table1[[#This Row],[Interest paid]]</f>
        <v>8918.361006214549</v>
      </c>
      <c r="G385" s="20">
        <f>G384-Table1[[#This Row],[Principal repaid]]-Table1[[#This Row],[Annual paym]]</f>
        <v>-934796.265078736</v>
      </c>
      <c r="H385" s="20">
        <f>H384-(Table1[[#This Row],[Payment amount]]-Table1[[#This Row],[Interest Paid W/O LSP]])</f>
        <v>-417683.46078553004</v>
      </c>
      <c r="I385">
        <f>H384*Table1[[#This Row],[Current mortgage rate]]</f>
        <v>-2016.896075028</v>
      </c>
      <c r="J385" s="25">
        <f>IF(Table1[[#This Row],[Month]]&gt;Table7[Amortization period (yrs)]*12,0,IF(Table1[[#This Row],[Month]]&lt;Table7[mortgage term (yrs)]*12,0,IF(Table1[[#This Row],[Month]]=Table7[mortgage term (yrs)]*12,-H$5,Table1[[#This Row],[Payment amount]]+B385)))</f>
        <v>0</v>
      </c>
      <c r="K385">
        <v>374</v>
      </c>
      <c r="L385">
        <f>Table7[Initial Monthly Deposit]*Table9[[#This Row],[Inflation Modifier]]</f>
        <v>739.03552631416801</v>
      </c>
      <c r="M385">
        <f xml:space="preserve"> (1+Table7[Inflation])^(QUOTIENT(Table9[[#This Row],[Month]]-1,12))</f>
        <v>1.8475888157854201</v>
      </c>
      <c r="N385">
        <f>N384*(1+Table7[Monthly SF Inter])+Table9[[#This Row],[Monthly Payment]]-O384*(1+Table7[Monthly SF Inter])</f>
        <v>5387.4020630491514</v>
      </c>
      <c r="O385">
        <f>IF(MOD(Table9[[#This Row],[Month]],12)=0,(IF(Table9[[#This Row],[Current Balance]]&lt;Table9[[#This Row],[Max Lump Sum ]],Table9[[#This Row],[Current Balance]],Table9[[#This Row],[Max Lump Sum ]])),0)</f>
        <v>0</v>
      </c>
      <c r="P385" s="21">
        <f>Table7[Max annual lump sum repayment]*SUM(C386:C397)</f>
        <v>7880.3958913442566</v>
      </c>
      <c r="Q385" s="25">
        <f>Q384*(1+Table7[Monthly SF Inter])+Table9[[#This Row],[Inflation Modifier]]-R384*(1+Table7[Monthly SF Inter])</f>
        <v>3.7027969316614868</v>
      </c>
      <c r="R385" s="25">
        <f>IF(MOD(Table9[[#This Row],[Month]],12)=0,Table9[[#This Row],[Q2 ACC FACTOR]],0)</f>
        <v>0</v>
      </c>
      <c r="S385" s="25">
        <f>S384*(1+D384)+Table9[[#This Row],[ACC FACTOR PAYMENTS]]</f>
        <v>1307.8491691112142</v>
      </c>
    </row>
    <row r="386" spans="1:19" x14ac:dyDescent="0.25">
      <c r="A386" s="1">
        <v>374</v>
      </c>
      <c r="B386" s="1">
        <f t="shared" si="5"/>
        <v>0</v>
      </c>
      <c r="C386" s="7">
        <f>G$12/-PV(Table7[Monthly mortgage rate], (12*Table7[Amortization period (yrs)]),1 )</f>
        <v>4377.9977174134756</v>
      </c>
      <c r="D386" s="11">
        <f>IF(Table1[[#This Row],[Month]]&lt;=(12*Table7[mortgage term (yrs)]),Table7[Monthly mortgage rate],Table7[Monthly Exp Renewal Rate])</f>
        <v>4.9038466830562122E-3</v>
      </c>
      <c r="E386" s="21">
        <f>Table1[[#This Row],[Current mortgage rate]]*G385</f>
        <v>-4584.0975638396949</v>
      </c>
      <c r="F386" s="5">
        <f>Table1[[#This Row],[Payment amount]]-Table1[[#This Row],[Interest paid]]</f>
        <v>8962.0952812531705</v>
      </c>
      <c r="G386" s="20">
        <f>G385-Table1[[#This Row],[Principal repaid]]-Table1[[#This Row],[Annual paym]]</f>
        <v>-943758.36035998922</v>
      </c>
      <c r="H386" s="20">
        <f>H385-(Table1[[#This Row],[Payment amount]]-Table1[[#This Row],[Interest Paid W/O LSP]])</f>
        <v>-424109.71415668406</v>
      </c>
      <c r="I386">
        <f>H385*Table1[[#This Row],[Current mortgage rate]]</f>
        <v>-2048.2556537405608</v>
      </c>
      <c r="J386" s="25">
        <f>IF(Table1[[#This Row],[Month]]&gt;Table7[Amortization period (yrs)]*12,0,IF(Table1[[#This Row],[Month]]&lt;Table7[mortgage term (yrs)]*12,0,IF(Table1[[#This Row],[Month]]=Table7[mortgage term (yrs)]*12,-H$5,Table1[[#This Row],[Payment amount]]+B386)))</f>
        <v>0</v>
      </c>
      <c r="K386">
        <v>375</v>
      </c>
      <c r="L386">
        <f>Table7[Initial Monthly Deposit]*Table9[[#This Row],[Inflation Modifier]]</f>
        <v>739.03552631416801</v>
      </c>
      <c r="M386">
        <f xml:space="preserve"> (1+Table7[Inflation])^(QUOTIENT(Table9[[#This Row],[Month]]-1,12))</f>
        <v>1.8475888157854201</v>
      </c>
      <c r="N386">
        <f>N385*(1+Table7[Monthly SF Inter])+Table9[[#This Row],[Monthly Payment]]-O385*(1+Table7[Monthly SF Inter])</f>
        <v>6148.6547800480776</v>
      </c>
      <c r="O386">
        <f>IF(MOD(Table9[[#This Row],[Month]],12)=0,(IF(Table9[[#This Row],[Current Balance]]&lt;Table9[[#This Row],[Max Lump Sum ]],Table9[[#This Row],[Current Balance]],Table9[[#This Row],[Max Lump Sum ]])),0)</f>
        <v>0</v>
      </c>
      <c r="P386" s="21">
        <f>Table7[Max annual lump sum repayment]*SUM(C387:C398)</f>
        <v>7880.3958913442566</v>
      </c>
      <c r="Q386" s="25">
        <f>Q385*(1+Table7[Monthly SF Inter])+Table9[[#This Row],[Inflation Modifier]]-R385*(1+Table7[Monthly SF Inter])</f>
        <v>5.565655768977674</v>
      </c>
      <c r="R386" s="25">
        <f>IF(MOD(Table9[[#This Row],[Month]],12)=0,Table9[[#This Row],[Q2 ACC FACTOR]],0)</f>
        <v>0</v>
      </c>
      <c r="S386" s="25">
        <f>S385*(1+D385)+Table9[[#This Row],[ACC FACTOR PAYMENTS]]</f>
        <v>1314.2626609210981</v>
      </c>
    </row>
    <row r="387" spans="1:19" x14ac:dyDescent="0.25">
      <c r="A387" s="1">
        <v>375</v>
      </c>
      <c r="B387" s="1">
        <f t="shared" si="5"/>
        <v>0</v>
      </c>
      <c r="C387" s="7">
        <f>G$12/-PV(Table7[Monthly mortgage rate], (12*Table7[Amortization period (yrs)]),1 )</f>
        <v>4377.9977174134756</v>
      </c>
      <c r="D387" s="11">
        <f>IF(Table1[[#This Row],[Month]]&lt;=(12*Table7[mortgage term (yrs)]),Table7[Monthly mortgage rate],Table7[Monthly Exp Renewal Rate])</f>
        <v>4.9038466830562122E-3</v>
      </c>
      <c r="E387" s="21">
        <f>Table1[[#This Row],[Current mortgage rate]]*G386</f>
        <v>-4628.0463050579028</v>
      </c>
      <c r="F387" s="5">
        <f>Table1[[#This Row],[Payment amount]]-Table1[[#This Row],[Interest paid]]</f>
        <v>9006.0440224713784</v>
      </c>
      <c r="G387" s="20">
        <f>G386-Table1[[#This Row],[Principal repaid]]-Table1[[#This Row],[Annual paym]]</f>
        <v>-952764.40438246063</v>
      </c>
      <c r="H387" s="20">
        <f>H386-(Table1[[#This Row],[Payment amount]]-Table1[[#This Row],[Interest Paid W/O LSP]])</f>
        <v>-430567.4808891167</v>
      </c>
      <c r="I387">
        <f>H386*Table1[[#This Row],[Current mortgage rate]]</f>
        <v>-2079.7690150191734</v>
      </c>
      <c r="J387" s="25">
        <f>IF(Table1[[#This Row],[Month]]&gt;Table7[Amortization period (yrs)]*12,0,IF(Table1[[#This Row],[Month]]&lt;Table7[mortgage term (yrs)]*12,0,IF(Table1[[#This Row],[Month]]=Table7[mortgage term (yrs)]*12,-H$5,Table1[[#This Row],[Payment amount]]+B387)))</f>
        <v>0</v>
      </c>
      <c r="K387">
        <v>376</v>
      </c>
      <c r="L387">
        <f>Table7[Initial Monthly Deposit]*Table9[[#This Row],[Inflation Modifier]]</f>
        <v>739.03552631416801</v>
      </c>
      <c r="M387">
        <f xml:space="preserve"> (1+Table7[Inflation])^(QUOTIENT(Table9[[#This Row],[Month]]-1,12))</f>
        <v>1.8475888157854201</v>
      </c>
      <c r="N387">
        <f>N386*(1+Table7[Monthly SF Inter])+Table9[[#This Row],[Monthly Payment]]-O386*(1+Table7[Monthly SF Inter])</f>
        <v>6913.0468388995187</v>
      </c>
      <c r="O387">
        <f>IF(MOD(Table9[[#This Row],[Month]],12)=0,(IF(Table9[[#This Row],[Current Balance]]&lt;Table9[[#This Row],[Max Lump Sum ]],Table9[[#This Row],[Current Balance]],Table9[[#This Row],[Max Lump Sum ]])),0)</f>
        <v>0</v>
      </c>
      <c r="P387" s="21">
        <f>Table7[Max annual lump sum repayment]*SUM(C388:C399)</f>
        <v>7880.3958913442566</v>
      </c>
      <c r="Q387" s="25">
        <f>Q386*(1+Table7[Monthly SF Inter])+Table9[[#This Row],[Inflation Modifier]]-R386*(1+Table7[Monthly SF Inter])</f>
        <v>7.4361968786624502</v>
      </c>
      <c r="R387" s="25">
        <f>IF(MOD(Table9[[#This Row],[Month]],12)=0,Table9[[#This Row],[Q2 ACC FACTOR]],0)</f>
        <v>0</v>
      </c>
      <c r="S387" s="25">
        <f>S386*(1+D386)+Table9[[#This Row],[ACC FACTOR PAYMENTS]]</f>
        <v>1320.7076035115208</v>
      </c>
    </row>
    <row r="388" spans="1:19" x14ac:dyDescent="0.25">
      <c r="A388" s="1">
        <v>376</v>
      </c>
      <c r="B388" s="1">
        <f t="shared" si="5"/>
        <v>0</v>
      </c>
      <c r="C388" s="7">
        <f>G$12/-PV(Table7[Monthly mortgage rate], (12*Table7[Amortization period (yrs)]),1 )</f>
        <v>4377.9977174134756</v>
      </c>
      <c r="D388" s="11">
        <f>IF(Table1[[#This Row],[Month]]&lt;=(12*Table7[mortgage term (yrs)]),Table7[Monthly mortgage rate],Table7[Monthly Exp Renewal Rate])</f>
        <v>4.9038466830562122E-3</v>
      </c>
      <c r="E388" s="21">
        <f>Table1[[#This Row],[Current mortgage rate]]*G387</f>
        <v>-4672.2105641649568</v>
      </c>
      <c r="F388" s="5">
        <f>Table1[[#This Row],[Payment amount]]-Table1[[#This Row],[Interest paid]]</f>
        <v>9050.2082815784324</v>
      </c>
      <c r="G388" s="20">
        <f>G387-Table1[[#This Row],[Principal repaid]]-Table1[[#This Row],[Annual paym]]</f>
        <v>-961814.61266403901</v>
      </c>
      <c r="H388" s="20">
        <f>H387-(Table1[[#This Row],[Payment amount]]-Table1[[#This Row],[Interest Paid W/O LSP]])</f>
        <v>-437056.91551952012</v>
      </c>
      <c r="I388">
        <f>H387*Table1[[#This Row],[Current mortgage rate]]</f>
        <v>-2111.4369129899642</v>
      </c>
      <c r="J388" s="25">
        <f>IF(Table1[[#This Row],[Month]]&gt;Table7[Amortization period (yrs)]*12,0,IF(Table1[[#This Row],[Month]]&lt;Table7[mortgage term (yrs)]*12,0,IF(Table1[[#This Row],[Month]]=Table7[mortgage term (yrs)]*12,-H$5,Table1[[#This Row],[Payment amount]]+B388)))</f>
        <v>0</v>
      </c>
      <c r="K388">
        <v>377</v>
      </c>
      <c r="L388">
        <f>Table7[Initial Monthly Deposit]*Table9[[#This Row],[Inflation Modifier]]</f>
        <v>739.03552631416801</v>
      </c>
      <c r="M388">
        <f xml:space="preserve"> (1+Table7[Inflation])^(QUOTIENT(Table9[[#This Row],[Month]]-1,12))</f>
        <v>1.8475888157854201</v>
      </c>
      <c r="N388">
        <f>N387*(1+Table7[Monthly SF Inter])+Table9[[#This Row],[Monthly Payment]]-O387*(1+Table7[Monthly SF Inter])</f>
        <v>7680.5911859838907</v>
      </c>
      <c r="O388">
        <f>IF(MOD(Table9[[#This Row],[Month]],12)=0,(IF(Table9[[#This Row],[Current Balance]]&lt;Table9[[#This Row],[Max Lump Sum ]],Table9[[#This Row],[Current Balance]],Table9[[#This Row],[Max Lump Sum ]])),0)</f>
        <v>0</v>
      </c>
      <c r="P388" s="21">
        <f>Table7[Max annual lump sum repayment]*SUM(C389:C400)</f>
        <v>7880.3958913442566</v>
      </c>
      <c r="Q388" s="25">
        <f>Q387*(1+Table7[Monthly SF Inter])+Table9[[#This Row],[Inflation Modifier]]-R387*(1+Table7[Monthly SF Inter])</f>
        <v>9.3144519417576443</v>
      </c>
      <c r="R388" s="25">
        <f>IF(MOD(Table9[[#This Row],[Month]],12)=0,Table9[[#This Row],[Q2 ACC FACTOR]],0)</f>
        <v>0</v>
      </c>
      <c r="S388" s="25">
        <f>S387*(1+D387)+Table9[[#This Row],[ACC FACTOR PAYMENTS]]</f>
        <v>1327.184151112288</v>
      </c>
    </row>
    <row r="389" spans="1:19" x14ac:dyDescent="0.25">
      <c r="A389" s="1">
        <v>377</v>
      </c>
      <c r="B389" s="1">
        <f t="shared" si="5"/>
        <v>0</v>
      </c>
      <c r="C389" s="7">
        <f>G$12/-PV(Table7[Monthly mortgage rate], (12*Table7[Amortization period (yrs)]),1 )</f>
        <v>4377.9977174134756</v>
      </c>
      <c r="D389" s="11">
        <f>IF(Table1[[#This Row],[Month]]&lt;=(12*Table7[mortgage term (yrs)]),Table7[Monthly mortgage rate],Table7[Monthly Exp Renewal Rate])</f>
        <v>4.9038466830562122E-3</v>
      </c>
      <c r="E389" s="21">
        <f>Table1[[#This Row],[Current mortgage rate]]*G388</f>
        <v>-4716.5913980275436</v>
      </c>
      <c r="F389" s="5">
        <f>Table1[[#This Row],[Payment amount]]-Table1[[#This Row],[Interest paid]]</f>
        <v>9094.5891154410201</v>
      </c>
      <c r="G389" s="20">
        <f>G388-Table1[[#This Row],[Principal repaid]]-Table1[[#This Row],[Annual paym]]</f>
        <v>-970909.20177948009</v>
      </c>
      <c r="H389" s="20">
        <f>H388-(Table1[[#This Row],[Payment amount]]-Table1[[#This Row],[Interest Paid W/O LSP]])</f>
        <v>-443578.17334241077</v>
      </c>
      <c r="I389">
        <f>H388*Table1[[#This Row],[Current mortgage rate]]</f>
        <v>-2143.2601054771781</v>
      </c>
      <c r="J389" s="25">
        <f>IF(Table1[[#This Row],[Month]]&gt;Table7[Amortization period (yrs)]*12,0,IF(Table1[[#This Row],[Month]]&lt;Table7[mortgage term (yrs)]*12,0,IF(Table1[[#This Row],[Month]]=Table7[mortgage term (yrs)]*12,-H$5,Table1[[#This Row],[Payment amount]]+B389)))</f>
        <v>0</v>
      </c>
      <c r="K389">
        <v>378</v>
      </c>
      <c r="L389">
        <f>Table7[Initial Monthly Deposit]*Table9[[#This Row],[Inflation Modifier]]</f>
        <v>739.03552631416801</v>
      </c>
      <c r="M389">
        <f xml:space="preserve"> (1+Table7[Inflation])^(QUOTIENT(Table9[[#This Row],[Month]]-1,12))</f>
        <v>1.8475888157854201</v>
      </c>
      <c r="N389">
        <f>N388*(1+Table7[Monthly SF Inter])+Table9[[#This Row],[Monthly Payment]]-O388*(1+Table7[Monthly SF Inter])</f>
        <v>8451.3008210713888</v>
      </c>
      <c r="O389">
        <f>IF(MOD(Table9[[#This Row],[Month]],12)=0,(IF(Table9[[#This Row],[Current Balance]]&lt;Table9[[#This Row],[Max Lump Sum ]],Table9[[#This Row],[Current Balance]],Table9[[#This Row],[Max Lump Sum ]])),0)</f>
        <v>0</v>
      </c>
      <c r="P389" s="21">
        <f>Table7[Max annual lump sum repayment]*SUM(C390:C401)</f>
        <v>7880.3958913442566</v>
      </c>
      <c r="Q389" s="25">
        <f>Q388*(1+Table7[Monthly SF Inter])+Table9[[#This Row],[Inflation Modifier]]-R388*(1+Table7[Monthly SF Inter])</f>
        <v>11.200452769955021</v>
      </c>
      <c r="R389" s="25">
        <f>IF(MOD(Table9[[#This Row],[Month]],12)=0,Table9[[#This Row],[Q2 ACC FACTOR]],0)</f>
        <v>0</v>
      </c>
      <c r="S389" s="25">
        <f>S388*(1+D388)+Table9[[#This Row],[ACC FACTOR PAYMENTS]]</f>
        <v>1333.6924587095248</v>
      </c>
    </row>
    <row r="390" spans="1:19" x14ac:dyDescent="0.25">
      <c r="A390" s="1">
        <v>378</v>
      </c>
      <c r="B390" s="1">
        <f t="shared" si="5"/>
        <v>0</v>
      </c>
      <c r="C390" s="7">
        <f>G$12/-PV(Table7[Monthly mortgage rate], (12*Table7[Amortization period (yrs)]),1 )</f>
        <v>4377.9977174134756</v>
      </c>
      <c r="D390" s="11">
        <f>IF(Table1[[#This Row],[Month]]&lt;=(12*Table7[mortgage term (yrs)]),Table7[Monthly mortgage rate],Table7[Monthly Exp Renewal Rate])</f>
        <v>4.9038466830562122E-3</v>
      </c>
      <c r="E390" s="21">
        <f>Table1[[#This Row],[Current mortgage rate]]*G389</f>
        <v>-4761.1898686950581</v>
      </c>
      <c r="F390" s="5">
        <f>Table1[[#This Row],[Payment amount]]-Table1[[#This Row],[Interest paid]]</f>
        <v>9139.1875861085337</v>
      </c>
      <c r="G390" s="20">
        <f>G389-Table1[[#This Row],[Principal repaid]]-Table1[[#This Row],[Annual paym]]</f>
        <v>-980048.38936558866</v>
      </c>
      <c r="H390" s="20">
        <f>H389-(Table1[[#This Row],[Payment amount]]-Table1[[#This Row],[Interest Paid W/O LSP]])</f>
        <v>-450131.41041384556</v>
      </c>
      <c r="I390">
        <f>H389*Table1[[#This Row],[Current mortgage rate]]</f>
        <v>-2175.2393540213147</v>
      </c>
      <c r="J390" s="25">
        <f>IF(Table1[[#This Row],[Month]]&gt;Table7[Amortization period (yrs)]*12,0,IF(Table1[[#This Row],[Month]]&lt;Table7[mortgage term (yrs)]*12,0,IF(Table1[[#This Row],[Month]]=Table7[mortgage term (yrs)]*12,-H$5,Table1[[#This Row],[Payment amount]]+B390)))</f>
        <v>0</v>
      </c>
      <c r="K390">
        <v>379</v>
      </c>
      <c r="L390">
        <f>Table7[Initial Monthly Deposit]*Table9[[#This Row],[Inflation Modifier]]</f>
        <v>739.03552631416801</v>
      </c>
      <c r="M390">
        <f xml:space="preserve"> (1+Table7[Inflation])^(QUOTIENT(Table9[[#This Row],[Month]]-1,12))</f>
        <v>1.8475888157854201</v>
      </c>
      <c r="N390">
        <f>N389*(1+Table7[Monthly SF Inter])+Table9[[#This Row],[Monthly Payment]]-O389*(1+Table7[Monthly SF Inter])</f>
        <v>9225.1887975421596</v>
      </c>
      <c r="O390">
        <f>IF(MOD(Table9[[#This Row],[Month]],12)=0,(IF(Table9[[#This Row],[Current Balance]]&lt;Table9[[#This Row],[Max Lump Sum ]],Table9[[#This Row],[Current Balance]],Table9[[#This Row],[Max Lump Sum ]])),0)</f>
        <v>0</v>
      </c>
      <c r="P390" s="21">
        <f>Table7[Max annual lump sum repayment]*SUM(C391:C402)</f>
        <v>7880.3958913442566</v>
      </c>
      <c r="Q390" s="25">
        <f>Q389*(1+Table7[Monthly SF Inter])+Table9[[#This Row],[Inflation Modifier]]-R389*(1+Table7[Monthly SF Inter])</f>
        <v>13.094231306135075</v>
      </c>
      <c r="R390" s="25">
        <f>IF(MOD(Table9[[#This Row],[Month]],12)=0,Table9[[#This Row],[Q2 ACC FACTOR]],0)</f>
        <v>0</v>
      </c>
      <c r="S390" s="25">
        <f>S389*(1+D389)+Table9[[#This Row],[ACC FACTOR PAYMENTS]]</f>
        <v>1340.2326820493845</v>
      </c>
    </row>
    <row r="391" spans="1:19" x14ac:dyDescent="0.25">
      <c r="A391" s="1">
        <v>379</v>
      </c>
      <c r="B391" s="1">
        <f t="shared" si="5"/>
        <v>0</v>
      </c>
      <c r="C391" s="7">
        <f>G$12/-PV(Table7[Monthly mortgage rate], (12*Table7[Amortization period (yrs)]),1 )</f>
        <v>4377.9977174134756</v>
      </c>
      <c r="D391" s="11">
        <f>IF(Table1[[#This Row],[Month]]&lt;=(12*Table7[mortgage term (yrs)]),Table7[Monthly mortgage rate],Table7[Monthly Exp Renewal Rate])</f>
        <v>4.9038466830562122E-3</v>
      </c>
      <c r="E391" s="21">
        <f>Table1[[#This Row],[Current mortgage rate]]*G390</f>
        <v>-4806.0070434250247</v>
      </c>
      <c r="F391" s="5">
        <f>Table1[[#This Row],[Payment amount]]-Table1[[#This Row],[Interest paid]]</f>
        <v>9184.0047608384994</v>
      </c>
      <c r="G391" s="20">
        <f>G390-Table1[[#This Row],[Principal repaid]]-Table1[[#This Row],[Annual paym]]</f>
        <v>-989232.39412642713</v>
      </c>
      <c r="H391" s="20">
        <f>H390-(Table1[[#This Row],[Payment amount]]-Table1[[#This Row],[Interest Paid W/O LSP]])</f>
        <v>-456716.78355515638</v>
      </c>
      <c r="I391">
        <f>H390*Table1[[#This Row],[Current mortgage rate]]</f>
        <v>-2207.3754238973511</v>
      </c>
      <c r="J391" s="25">
        <f>IF(Table1[[#This Row],[Month]]&gt;Table7[Amortization period (yrs)]*12,0,IF(Table1[[#This Row],[Month]]&lt;Table7[mortgage term (yrs)]*12,0,IF(Table1[[#This Row],[Month]]=Table7[mortgage term (yrs)]*12,-H$5,Table1[[#This Row],[Payment amount]]+B391)))</f>
        <v>0</v>
      </c>
      <c r="K391">
        <v>380</v>
      </c>
      <c r="L391">
        <f>Table7[Initial Monthly Deposit]*Table9[[#This Row],[Inflation Modifier]]</f>
        <v>739.03552631416801</v>
      </c>
      <c r="M391">
        <f xml:space="preserve"> (1+Table7[Inflation])^(QUOTIENT(Table9[[#This Row],[Month]]-1,12))</f>
        <v>1.8475888157854201</v>
      </c>
      <c r="N391">
        <f>N390*(1+Table7[Monthly SF Inter])+Table9[[#This Row],[Monthly Payment]]-O390*(1+Table7[Monthly SF Inter])</f>
        <v>10002.268222607387</v>
      </c>
      <c r="O391">
        <f>IF(MOD(Table9[[#This Row],[Month]],12)=0,(IF(Table9[[#This Row],[Current Balance]]&lt;Table9[[#This Row],[Max Lump Sum ]],Table9[[#This Row],[Current Balance]],Table9[[#This Row],[Max Lump Sum ]])),0)</f>
        <v>0</v>
      </c>
      <c r="P391" s="21">
        <f>Table7[Max annual lump sum repayment]*SUM(C392:C403)</f>
        <v>7880.3958913442566</v>
      </c>
      <c r="Q391" s="25">
        <f>Q390*(1+Table7[Monthly SF Inter])+Table9[[#This Row],[Inflation Modifier]]-R390*(1+Table7[Monthly SF Inter])</f>
        <v>14.995819624908041</v>
      </c>
      <c r="R391" s="25">
        <f>IF(MOD(Table9[[#This Row],[Month]],12)=0,Table9[[#This Row],[Q2 ACC FACTOR]],0)</f>
        <v>0</v>
      </c>
      <c r="S391" s="25">
        <f>S390*(1+D390)+Table9[[#This Row],[ACC FACTOR PAYMENTS]]</f>
        <v>1346.8049776417758</v>
      </c>
    </row>
    <row r="392" spans="1:19" x14ac:dyDescent="0.25">
      <c r="A392" s="1">
        <v>380</v>
      </c>
      <c r="B392" s="1">
        <f t="shared" si="5"/>
        <v>0</v>
      </c>
      <c r="C392" s="7">
        <f>G$12/-PV(Table7[Monthly mortgage rate], (12*Table7[Amortization period (yrs)]),1 )</f>
        <v>4377.9977174134756</v>
      </c>
      <c r="D392" s="11">
        <f>IF(Table1[[#This Row],[Month]]&lt;=(12*Table7[mortgage term (yrs)]),Table7[Monthly mortgage rate],Table7[Monthly Exp Renewal Rate])</f>
        <v>4.9038466830562122E-3</v>
      </c>
      <c r="E392" s="21">
        <f>Table1[[#This Row],[Current mortgage rate]]*G391</f>
        <v>-4851.0439947086352</v>
      </c>
      <c r="F392" s="5">
        <f>Table1[[#This Row],[Payment amount]]-Table1[[#This Row],[Interest paid]]</f>
        <v>9229.0417121221108</v>
      </c>
      <c r="G392" s="20">
        <f>G391-Table1[[#This Row],[Principal repaid]]-Table1[[#This Row],[Annual paym]]</f>
        <v>-998461.43583854928</v>
      </c>
      <c r="H392" s="20">
        <f>H391-(Table1[[#This Row],[Payment amount]]-Table1[[#This Row],[Interest Paid W/O LSP]])</f>
        <v>-463334.4503567029</v>
      </c>
      <c r="I392">
        <f>H391*Table1[[#This Row],[Current mortgage rate]]</f>
        <v>-2239.6690841330555</v>
      </c>
      <c r="J392" s="25">
        <f>IF(Table1[[#This Row],[Month]]&gt;Table7[Amortization period (yrs)]*12,0,IF(Table1[[#This Row],[Month]]&lt;Table7[mortgage term (yrs)]*12,0,IF(Table1[[#This Row],[Month]]=Table7[mortgage term (yrs)]*12,-H$5,Table1[[#This Row],[Payment amount]]+B392)))</f>
        <v>0</v>
      </c>
      <c r="K392">
        <v>381</v>
      </c>
      <c r="L392">
        <f>Table7[Initial Monthly Deposit]*Table9[[#This Row],[Inflation Modifier]]</f>
        <v>739.03552631416801</v>
      </c>
      <c r="M392">
        <f xml:space="preserve"> (1+Table7[Inflation])^(QUOTIENT(Table9[[#This Row],[Month]]-1,12))</f>
        <v>1.8475888157854201</v>
      </c>
      <c r="N392">
        <f>N391*(1+Table7[Monthly SF Inter])+Table9[[#This Row],[Monthly Payment]]-O391*(1+Table7[Monthly SF Inter])</f>
        <v>10782.552257531286</v>
      </c>
      <c r="O392">
        <f>IF(MOD(Table9[[#This Row],[Month]],12)=0,(IF(Table9[[#This Row],[Current Balance]]&lt;Table9[[#This Row],[Max Lump Sum ]],Table9[[#This Row],[Current Balance]],Table9[[#This Row],[Max Lump Sum ]])),0)</f>
        <v>0</v>
      </c>
      <c r="P392" s="21">
        <f>Table7[Max annual lump sum repayment]*SUM(C393:C404)</f>
        <v>7880.3958913442566</v>
      </c>
      <c r="Q392" s="25">
        <f>Q391*(1+Table7[Monthly SF Inter])+Table9[[#This Row],[Inflation Modifier]]-R391*(1+Table7[Monthly SF Inter])</f>
        <v>16.905249933157133</v>
      </c>
      <c r="R392" s="25">
        <f>IF(MOD(Table9[[#This Row],[Month]],12)=0,Table9[[#This Row],[Q2 ACC FACTOR]],0)</f>
        <v>0</v>
      </c>
      <c r="S392" s="25">
        <f>S391*(1+D391)+Table9[[#This Row],[ACC FACTOR PAYMENTS]]</f>
        <v>1353.4095027641081</v>
      </c>
    </row>
    <row r="393" spans="1:19" x14ac:dyDescent="0.25">
      <c r="A393" s="1">
        <v>381</v>
      </c>
      <c r="B393" s="1">
        <f t="shared" si="5"/>
        <v>0</v>
      </c>
      <c r="C393" s="7">
        <f>G$12/-PV(Table7[Monthly mortgage rate], (12*Table7[Amortization period (yrs)]),1 )</f>
        <v>4377.9977174134756</v>
      </c>
      <c r="D393" s="11">
        <f>IF(Table1[[#This Row],[Month]]&lt;=(12*Table7[mortgage term (yrs)]),Table7[Monthly mortgage rate],Table7[Monthly Exp Renewal Rate])</f>
        <v>4.9038466830562122E-3</v>
      </c>
      <c r="E393" s="21">
        <f>Table1[[#This Row],[Current mortgage rate]]*G392</f>
        <v>-4896.3018002964127</v>
      </c>
      <c r="F393" s="5">
        <f>Table1[[#This Row],[Payment amount]]-Table1[[#This Row],[Interest paid]]</f>
        <v>9274.2995177098892</v>
      </c>
      <c r="G393" s="20">
        <f>G392-Table1[[#This Row],[Principal repaid]]-Table1[[#This Row],[Annual paym]]</f>
        <v>-1007735.7353562592</v>
      </c>
      <c r="H393" s="20">
        <f>H392-(Table1[[#This Row],[Payment amount]]-Table1[[#This Row],[Interest Paid W/O LSP]])</f>
        <v>-469984.56918164378</v>
      </c>
      <c r="I393">
        <f>H392*Table1[[#This Row],[Current mortgage rate]]</f>
        <v>-2272.1211075273909</v>
      </c>
      <c r="J393" s="25">
        <f>IF(Table1[[#This Row],[Month]]&gt;Table7[Amortization period (yrs)]*12,0,IF(Table1[[#This Row],[Month]]&lt;Table7[mortgage term (yrs)]*12,0,IF(Table1[[#This Row],[Month]]=Table7[mortgage term (yrs)]*12,-H$5,Table1[[#This Row],[Payment amount]]+B393)))</f>
        <v>0</v>
      </c>
      <c r="K393">
        <v>382</v>
      </c>
      <c r="L393">
        <f>Table7[Initial Monthly Deposit]*Table9[[#This Row],[Inflation Modifier]]</f>
        <v>739.03552631416801</v>
      </c>
      <c r="M393">
        <f xml:space="preserve"> (1+Table7[Inflation])^(QUOTIENT(Table9[[#This Row],[Month]]-1,12))</f>
        <v>1.8475888157854201</v>
      </c>
      <c r="N393">
        <f>N392*(1+Table7[Monthly SF Inter])+Table9[[#This Row],[Monthly Payment]]-O392*(1+Table7[Monthly SF Inter])</f>
        <v>11566.054117854013</v>
      </c>
      <c r="O393">
        <f>IF(MOD(Table9[[#This Row],[Month]],12)=0,(IF(Table9[[#This Row],[Current Balance]]&lt;Table9[[#This Row],[Max Lump Sum ]],Table9[[#This Row],[Current Balance]],Table9[[#This Row],[Max Lump Sum ]])),0)</f>
        <v>0</v>
      </c>
      <c r="P393" s="21">
        <f>Table7[Max annual lump sum repayment]*SUM(C394:C405)</f>
        <v>7880.3958913442566</v>
      </c>
      <c r="Q393" s="25">
        <f>Q392*(1+Table7[Monthly SF Inter])+Table9[[#This Row],[Inflation Modifier]]-R392*(1+Table7[Monthly SF Inter])</f>
        <v>18.822554570584028</v>
      </c>
      <c r="R393" s="25">
        <f>IF(MOD(Table9[[#This Row],[Month]],12)=0,Table9[[#This Row],[Q2 ACC FACTOR]],0)</f>
        <v>0</v>
      </c>
      <c r="S393" s="25">
        <f>S392*(1+D392)+Table9[[#This Row],[ACC FACTOR PAYMENTS]]</f>
        <v>1360.0464154650547</v>
      </c>
    </row>
    <row r="394" spans="1:19" x14ac:dyDescent="0.25">
      <c r="A394" s="1">
        <v>382</v>
      </c>
      <c r="B394" s="1">
        <f t="shared" si="5"/>
        <v>0</v>
      </c>
      <c r="C394" s="7">
        <f>G$12/-PV(Table7[Monthly mortgage rate], (12*Table7[Amortization period (yrs)]),1 )</f>
        <v>4377.9977174134756</v>
      </c>
      <c r="D394" s="11">
        <f>IF(Table1[[#This Row],[Month]]&lt;=(12*Table7[mortgage term (yrs)]),Table7[Monthly mortgage rate],Table7[Monthly Exp Renewal Rate])</f>
        <v>4.9038466830562122E-3</v>
      </c>
      <c r="E394" s="21">
        <f>Table1[[#This Row],[Current mortgage rate]]*G393</f>
        <v>-4941.7815432240041</v>
      </c>
      <c r="F394" s="5">
        <f>Table1[[#This Row],[Payment amount]]-Table1[[#This Row],[Interest paid]]</f>
        <v>9319.7792606374787</v>
      </c>
      <c r="G394" s="20">
        <f>G393-Table1[[#This Row],[Principal repaid]]-Table1[[#This Row],[Annual paym]]</f>
        <v>-1017055.5146168966</v>
      </c>
      <c r="H394" s="20">
        <f>H393-(Table1[[#This Row],[Payment amount]]-Table1[[#This Row],[Interest Paid W/O LSP]])</f>
        <v>-476667.29916972626</v>
      </c>
      <c r="I394">
        <f>H393*Table1[[#This Row],[Current mortgage rate]]</f>
        <v>-2304.7322706690065</v>
      </c>
      <c r="J394" s="25">
        <f>IF(Table1[[#This Row],[Month]]&gt;Table7[Amortization period (yrs)]*12,0,IF(Table1[[#This Row],[Month]]&lt;Table7[mortgage term (yrs)]*12,0,IF(Table1[[#This Row],[Month]]=Table7[mortgage term (yrs)]*12,-H$5,Table1[[#This Row],[Payment amount]]+B394)))</f>
        <v>0</v>
      </c>
      <c r="K394">
        <v>383</v>
      </c>
      <c r="L394">
        <f>Table7[Initial Monthly Deposit]*Table9[[#This Row],[Inflation Modifier]]</f>
        <v>739.03552631416801</v>
      </c>
      <c r="M394">
        <f xml:space="preserve"> (1+Table7[Inflation])^(QUOTIENT(Table9[[#This Row],[Month]]-1,12))</f>
        <v>1.8475888157854201</v>
      </c>
      <c r="N394">
        <f>N393*(1+Table7[Monthly SF Inter])+Table9[[#This Row],[Monthly Payment]]-O393*(1+Table7[Monthly SF Inter])</f>
        <v>12352.787073615495</v>
      </c>
      <c r="O394">
        <f>IF(MOD(Table9[[#This Row],[Month]],12)=0,(IF(Table9[[#This Row],[Current Balance]]&lt;Table9[[#This Row],[Max Lump Sum ]],Table9[[#This Row],[Current Balance]],Table9[[#This Row],[Max Lump Sum ]])),0)</f>
        <v>0</v>
      </c>
      <c r="P394" s="21">
        <f>Table7[Max annual lump sum repayment]*SUM(C395:C406)</f>
        <v>7880.3958913442566</v>
      </c>
      <c r="Q394" s="25">
        <f>Q393*(1+Table7[Monthly SF Inter])+Table9[[#This Row],[Inflation Modifier]]-R393*(1+Table7[Monthly SF Inter])</f>
        <v>20.747766010256601</v>
      </c>
      <c r="R394" s="25">
        <f>IF(MOD(Table9[[#This Row],[Month]],12)=0,Table9[[#This Row],[Q2 ACC FACTOR]],0)</f>
        <v>0</v>
      </c>
      <c r="S394" s="25">
        <f>S393*(1+D393)+Table9[[#This Row],[ACC FACTOR PAYMENTS]]</f>
        <v>1366.7158745683355</v>
      </c>
    </row>
    <row r="395" spans="1:19" x14ac:dyDescent="0.25">
      <c r="A395" s="1">
        <v>383</v>
      </c>
      <c r="B395" s="1">
        <f t="shared" si="5"/>
        <v>0</v>
      </c>
      <c r="C395" s="7">
        <f>G$12/-PV(Table7[Monthly mortgage rate], (12*Table7[Amortization period (yrs)]),1 )</f>
        <v>4377.9977174134756</v>
      </c>
      <c r="D395" s="11">
        <f>IF(Table1[[#This Row],[Month]]&lt;=(12*Table7[mortgage term (yrs)]),Table7[Monthly mortgage rate],Table7[Monthly Exp Renewal Rate])</f>
        <v>4.9038466830562122E-3</v>
      </c>
      <c r="E395" s="21">
        <f>Table1[[#This Row],[Current mortgage rate]]*G394</f>
        <v>-4987.4843118380977</v>
      </c>
      <c r="F395" s="5">
        <f>Table1[[#This Row],[Payment amount]]-Table1[[#This Row],[Interest paid]]</f>
        <v>9365.4820292515724</v>
      </c>
      <c r="G395" s="20">
        <f>G394-Table1[[#This Row],[Principal repaid]]-Table1[[#This Row],[Annual paym]]</f>
        <v>-1026420.9966461482</v>
      </c>
      <c r="H395" s="20">
        <f>H394-(Table1[[#This Row],[Payment amount]]-Table1[[#This Row],[Interest Paid W/O LSP]])</f>
        <v>-483382.80024109455</v>
      </c>
      <c r="I395">
        <f>H394*Table1[[#This Row],[Current mortgage rate]]</f>
        <v>-2337.5033539548253</v>
      </c>
      <c r="J395" s="25">
        <f>IF(Table1[[#This Row],[Month]]&gt;Table7[Amortization period (yrs)]*12,0,IF(Table1[[#This Row],[Month]]&lt;Table7[mortgage term (yrs)]*12,0,IF(Table1[[#This Row],[Month]]=Table7[mortgage term (yrs)]*12,-H$5,Table1[[#This Row],[Payment amount]]+B395)))</f>
        <v>0</v>
      </c>
      <c r="K395">
        <v>384</v>
      </c>
      <c r="L395">
        <f>Table7[Initial Monthly Deposit]*Table9[[#This Row],[Inflation Modifier]]</f>
        <v>739.03552631416801</v>
      </c>
      <c r="M395">
        <f xml:space="preserve"> (1+Table7[Inflation])^(QUOTIENT(Table9[[#This Row],[Month]]-1,12))</f>
        <v>1.8475888157854201</v>
      </c>
      <c r="N395">
        <f>N394*(1+Table7[Monthly SF Inter])+Table9[[#This Row],[Monthly Payment]]-O394*(1+Table7[Monthly SF Inter])</f>
        <v>13142.76444958018</v>
      </c>
      <c r="O395">
        <f>IF(MOD(Table9[[#This Row],[Month]],12)=0,(IF(Table9[[#This Row],[Current Balance]]&lt;Table9[[#This Row],[Max Lump Sum ]],Table9[[#This Row],[Current Balance]],Table9[[#This Row],[Max Lump Sum ]])),0)</f>
        <v>7880.3958913442566</v>
      </c>
      <c r="P395" s="21">
        <f>Table7[Max annual lump sum repayment]*SUM(C396:C407)</f>
        <v>7880.3958913442566</v>
      </c>
      <c r="Q395" s="25">
        <f>Q394*(1+Table7[Monthly SF Inter])+Table9[[#This Row],[Inflation Modifier]]-R394*(1+Table7[Monthly SF Inter])</f>
        <v>22.680916859158913</v>
      </c>
      <c r="R395" s="25">
        <f>IF(MOD(Table9[[#This Row],[Month]],12)=0,Table9[[#This Row],[Q2 ACC FACTOR]],0)</f>
        <v>22.680916859158913</v>
      </c>
      <c r="S395" s="25">
        <f>S394*(1+D394)+Table9[[#This Row],[ACC FACTOR PAYMENTS]]</f>
        <v>1396.0989565356767</v>
      </c>
    </row>
    <row r="396" spans="1:19" x14ac:dyDescent="0.25">
      <c r="A396" s="1">
        <v>384</v>
      </c>
      <c r="B396" s="1">
        <f t="shared" si="5"/>
        <v>7880.3958913442566</v>
      </c>
      <c r="C396" s="7">
        <f>G$12/-PV(Table7[Monthly mortgage rate], (12*Table7[Amortization period (yrs)]),1 )</f>
        <v>4377.9977174134756</v>
      </c>
      <c r="D396" s="11">
        <f>IF(Table1[[#This Row],[Month]]&lt;=(12*Table7[mortgage term (yrs)]),Table7[Monthly mortgage rate],Table7[Monthly Exp Renewal Rate])</f>
        <v>4.9038466830562122E-3</v>
      </c>
      <c r="E396" s="21">
        <f>Table1[[#This Row],[Current mortgage rate]]*G395</f>
        <v>-5033.4111998224653</v>
      </c>
      <c r="F396" s="5">
        <f>Table1[[#This Row],[Payment amount]]-Table1[[#This Row],[Interest paid]]</f>
        <v>9411.4089172359418</v>
      </c>
      <c r="G396" s="20">
        <f>G395-Table1[[#This Row],[Principal repaid]]-Table1[[#This Row],[Annual paym]]</f>
        <v>-1043712.8014547284</v>
      </c>
      <c r="H396" s="20">
        <f>H395-(Table1[[#This Row],[Payment amount]]-Table1[[#This Row],[Interest Paid W/O LSP]])</f>
        <v>-490131.23310011672</v>
      </c>
      <c r="I396">
        <f>H395*Table1[[#This Row],[Current mortgage rate]]</f>
        <v>-2370.4351416087152</v>
      </c>
      <c r="J396" s="25">
        <f>IF(Table1[[#This Row],[Month]]&gt;Table7[Amortization period (yrs)]*12,0,IF(Table1[[#This Row],[Month]]&lt;Table7[mortgage term (yrs)]*12,0,IF(Table1[[#This Row],[Month]]=Table7[mortgage term (yrs)]*12,-H$5,Table1[[#This Row],[Payment amount]]+B396)))</f>
        <v>0</v>
      </c>
      <c r="K396">
        <v>385</v>
      </c>
      <c r="L396">
        <f>Table7[Initial Monthly Deposit]*Table9[[#This Row],[Inflation Modifier]]</f>
        <v>753.81623684045155</v>
      </c>
      <c r="M396">
        <f xml:space="preserve"> (1+Table7[Inflation])^(QUOTIENT(Table9[[#This Row],[Month]]-1,12))</f>
        <v>1.8845405921011289</v>
      </c>
      <c r="N396">
        <f>N395*(1+Table7[Monthly SF Inter])+Table9[[#This Row],[Monthly Payment]]-O395*(1+Table7[Monthly SF Inter])</f>
        <v>6037.8863581569722</v>
      </c>
      <c r="O396">
        <f>IF(MOD(Table9[[#This Row],[Month]],12)=0,(IF(Table9[[#This Row],[Current Balance]]&lt;Table9[[#This Row],[Max Lump Sum ]],Table9[[#This Row],[Current Balance]],Table9[[#This Row],[Max Lump Sum ]])),0)</f>
        <v>0</v>
      </c>
      <c r="P396" s="21">
        <f>Table7[Max annual lump sum repayment]*SUM(C397:C408)</f>
        <v>7880.3958913442566</v>
      </c>
      <c r="Q396" s="25">
        <f>Q395*(1+Table7[Monthly SF Inter])+Table9[[#This Row],[Inflation Modifier]]-R395*(1+Table7[Monthly SF Inter])</f>
        <v>1.8845405921011285</v>
      </c>
      <c r="R396" s="25">
        <f>IF(MOD(Table9[[#This Row],[Month]],12)=0,Table9[[#This Row],[Q2 ACC FACTOR]],0)</f>
        <v>0</v>
      </c>
      <c r="S396" s="25">
        <f>S395*(1+D395)+Table9[[#This Row],[ACC FACTOR PAYMENTS]]</f>
        <v>1402.9452117729024</v>
      </c>
    </row>
    <row r="397" spans="1:19" x14ac:dyDescent="0.25">
      <c r="A397" s="1">
        <v>385</v>
      </c>
      <c r="B397" s="1">
        <f t="shared" ref="B397:B460" si="6">O396</f>
        <v>0</v>
      </c>
      <c r="C397" s="7">
        <f>G$12/-PV(Table7[Monthly mortgage rate], (12*Table7[Amortization period (yrs)]),1 )</f>
        <v>4377.9977174134756</v>
      </c>
      <c r="D397" s="11">
        <f>IF(Table1[[#This Row],[Month]]&lt;=(12*Table7[mortgage term (yrs)]),Table7[Monthly mortgage rate],Table7[Monthly Exp Renewal Rate])</f>
        <v>4.9038466830562122E-3</v>
      </c>
      <c r="E397" s="21">
        <f>Table1[[#This Row],[Current mortgage rate]]*G396</f>
        <v>-5118.2075594770768</v>
      </c>
      <c r="F397" s="5">
        <f>Table1[[#This Row],[Payment amount]]-Table1[[#This Row],[Interest paid]]</f>
        <v>9496.2052768905523</v>
      </c>
      <c r="G397" s="20">
        <f>G396-Table1[[#This Row],[Principal repaid]]-Table1[[#This Row],[Annual paym]]</f>
        <v>-1053209.0067316189</v>
      </c>
      <c r="H397" s="20">
        <f>H396-(Table1[[#This Row],[Payment amount]]-Table1[[#This Row],[Interest Paid W/O LSP]])</f>
        <v>-496912.75923923048</v>
      </c>
      <c r="I397">
        <f>H396*Table1[[#This Row],[Current mortgage rate]]</f>
        <v>-2403.5284217002586</v>
      </c>
      <c r="J397" s="25">
        <f>IF(Table1[[#This Row],[Month]]&gt;Table7[Amortization period (yrs)]*12,0,IF(Table1[[#This Row],[Month]]&lt;Table7[mortgage term (yrs)]*12,0,IF(Table1[[#This Row],[Month]]=Table7[mortgage term (yrs)]*12,-H$5,Table1[[#This Row],[Payment amount]]+B397)))</f>
        <v>0</v>
      </c>
      <c r="K397">
        <v>386</v>
      </c>
      <c r="L397">
        <f>Table7[Initial Monthly Deposit]*Table9[[#This Row],[Inflation Modifier]]</f>
        <v>753.81623684045155</v>
      </c>
      <c r="M397">
        <f xml:space="preserve"> (1+Table7[Inflation])^(QUOTIENT(Table9[[#This Row],[Month]]-1,12))</f>
        <v>1.8845405921011289</v>
      </c>
      <c r="N397">
        <f>N396*(1+Table7[Monthly SF Inter])+Table9[[#This Row],[Monthly Payment]]-O396*(1+Table7[Monthly SF Inter])</f>
        <v>6816.602327926611</v>
      </c>
      <c r="O397">
        <f>IF(MOD(Table9[[#This Row],[Month]],12)=0,(IF(Table9[[#This Row],[Current Balance]]&lt;Table9[[#This Row],[Max Lump Sum ]],Table9[[#This Row],[Current Balance]],Table9[[#This Row],[Max Lump Sum ]])),0)</f>
        <v>0</v>
      </c>
      <c r="P397" s="21">
        <f>Table7[Max annual lump sum repayment]*SUM(C398:C409)</f>
        <v>7880.3958913442566</v>
      </c>
      <c r="Q397" s="25">
        <f>Q396*(1+Table7[Monthly SF Inter])+Table9[[#This Row],[Inflation Modifier]]-R396*(1+Table7[Monthly SF Inter])</f>
        <v>3.7768528702947153</v>
      </c>
      <c r="R397" s="25">
        <f>IF(MOD(Table9[[#This Row],[Month]],12)=0,Table9[[#This Row],[Q2 ACC FACTOR]],0)</f>
        <v>0</v>
      </c>
      <c r="S397" s="25">
        <f>S396*(1+D396)+Table9[[#This Row],[ACC FACTOR PAYMENTS]]</f>
        <v>1409.8250399961646</v>
      </c>
    </row>
    <row r="398" spans="1:19" x14ac:dyDescent="0.25">
      <c r="A398" s="1">
        <v>386</v>
      </c>
      <c r="B398" s="1">
        <f t="shared" si="6"/>
        <v>0</v>
      </c>
      <c r="C398" s="7">
        <f>G$12/-PV(Table7[Monthly mortgage rate], (12*Table7[Amortization period (yrs)]),1 )</f>
        <v>4377.9977174134756</v>
      </c>
      <c r="D398" s="11">
        <f>IF(Table1[[#This Row],[Month]]&lt;=(12*Table7[mortgage term (yrs)]),Table7[Monthly mortgage rate],Table7[Monthly Exp Renewal Rate])</f>
        <v>4.9038466830562122E-3</v>
      </c>
      <c r="E398" s="21">
        <f>Table1[[#This Row],[Current mortgage rate]]*G397</f>
        <v>-5164.775494225777</v>
      </c>
      <c r="F398" s="5">
        <f>Table1[[#This Row],[Payment amount]]-Table1[[#This Row],[Interest paid]]</f>
        <v>9542.7732116392526</v>
      </c>
      <c r="G398" s="20">
        <f>G397-Table1[[#This Row],[Principal repaid]]-Table1[[#This Row],[Annual paym]]</f>
        <v>-1062751.779943258</v>
      </c>
      <c r="H398" s="20">
        <f>H397-(Table1[[#This Row],[Payment amount]]-Table1[[#This Row],[Interest Paid W/O LSP]])</f>
        <v>-503727.54094280757</v>
      </c>
      <c r="I398">
        <f>H397*Table1[[#This Row],[Current mortgage rate]]</f>
        <v>-2436.7839861636107</v>
      </c>
      <c r="J398" s="25">
        <f>IF(Table1[[#This Row],[Month]]&gt;Table7[Amortization period (yrs)]*12,0,IF(Table1[[#This Row],[Month]]&lt;Table7[mortgage term (yrs)]*12,0,IF(Table1[[#This Row],[Month]]=Table7[mortgage term (yrs)]*12,-H$5,Table1[[#This Row],[Payment amount]]+B398)))</f>
        <v>0</v>
      </c>
      <c r="K398">
        <v>387</v>
      </c>
      <c r="L398">
        <f>Table7[Initial Monthly Deposit]*Table9[[#This Row],[Inflation Modifier]]</f>
        <v>753.81623684045155</v>
      </c>
      <c r="M398">
        <f xml:space="preserve"> (1+Table7[Inflation])^(QUOTIENT(Table9[[#This Row],[Month]]-1,12))</f>
        <v>1.8845405921011289</v>
      </c>
      <c r="N398">
        <f>N397*(1+Table7[Monthly SF Inter])+Table9[[#This Row],[Monthly Payment]]-O397*(1+Table7[Monthly SF Inter])</f>
        <v>7598.5296565269373</v>
      </c>
      <c r="O398">
        <f>IF(MOD(Table9[[#This Row],[Month]],12)=0,(IF(Table9[[#This Row],[Current Balance]]&lt;Table9[[#This Row],[Max Lump Sum ]],Table9[[#This Row],[Current Balance]],Table9[[#This Row],[Max Lump Sum ]])),0)</f>
        <v>0</v>
      </c>
      <c r="P398" s="21">
        <f>Table7[Max annual lump sum repayment]*SUM(C399:C410)</f>
        <v>7880.3958913442566</v>
      </c>
      <c r="Q398" s="25">
        <f>Q397*(1+Table7[Monthly SF Inter])+Table9[[#This Row],[Inflation Modifier]]-R397*(1+Table7[Monthly SF Inter])</f>
        <v>5.676968884357227</v>
      </c>
      <c r="R398" s="25">
        <f>IF(MOD(Table9[[#This Row],[Month]],12)=0,Table9[[#This Row],[Q2 ACC FACTOR]],0)</f>
        <v>0</v>
      </c>
      <c r="S398" s="25">
        <f>S397*(1+D397)+Table9[[#This Row],[ACC FACTOR PAYMENTS]]</f>
        <v>1416.7386058422394</v>
      </c>
    </row>
    <row r="399" spans="1:19" x14ac:dyDescent="0.25">
      <c r="A399" s="1">
        <v>387</v>
      </c>
      <c r="B399" s="1">
        <f t="shared" si="6"/>
        <v>0</v>
      </c>
      <c r="C399" s="7">
        <f>G$12/-PV(Table7[Monthly mortgage rate], (12*Table7[Amortization period (yrs)]),1 )</f>
        <v>4377.9977174134756</v>
      </c>
      <c r="D399" s="11">
        <f>IF(Table1[[#This Row],[Month]]&lt;=(12*Table7[mortgage term (yrs)]),Table7[Monthly mortgage rate],Table7[Monthly Exp Renewal Rate])</f>
        <v>4.9038466830562122E-3</v>
      </c>
      <c r="E399" s="21">
        <f>Table1[[#This Row],[Current mortgage rate]]*G398</f>
        <v>-5211.5717909868317</v>
      </c>
      <c r="F399" s="5">
        <f>Table1[[#This Row],[Payment amount]]-Table1[[#This Row],[Interest paid]]</f>
        <v>9589.5695084003073</v>
      </c>
      <c r="G399" s="20">
        <f>G398-Table1[[#This Row],[Principal repaid]]-Table1[[#This Row],[Annual paym]]</f>
        <v>-1072341.3494516583</v>
      </c>
      <c r="H399" s="20">
        <f>H398-(Table1[[#This Row],[Payment amount]]-Table1[[#This Row],[Interest Paid W/O LSP]])</f>
        <v>-510575.74129103747</v>
      </c>
      <c r="I399">
        <f>H398*Table1[[#This Row],[Current mortgage rate]]</f>
        <v>-2470.2026308164491</v>
      </c>
      <c r="J399" s="25">
        <f>IF(Table1[[#This Row],[Month]]&gt;Table7[Amortization period (yrs)]*12,0,IF(Table1[[#This Row],[Month]]&lt;Table7[mortgage term (yrs)]*12,0,IF(Table1[[#This Row],[Month]]=Table7[mortgage term (yrs)]*12,-H$5,Table1[[#This Row],[Payment amount]]+B399)))</f>
        <v>0</v>
      </c>
      <c r="K399">
        <v>388</v>
      </c>
      <c r="L399">
        <f>Table7[Initial Monthly Deposit]*Table9[[#This Row],[Inflation Modifier]]</f>
        <v>753.81623684045155</v>
      </c>
      <c r="M399">
        <f xml:space="preserve"> (1+Table7[Inflation])^(QUOTIENT(Table9[[#This Row],[Month]]-1,12))</f>
        <v>1.8845405921011289</v>
      </c>
      <c r="N399">
        <f>N398*(1+Table7[Monthly SF Inter])+Table9[[#This Row],[Monthly Payment]]-O398*(1+Table7[Monthly SF Inter])</f>
        <v>8383.6815873302967</v>
      </c>
      <c r="O399">
        <f>IF(MOD(Table9[[#This Row],[Month]],12)=0,(IF(Table9[[#This Row],[Current Balance]]&lt;Table9[[#This Row],[Max Lump Sum ]],Table9[[#This Row],[Current Balance]],Table9[[#This Row],[Max Lump Sum ]])),0)</f>
        <v>0</v>
      </c>
      <c r="P399" s="21">
        <f>Table7[Max annual lump sum repayment]*SUM(C400:C411)</f>
        <v>7880.3958913442566</v>
      </c>
      <c r="Q399" s="25">
        <f>Q398*(1+Table7[Monthly SF Inter])+Table9[[#This Row],[Inflation Modifier]]-R398*(1+Table7[Monthly SF Inter])</f>
        <v>7.5849208162356998</v>
      </c>
      <c r="R399" s="25">
        <f>IF(MOD(Table9[[#This Row],[Month]],12)=0,Table9[[#This Row],[Q2 ACC FACTOR]],0)</f>
        <v>0</v>
      </c>
      <c r="S399" s="25">
        <f>S398*(1+D398)+Table9[[#This Row],[ACC FACTOR PAYMENTS]]</f>
        <v>1423.6860747552566</v>
      </c>
    </row>
    <row r="400" spans="1:19" x14ac:dyDescent="0.25">
      <c r="A400" s="1">
        <v>388</v>
      </c>
      <c r="B400" s="1">
        <f t="shared" si="6"/>
        <v>0</v>
      </c>
      <c r="C400" s="7">
        <f>G$12/-PV(Table7[Monthly mortgage rate], (12*Table7[Amortization period (yrs)]),1 )</f>
        <v>4377.9977174134756</v>
      </c>
      <c r="D400" s="11">
        <f>IF(Table1[[#This Row],[Month]]&lt;=(12*Table7[mortgage term (yrs)]),Table7[Monthly mortgage rate],Table7[Monthly Exp Renewal Rate])</f>
        <v>4.9038466830562122E-3</v>
      </c>
      <c r="E400" s="21">
        <f>Table1[[#This Row],[Current mortgage rate]]*G399</f>
        <v>-5258.597569612537</v>
      </c>
      <c r="F400" s="5">
        <f>Table1[[#This Row],[Payment amount]]-Table1[[#This Row],[Interest paid]]</f>
        <v>9636.5952870260116</v>
      </c>
      <c r="G400" s="20">
        <f>G399-Table1[[#This Row],[Principal repaid]]-Table1[[#This Row],[Annual paym]]</f>
        <v>-1081977.9447386842</v>
      </c>
      <c r="H400" s="20">
        <f>H399-(Table1[[#This Row],[Payment amount]]-Table1[[#This Row],[Interest Paid W/O LSP]])</f>
        <v>-517457.52416382998</v>
      </c>
      <c r="I400">
        <f>H399*Table1[[#This Row],[Current mortgage rate]]</f>
        <v>-2503.785155379021</v>
      </c>
      <c r="J400" s="25">
        <f>IF(Table1[[#This Row],[Month]]&gt;Table7[Amortization period (yrs)]*12,0,IF(Table1[[#This Row],[Month]]&lt;Table7[mortgage term (yrs)]*12,0,IF(Table1[[#This Row],[Month]]=Table7[mortgage term (yrs)]*12,-H$5,Table1[[#This Row],[Payment amount]]+B400)))</f>
        <v>0</v>
      </c>
      <c r="K400">
        <v>389</v>
      </c>
      <c r="L400">
        <f>Table7[Initial Monthly Deposit]*Table9[[#This Row],[Inflation Modifier]]</f>
        <v>753.81623684045155</v>
      </c>
      <c r="M400">
        <f xml:space="preserve"> (1+Table7[Inflation])^(QUOTIENT(Table9[[#This Row],[Month]]-1,12))</f>
        <v>1.8845405921011289</v>
      </c>
      <c r="N400">
        <f>N399*(1+Table7[Monthly SF Inter])+Table9[[#This Row],[Monthly Payment]]-O399*(1+Table7[Monthly SF Inter])</f>
        <v>9172.071418323585</v>
      </c>
      <c r="O400">
        <f>IF(MOD(Table9[[#This Row],[Month]],12)=0,(IF(Table9[[#This Row],[Current Balance]]&lt;Table9[[#This Row],[Max Lump Sum ]],Table9[[#This Row],[Current Balance]],Table9[[#This Row],[Max Lump Sum ]])),0)</f>
        <v>0</v>
      </c>
      <c r="P400" s="21">
        <f>Table7[Max annual lump sum repayment]*SUM(C401:C412)</f>
        <v>7880.3958913442566</v>
      </c>
      <c r="Q400" s="25">
        <f>Q399*(1+Table7[Monthly SF Inter])+Table9[[#This Row],[Inflation Modifier]]-R399*(1+Table7[Monthly SF Inter])</f>
        <v>9.5007409805927967</v>
      </c>
      <c r="R400" s="25">
        <f>IF(MOD(Table9[[#This Row],[Month]],12)=0,Table9[[#This Row],[Q2 ACC FACTOR]],0)</f>
        <v>0</v>
      </c>
      <c r="S400" s="25">
        <f>S399*(1+D399)+Table9[[#This Row],[ACC FACTOR PAYMENTS]]</f>
        <v>1430.6676129906584</v>
      </c>
    </row>
    <row r="401" spans="1:19" x14ac:dyDescent="0.25">
      <c r="A401" s="1">
        <v>389</v>
      </c>
      <c r="B401" s="1">
        <f t="shared" si="6"/>
        <v>0</v>
      </c>
      <c r="C401" s="7">
        <f>G$12/-PV(Table7[Monthly mortgage rate], (12*Table7[Amortization period (yrs)]),1 )</f>
        <v>4377.9977174134756</v>
      </c>
      <c r="D401" s="11">
        <f>IF(Table1[[#This Row],[Month]]&lt;=(12*Table7[mortgage term (yrs)]),Table7[Monthly mortgage rate],Table7[Monthly Exp Renewal Rate])</f>
        <v>4.9038466830562122E-3</v>
      </c>
      <c r="E401" s="21">
        <f>Table1[[#This Row],[Current mortgage rate]]*G400</f>
        <v>-5305.8539554467743</v>
      </c>
      <c r="F401" s="5">
        <f>Table1[[#This Row],[Payment amount]]-Table1[[#This Row],[Interest paid]]</f>
        <v>9683.8516728602499</v>
      </c>
      <c r="G401" s="20">
        <f>G400-Table1[[#This Row],[Principal repaid]]-Table1[[#This Row],[Annual paym]]</f>
        <v>-1091661.7964115446</v>
      </c>
      <c r="H401" s="20">
        <f>H400-(Table1[[#This Row],[Payment amount]]-Table1[[#This Row],[Interest Paid W/O LSP]])</f>
        <v>-524373.05424473668</v>
      </c>
      <c r="I401">
        <f>H400*Table1[[#This Row],[Current mortgage rate]]</f>
        <v>-2537.5323634932774</v>
      </c>
      <c r="J401" s="25">
        <f>IF(Table1[[#This Row],[Month]]&gt;Table7[Amortization period (yrs)]*12,0,IF(Table1[[#This Row],[Month]]&lt;Table7[mortgage term (yrs)]*12,0,IF(Table1[[#This Row],[Month]]=Table7[mortgage term (yrs)]*12,-H$5,Table1[[#This Row],[Payment amount]]+B401)))</f>
        <v>0</v>
      </c>
      <c r="K401">
        <v>390</v>
      </c>
      <c r="L401">
        <f>Table7[Initial Monthly Deposit]*Table9[[#This Row],[Inflation Modifier]]</f>
        <v>753.81623684045155</v>
      </c>
      <c r="M401">
        <f xml:space="preserve"> (1+Table7[Inflation])^(QUOTIENT(Table9[[#This Row],[Month]]-1,12))</f>
        <v>1.8845405921011289</v>
      </c>
      <c r="N401">
        <f>N400*(1+Table7[Monthly SF Inter])+Table9[[#This Row],[Monthly Payment]]-O400*(1+Table7[Monthly SF Inter])</f>
        <v>9963.7125023334684</v>
      </c>
      <c r="O401">
        <f>IF(MOD(Table9[[#This Row],[Month]],12)=0,(IF(Table9[[#This Row],[Current Balance]]&lt;Table9[[#This Row],[Max Lump Sum ]],Table9[[#This Row],[Current Balance]],Table9[[#This Row],[Max Lump Sum ]])),0)</f>
        <v>0</v>
      </c>
      <c r="P401" s="21">
        <f>Table7[Max annual lump sum repayment]*SUM(C402:C413)</f>
        <v>7880.3958913442566</v>
      </c>
      <c r="Q401" s="25">
        <f>Q400*(1+Table7[Monthly SF Inter])+Table9[[#This Row],[Inflation Modifier]]-R400*(1+Table7[Monthly SF Inter])</f>
        <v>11.424461825354122</v>
      </c>
      <c r="R401" s="25">
        <f>IF(MOD(Table9[[#This Row],[Month]],12)=0,Table9[[#This Row],[Q2 ACC FACTOR]],0)</f>
        <v>0</v>
      </c>
      <c r="S401" s="25">
        <f>S400*(1+D400)+Table9[[#This Row],[ACC FACTOR PAYMENTS]]</f>
        <v>1437.6833876191786</v>
      </c>
    </row>
    <row r="402" spans="1:19" x14ac:dyDescent="0.25">
      <c r="A402" s="1">
        <v>390</v>
      </c>
      <c r="B402" s="1">
        <f t="shared" si="6"/>
        <v>0</v>
      </c>
      <c r="C402" s="7">
        <f>G$12/-PV(Table7[Monthly mortgage rate], (12*Table7[Amortization period (yrs)]),1 )</f>
        <v>4377.9977174134756</v>
      </c>
      <c r="D402" s="11">
        <f>IF(Table1[[#This Row],[Month]]&lt;=(12*Table7[mortgage term (yrs)]),Table7[Monthly mortgage rate],Table7[Monthly Exp Renewal Rate])</f>
        <v>4.9038466830562122E-3</v>
      </c>
      <c r="E402" s="21">
        <f>Table1[[#This Row],[Current mortgage rate]]*G401</f>
        <v>-5353.342079351939</v>
      </c>
      <c r="F402" s="5">
        <f>Table1[[#This Row],[Payment amount]]-Table1[[#This Row],[Interest paid]]</f>
        <v>9731.3397967654146</v>
      </c>
      <c r="G402" s="20">
        <f>G401-Table1[[#This Row],[Principal repaid]]-Table1[[#This Row],[Annual paym]]</f>
        <v>-1101393.13620831</v>
      </c>
      <c r="H402" s="20">
        <f>H401-(Table1[[#This Row],[Payment amount]]-Table1[[#This Row],[Interest Paid W/O LSP]])</f>
        <v>-531322.49702489225</v>
      </c>
      <c r="I402">
        <f>H401*Table1[[#This Row],[Current mortgage rate]]</f>
        <v>-2571.445062742107</v>
      </c>
      <c r="J402" s="25">
        <f>IF(Table1[[#This Row],[Month]]&gt;Table7[Amortization period (yrs)]*12,0,IF(Table1[[#This Row],[Month]]&lt;Table7[mortgage term (yrs)]*12,0,IF(Table1[[#This Row],[Month]]=Table7[mortgage term (yrs)]*12,-H$5,Table1[[#This Row],[Payment amount]]+B402)))</f>
        <v>0</v>
      </c>
      <c r="K402">
        <v>391</v>
      </c>
      <c r="L402">
        <f>Table7[Initial Monthly Deposit]*Table9[[#This Row],[Inflation Modifier]]</f>
        <v>753.81623684045155</v>
      </c>
      <c r="M402">
        <f xml:space="preserve"> (1+Table7[Inflation])^(QUOTIENT(Table9[[#This Row],[Month]]-1,12))</f>
        <v>1.8845405921011289</v>
      </c>
      <c r="N402">
        <f>N401*(1+Table7[Monthly SF Inter])+Table9[[#This Row],[Monthly Payment]]-O401*(1+Table7[Monthly SF Inter])</f>
        <v>10758.618247252543</v>
      </c>
      <c r="O402">
        <f>IF(MOD(Table9[[#This Row],[Month]],12)=0,(IF(Table9[[#This Row],[Current Balance]]&lt;Table9[[#This Row],[Max Lump Sum ]],Table9[[#This Row],[Current Balance]],Table9[[#This Row],[Max Lump Sum ]])),0)</f>
        <v>0</v>
      </c>
      <c r="P402" s="21">
        <f>Table7[Max annual lump sum repayment]*SUM(C403:C414)</f>
        <v>7880.3958913442566</v>
      </c>
      <c r="Q402" s="25">
        <f>Q401*(1+Table7[Monthly SF Inter])+Table9[[#This Row],[Inflation Modifier]]-R401*(1+Table7[Monthly SF Inter])</f>
        <v>13.356115932257778</v>
      </c>
      <c r="R402" s="25">
        <f>IF(MOD(Table9[[#This Row],[Month]],12)=0,Table9[[#This Row],[Q2 ACC FACTOR]],0)</f>
        <v>0</v>
      </c>
      <c r="S402" s="25">
        <f>S401*(1+D401)+Table9[[#This Row],[ACC FACTOR PAYMENTS]]</f>
        <v>1444.7335665308399</v>
      </c>
    </row>
    <row r="403" spans="1:19" x14ac:dyDescent="0.25">
      <c r="A403" s="1">
        <v>391</v>
      </c>
      <c r="B403" s="1">
        <f t="shared" si="6"/>
        <v>0</v>
      </c>
      <c r="C403" s="7">
        <f>G$12/-PV(Table7[Monthly mortgage rate], (12*Table7[Amortization period (yrs)]),1 )</f>
        <v>4377.9977174134756</v>
      </c>
      <c r="D403" s="11">
        <f>IF(Table1[[#This Row],[Month]]&lt;=(12*Table7[mortgage term (yrs)]),Table7[Monthly mortgage rate],Table7[Monthly Exp Renewal Rate])</f>
        <v>4.9038466830562122E-3</v>
      </c>
      <c r="E403" s="21">
        <f>Table1[[#This Row],[Current mortgage rate]]*G402</f>
        <v>-5401.0630777360002</v>
      </c>
      <c r="F403" s="5">
        <f>Table1[[#This Row],[Payment amount]]-Table1[[#This Row],[Interest paid]]</f>
        <v>9779.0607951494749</v>
      </c>
      <c r="G403" s="20">
        <f>G402-Table1[[#This Row],[Principal repaid]]-Table1[[#This Row],[Annual paym]]</f>
        <v>-1111172.1970034596</v>
      </c>
      <c r="H403" s="20">
        <f>H402-(Table1[[#This Row],[Payment amount]]-Table1[[#This Row],[Interest Paid W/O LSP]])</f>
        <v>-538306.0188069744</v>
      </c>
      <c r="I403">
        <f>H402*Table1[[#This Row],[Current mortgage rate]]</f>
        <v>-2605.524064668662</v>
      </c>
      <c r="J403" s="25">
        <f>IF(Table1[[#This Row],[Month]]&gt;Table7[Amortization period (yrs)]*12,0,IF(Table1[[#This Row],[Month]]&lt;Table7[mortgage term (yrs)]*12,0,IF(Table1[[#This Row],[Month]]=Table7[mortgage term (yrs)]*12,-H$5,Table1[[#This Row],[Payment amount]]+B403)))</f>
        <v>0</v>
      </c>
      <c r="K403">
        <v>392</v>
      </c>
      <c r="L403">
        <f>Table7[Initial Monthly Deposit]*Table9[[#This Row],[Inflation Modifier]]</f>
        <v>753.81623684045155</v>
      </c>
      <c r="M403">
        <f xml:space="preserve"> (1+Table7[Inflation])^(QUOTIENT(Table9[[#This Row],[Month]]-1,12))</f>
        <v>1.8845405921011289</v>
      </c>
      <c r="N403">
        <f>N402*(1+Table7[Monthly SF Inter])+Table9[[#This Row],[Monthly Payment]]-O402*(1+Table7[Monthly SF Inter])</f>
        <v>11556.802116266423</v>
      </c>
      <c r="O403">
        <f>IF(MOD(Table9[[#This Row],[Month]],12)=0,(IF(Table9[[#This Row],[Current Balance]]&lt;Table9[[#This Row],[Max Lump Sum ]],Table9[[#This Row],[Current Balance]],Table9[[#This Row],[Max Lump Sum ]])),0)</f>
        <v>0</v>
      </c>
      <c r="P403" s="21">
        <f>Table7[Max annual lump sum repayment]*SUM(C404:C415)</f>
        <v>7880.3958913442566</v>
      </c>
      <c r="Q403" s="25">
        <f>Q402*(1+Table7[Monthly SF Inter])+Table9[[#This Row],[Inflation Modifier]]-R402*(1+Table7[Monthly SF Inter])</f>
        <v>15.295736017406202</v>
      </c>
      <c r="R403" s="25">
        <f>IF(MOD(Table9[[#This Row],[Month]],12)=0,Table9[[#This Row],[Q2 ACC FACTOR]],0)</f>
        <v>0</v>
      </c>
      <c r="S403" s="25">
        <f>S402*(1+D402)+Table9[[#This Row],[ACC FACTOR PAYMENTS]]</f>
        <v>1451.818318438972</v>
      </c>
    </row>
    <row r="404" spans="1:19" x14ac:dyDescent="0.25">
      <c r="A404" s="1">
        <v>392</v>
      </c>
      <c r="B404" s="1">
        <f t="shared" si="6"/>
        <v>0</v>
      </c>
      <c r="C404" s="7">
        <f>G$12/-PV(Table7[Monthly mortgage rate], (12*Table7[Amortization period (yrs)]),1 )</f>
        <v>4377.9977174134756</v>
      </c>
      <c r="D404" s="11">
        <f>IF(Table1[[#This Row],[Month]]&lt;=(12*Table7[mortgage term (yrs)]),Table7[Monthly mortgage rate],Table7[Monthly Exp Renewal Rate])</f>
        <v>4.9038466830562122E-3</v>
      </c>
      <c r="E404" s="21">
        <f>Table1[[#This Row],[Current mortgage rate]]*G403</f>
        <v>-5449.0180925796994</v>
      </c>
      <c r="F404" s="5">
        <f>Table1[[#This Row],[Payment amount]]-Table1[[#This Row],[Interest paid]]</f>
        <v>9827.0158099931759</v>
      </c>
      <c r="G404" s="20">
        <f>G403-Table1[[#This Row],[Principal repaid]]-Table1[[#This Row],[Annual paym]]</f>
        <v>-1120999.2128134528</v>
      </c>
      <c r="H404" s="20">
        <f>H403-(Table1[[#This Row],[Payment amount]]-Table1[[#This Row],[Interest Paid W/O LSP]])</f>
        <v>-545323.78670918371</v>
      </c>
      <c r="I404">
        <f>H403*Table1[[#This Row],[Current mortgage rate]]</f>
        <v>-2639.7701847957765</v>
      </c>
      <c r="J404" s="25">
        <f>IF(Table1[[#This Row],[Month]]&gt;Table7[Amortization period (yrs)]*12,0,IF(Table1[[#This Row],[Month]]&lt;Table7[mortgage term (yrs)]*12,0,IF(Table1[[#This Row],[Month]]=Table7[mortgage term (yrs)]*12,-H$5,Table1[[#This Row],[Payment amount]]+B404)))</f>
        <v>0</v>
      </c>
      <c r="K404">
        <v>393</v>
      </c>
      <c r="L404">
        <f>Table7[Initial Monthly Deposit]*Table9[[#This Row],[Inflation Modifier]]</f>
        <v>753.81623684045155</v>
      </c>
      <c r="M404">
        <f xml:space="preserve"> (1+Table7[Inflation])^(QUOTIENT(Table9[[#This Row],[Month]]-1,12))</f>
        <v>1.8845405921011289</v>
      </c>
      <c r="N404">
        <f>N403*(1+Table7[Monthly SF Inter])+Table9[[#This Row],[Monthly Payment]]-O403*(1+Table7[Monthly SF Inter])</f>
        <v>12358.277628081758</v>
      </c>
      <c r="O404">
        <f>IF(MOD(Table9[[#This Row],[Month]],12)=0,(IF(Table9[[#This Row],[Current Balance]]&lt;Table9[[#This Row],[Max Lump Sum ]],Table9[[#This Row],[Current Balance]],Table9[[#This Row],[Max Lump Sum ]])),0)</f>
        <v>0</v>
      </c>
      <c r="P404" s="21">
        <f>Table7[Max annual lump sum repayment]*SUM(C405:C416)</f>
        <v>7880.3958913442566</v>
      </c>
      <c r="Q404" s="25">
        <f>Q403*(1+Table7[Monthly SF Inter])+Table9[[#This Row],[Inflation Modifier]]-R403*(1+Table7[Monthly SF Inter])</f>
        <v>17.243354931820278</v>
      </c>
      <c r="R404" s="25">
        <f>IF(MOD(Table9[[#This Row],[Month]],12)=0,Table9[[#This Row],[Q2 ACC FACTOR]],0)</f>
        <v>0</v>
      </c>
      <c r="S404" s="25">
        <f>S403*(1+D403)+Table9[[#This Row],[ACC FACTOR PAYMENTS]]</f>
        <v>1458.9378128842493</v>
      </c>
    </row>
    <row r="405" spans="1:19" x14ac:dyDescent="0.25">
      <c r="A405" s="1">
        <v>393</v>
      </c>
      <c r="B405" s="1">
        <f t="shared" si="6"/>
        <v>0</v>
      </c>
      <c r="C405" s="7">
        <f>G$12/-PV(Table7[Monthly mortgage rate], (12*Table7[Amortization period (yrs)]),1 )</f>
        <v>4377.9977174134756</v>
      </c>
      <c r="D405" s="11">
        <f>IF(Table1[[#This Row],[Month]]&lt;=(12*Table7[mortgage term (yrs)]),Table7[Monthly mortgage rate],Table7[Monthly Exp Renewal Rate])</f>
        <v>4.9038466830562122E-3</v>
      </c>
      <c r="E405" s="21">
        <f>Table1[[#This Row],[Current mortgage rate]]*G404</f>
        <v>-5497.2082714638755</v>
      </c>
      <c r="F405" s="5">
        <f>Table1[[#This Row],[Payment amount]]-Table1[[#This Row],[Interest paid]]</f>
        <v>9875.205988877351</v>
      </c>
      <c r="G405" s="20">
        <f>G404-Table1[[#This Row],[Principal repaid]]-Table1[[#This Row],[Annual paym]]</f>
        <v>-1130874.4188023303</v>
      </c>
      <c r="H405" s="20">
        <f>H404-(Table1[[#This Row],[Payment amount]]-Table1[[#This Row],[Interest Paid W/O LSP]])</f>
        <v>-552375.96866924269</v>
      </c>
      <c r="I405">
        <f>H404*Table1[[#This Row],[Current mortgage rate]]</f>
        <v>-2674.1842426454837</v>
      </c>
      <c r="J405" s="25">
        <f>IF(Table1[[#This Row],[Month]]&gt;Table7[Amortization period (yrs)]*12,0,IF(Table1[[#This Row],[Month]]&lt;Table7[mortgage term (yrs)]*12,0,IF(Table1[[#This Row],[Month]]=Table7[mortgage term (yrs)]*12,-H$5,Table1[[#This Row],[Payment amount]]+B405)))</f>
        <v>0</v>
      </c>
      <c r="K405">
        <v>394</v>
      </c>
      <c r="L405">
        <f>Table7[Initial Monthly Deposit]*Table9[[#This Row],[Inflation Modifier]]</f>
        <v>753.81623684045155</v>
      </c>
      <c r="M405">
        <f xml:space="preserve"> (1+Table7[Inflation])^(QUOTIENT(Table9[[#This Row],[Month]]-1,12))</f>
        <v>1.8845405921011289</v>
      </c>
      <c r="N405">
        <f>N404*(1+Table7[Monthly SF Inter])+Table9[[#This Row],[Monthly Payment]]-O404*(1+Table7[Monthly SF Inter])</f>
        <v>13163.058357155202</v>
      </c>
      <c r="O405">
        <f>IF(MOD(Table9[[#This Row],[Month]],12)=0,(IF(Table9[[#This Row],[Current Balance]]&lt;Table9[[#This Row],[Max Lump Sum ]],Table9[[#This Row],[Current Balance]],Table9[[#This Row],[Max Lump Sum ]])),0)</f>
        <v>0</v>
      </c>
      <c r="P405" s="21">
        <f>Table7[Max annual lump sum repayment]*SUM(C406:C417)</f>
        <v>7880.3958913442566</v>
      </c>
      <c r="Q405" s="25">
        <f>Q404*(1+Table7[Monthly SF Inter])+Table9[[#This Row],[Inflation Modifier]]-R404*(1+Table7[Monthly SF Inter])</f>
        <v>19.199005661995709</v>
      </c>
      <c r="R405" s="25">
        <f>IF(MOD(Table9[[#This Row],[Month]],12)=0,Table9[[#This Row],[Q2 ACC FACTOR]],0)</f>
        <v>0</v>
      </c>
      <c r="S405" s="25">
        <f>S404*(1+D404)+Table9[[#This Row],[ACC FACTOR PAYMENTS]]</f>
        <v>1466.0922202387469</v>
      </c>
    </row>
    <row r="406" spans="1:19" x14ac:dyDescent="0.25">
      <c r="A406" s="1">
        <v>394</v>
      </c>
      <c r="B406" s="1">
        <f t="shared" si="6"/>
        <v>0</v>
      </c>
      <c r="C406" s="7">
        <f>G$12/-PV(Table7[Monthly mortgage rate], (12*Table7[Amortization period (yrs)]),1 )</f>
        <v>4377.9977174134756</v>
      </c>
      <c r="D406" s="11">
        <f>IF(Table1[[#This Row],[Month]]&lt;=(12*Table7[mortgage term (yrs)]),Table7[Monthly mortgage rate],Table7[Monthly Exp Renewal Rate])</f>
        <v>4.9038466830562122E-3</v>
      </c>
      <c r="E406" s="21">
        <f>Table1[[#This Row],[Current mortgage rate]]*G405</f>
        <v>-5545.6347675969291</v>
      </c>
      <c r="F406" s="5">
        <f>Table1[[#This Row],[Payment amount]]-Table1[[#This Row],[Interest paid]]</f>
        <v>9923.6324850104047</v>
      </c>
      <c r="G406" s="20">
        <f>G405-Table1[[#This Row],[Principal repaid]]-Table1[[#This Row],[Annual paym]]</f>
        <v>-1140798.0512873407</v>
      </c>
      <c r="H406" s="20">
        <f>H405-(Table1[[#This Row],[Payment amount]]-Table1[[#This Row],[Interest Paid W/O LSP]])</f>
        <v>-559462.73344841483</v>
      </c>
      <c r="I406">
        <f>H405*Table1[[#This Row],[Current mortgage rate]]</f>
        <v>-2708.7670617586277</v>
      </c>
      <c r="J406" s="25">
        <f>IF(Table1[[#This Row],[Month]]&gt;Table7[Amortization period (yrs)]*12,0,IF(Table1[[#This Row],[Month]]&lt;Table7[mortgage term (yrs)]*12,0,IF(Table1[[#This Row],[Month]]=Table7[mortgage term (yrs)]*12,-H$5,Table1[[#This Row],[Payment amount]]+B406)))</f>
        <v>0</v>
      </c>
      <c r="K406">
        <v>395</v>
      </c>
      <c r="L406">
        <f>Table7[Initial Monthly Deposit]*Table9[[#This Row],[Inflation Modifier]]</f>
        <v>753.81623684045155</v>
      </c>
      <c r="M406">
        <f xml:space="preserve"> (1+Table7[Inflation])^(QUOTIENT(Table9[[#This Row],[Month]]-1,12))</f>
        <v>1.8845405921011289</v>
      </c>
      <c r="N406">
        <f>N405*(1+Table7[Monthly SF Inter])+Table9[[#This Row],[Monthly Payment]]-O405*(1+Table7[Monthly SF Inter])</f>
        <v>13971.157933923321</v>
      </c>
      <c r="O406">
        <f>IF(MOD(Table9[[#This Row],[Month]],12)=0,(IF(Table9[[#This Row],[Current Balance]]&lt;Table9[[#This Row],[Max Lump Sum ]],Table9[[#This Row],[Current Balance]],Table9[[#This Row],[Max Lump Sum ]])),0)</f>
        <v>0</v>
      </c>
      <c r="P406" s="21">
        <f>Table7[Max annual lump sum repayment]*SUM(C407:C418)</f>
        <v>7880.3958913442566</v>
      </c>
      <c r="Q406" s="25">
        <f>Q405*(1+Table7[Monthly SF Inter])+Table9[[#This Row],[Inflation Modifier]]-R405*(1+Table7[Monthly SF Inter])</f>
        <v>21.162721330461732</v>
      </c>
      <c r="R406" s="25">
        <f>IF(MOD(Table9[[#This Row],[Month]],12)=0,Table9[[#This Row],[Q2 ACC FACTOR]],0)</f>
        <v>0</v>
      </c>
      <c r="S406" s="25">
        <f>S405*(1+D405)+Table9[[#This Row],[ACC FACTOR PAYMENTS]]</f>
        <v>1473.2817117100192</v>
      </c>
    </row>
    <row r="407" spans="1:19" x14ac:dyDescent="0.25">
      <c r="A407" s="1">
        <v>395</v>
      </c>
      <c r="B407" s="1">
        <f t="shared" si="6"/>
        <v>0</v>
      </c>
      <c r="C407" s="7">
        <f>G$12/-PV(Table7[Monthly mortgage rate], (12*Table7[Amortization period (yrs)]),1 )</f>
        <v>4377.9977174134756</v>
      </c>
      <c r="D407" s="11">
        <f>IF(Table1[[#This Row],[Month]]&lt;=(12*Table7[mortgage term (yrs)]),Table7[Monthly mortgage rate],Table7[Monthly Exp Renewal Rate])</f>
        <v>4.9038466830562122E-3</v>
      </c>
      <c r="E407" s="21">
        <f>Table1[[#This Row],[Current mortgage rate]]*G406</f>
        <v>-5594.2987398424166</v>
      </c>
      <c r="F407" s="5">
        <f>Table1[[#This Row],[Payment amount]]-Table1[[#This Row],[Interest paid]]</f>
        <v>9972.2964572558922</v>
      </c>
      <c r="G407" s="20">
        <f>G406-Table1[[#This Row],[Principal repaid]]-Table1[[#This Row],[Annual paym]]</f>
        <v>-1150770.3477445967</v>
      </c>
      <c r="H407" s="20">
        <f>H406-(Table1[[#This Row],[Payment amount]]-Table1[[#This Row],[Interest Paid W/O LSP]])</f>
        <v>-566584.25063554291</v>
      </c>
      <c r="I407">
        <f>H406*Table1[[#This Row],[Current mortgage rate]]</f>
        <v>-2743.5194697145707</v>
      </c>
      <c r="J407" s="25">
        <f>IF(Table1[[#This Row],[Month]]&gt;Table7[Amortization period (yrs)]*12,0,IF(Table1[[#This Row],[Month]]&lt;Table7[mortgage term (yrs)]*12,0,IF(Table1[[#This Row],[Month]]=Table7[mortgage term (yrs)]*12,-H$5,Table1[[#This Row],[Payment amount]]+B407)))</f>
        <v>0</v>
      </c>
      <c r="K407">
        <v>396</v>
      </c>
      <c r="L407">
        <f>Table7[Initial Monthly Deposit]*Table9[[#This Row],[Inflation Modifier]]</f>
        <v>753.81623684045155</v>
      </c>
      <c r="M407">
        <f xml:space="preserve"> (1+Table7[Inflation])^(QUOTIENT(Table9[[#This Row],[Month]]-1,12))</f>
        <v>1.8845405921011289</v>
      </c>
      <c r="N407">
        <f>N406*(1+Table7[Monthly SF Inter])+Table9[[#This Row],[Monthly Payment]]-O406*(1+Table7[Monthly SF Inter])</f>
        <v>14782.590045033452</v>
      </c>
      <c r="O407">
        <f>IF(MOD(Table9[[#This Row],[Month]],12)=0,(IF(Table9[[#This Row],[Current Balance]]&lt;Table9[[#This Row],[Max Lump Sum ]],Table9[[#This Row],[Current Balance]],Table9[[#This Row],[Max Lump Sum ]])),0)</f>
        <v>7880.3958913442566</v>
      </c>
      <c r="P407" s="21">
        <f>Table7[Max annual lump sum repayment]*SUM(C408:C419)</f>
        <v>7880.3958913442566</v>
      </c>
      <c r="Q407" s="25">
        <f>Q406*(1+Table7[Monthly SF Inter])+Table9[[#This Row],[Inflation Modifier]]-R406*(1+Table7[Monthly SF Inter])</f>
        <v>23.134535196342089</v>
      </c>
      <c r="R407" s="25">
        <f>IF(MOD(Table9[[#This Row],[Month]],12)=0,Table9[[#This Row],[Q2 ACC FACTOR]],0)</f>
        <v>23.134535196342089</v>
      </c>
      <c r="S407" s="25">
        <f>S406*(1+D406)+Table9[[#This Row],[ACC FACTOR PAYMENTS]]</f>
        <v>1503.6409945415378</v>
      </c>
    </row>
    <row r="408" spans="1:19" x14ac:dyDescent="0.25">
      <c r="A408" s="1">
        <v>396</v>
      </c>
      <c r="B408" s="1">
        <f t="shared" si="6"/>
        <v>7880.3958913442566</v>
      </c>
      <c r="C408" s="7">
        <f>G$12/-PV(Table7[Monthly mortgage rate], (12*Table7[Amortization period (yrs)]),1 )</f>
        <v>4377.9977174134756</v>
      </c>
      <c r="D408" s="11">
        <f>IF(Table1[[#This Row],[Month]]&lt;=(12*Table7[mortgage term (yrs)]),Table7[Monthly mortgage rate],Table7[Monthly Exp Renewal Rate])</f>
        <v>4.9038466830562122E-3</v>
      </c>
      <c r="E408" s="21">
        <f>Table1[[#This Row],[Current mortgage rate]]*G407</f>
        <v>-5643.2013527467843</v>
      </c>
      <c r="F408" s="5">
        <f>Table1[[#This Row],[Payment amount]]-Table1[[#This Row],[Interest paid]]</f>
        <v>10021.199070160259</v>
      </c>
      <c r="G408" s="20">
        <f>G407-Table1[[#This Row],[Principal repaid]]-Table1[[#This Row],[Annual paym]]</f>
        <v>-1168671.9427061011</v>
      </c>
      <c r="H408" s="20">
        <f>H407-(Table1[[#This Row],[Payment amount]]-Table1[[#This Row],[Interest Paid W/O LSP]])</f>
        <v>-573740.69065110735</v>
      </c>
      <c r="I408">
        <f>H407*Table1[[#This Row],[Current mortgage rate]]</f>
        <v>-2778.4422981509965</v>
      </c>
      <c r="J408" s="25">
        <f>IF(Table1[[#This Row],[Month]]&gt;Table7[Amortization period (yrs)]*12,0,IF(Table1[[#This Row],[Month]]&lt;Table7[mortgage term (yrs)]*12,0,IF(Table1[[#This Row],[Month]]=Table7[mortgage term (yrs)]*12,-H$5,Table1[[#This Row],[Payment amount]]+B408)))</f>
        <v>0</v>
      </c>
      <c r="K408">
        <v>397</v>
      </c>
      <c r="L408">
        <f>Table7[Initial Monthly Deposit]*Table9[[#This Row],[Inflation Modifier]]</f>
        <v>768.89256157726061</v>
      </c>
      <c r="M408">
        <f xml:space="preserve"> (1+Table7[Inflation])^(QUOTIENT(Table9[[#This Row],[Month]]-1,12))</f>
        <v>1.9222314039431516</v>
      </c>
      <c r="N408">
        <f>N407*(1+Table7[Monthly SF Inter])+Table9[[#This Row],[Monthly Payment]]-O407*(1+Table7[Monthly SF Inter])</f>
        <v>7699.5507804802828</v>
      </c>
      <c r="O408">
        <f>IF(MOD(Table9[[#This Row],[Month]],12)=0,(IF(Table9[[#This Row],[Current Balance]]&lt;Table9[[#This Row],[Max Lump Sum ]],Table9[[#This Row],[Current Balance]],Table9[[#This Row],[Max Lump Sum ]])),0)</f>
        <v>0</v>
      </c>
      <c r="P408" s="21">
        <f>Table7[Max annual lump sum repayment]*SUM(C409:C420)</f>
        <v>7880.3958913442566</v>
      </c>
      <c r="Q408" s="25">
        <f>Q407*(1+Table7[Monthly SF Inter])+Table9[[#This Row],[Inflation Modifier]]-R407*(1+Table7[Monthly SF Inter])</f>
        <v>1.922231403943151</v>
      </c>
      <c r="R408" s="25">
        <f>IF(MOD(Table9[[#This Row],[Month]],12)=0,Table9[[#This Row],[Q2 ACC FACTOR]],0)</f>
        <v>0</v>
      </c>
      <c r="S408" s="25">
        <f>S407*(1+D407)+Table9[[#This Row],[ACC FACTOR PAYMENTS]]</f>
        <v>1511.0146194451277</v>
      </c>
    </row>
    <row r="409" spans="1:19" x14ac:dyDescent="0.25">
      <c r="A409" s="1">
        <v>397</v>
      </c>
      <c r="B409" s="1">
        <f t="shared" si="6"/>
        <v>0</v>
      </c>
      <c r="C409" s="7">
        <f>G$12/-PV(Table7[Monthly mortgage rate], (12*Table7[Amortization period (yrs)]),1 )</f>
        <v>4377.9977174134756</v>
      </c>
      <c r="D409" s="11">
        <f>IF(Table1[[#This Row],[Month]]&lt;=(12*Table7[mortgage term (yrs)]),Table7[Monthly mortgage rate],Table7[Monthly Exp Renewal Rate])</f>
        <v>4.9038466830562122E-3</v>
      </c>
      <c r="E409" s="21">
        <f>Table1[[#This Row],[Current mortgage rate]]*G408</f>
        <v>-5730.9880298201733</v>
      </c>
      <c r="F409" s="5">
        <f>Table1[[#This Row],[Payment amount]]-Table1[[#This Row],[Interest paid]]</f>
        <v>10108.985747233648</v>
      </c>
      <c r="G409" s="20">
        <f>G408-Table1[[#This Row],[Principal repaid]]-Table1[[#This Row],[Annual paym]]</f>
        <v>-1178780.9284533348</v>
      </c>
      <c r="H409" s="20">
        <f>H408-(Table1[[#This Row],[Payment amount]]-Table1[[#This Row],[Interest Paid W/O LSP]])</f>
        <v>-580932.2247513046</v>
      </c>
      <c r="I409">
        <f>H408*Table1[[#This Row],[Current mortgage rate]]</f>
        <v>-2813.5363827838132</v>
      </c>
      <c r="J409" s="25">
        <f>IF(Table1[[#This Row],[Month]]&gt;Table7[Amortization period (yrs)]*12,0,IF(Table1[[#This Row],[Month]]&lt;Table7[mortgage term (yrs)]*12,0,IF(Table1[[#This Row],[Month]]=Table7[mortgage term (yrs)]*12,-H$5,Table1[[#This Row],[Payment amount]]+B409)))</f>
        <v>0</v>
      </c>
      <c r="K409">
        <v>398</v>
      </c>
      <c r="L409">
        <f>Table7[Initial Monthly Deposit]*Table9[[#This Row],[Inflation Modifier]]</f>
        <v>768.89256157726061</v>
      </c>
      <c r="M409">
        <f xml:space="preserve"> (1+Table7[Inflation])^(QUOTIENT(Table9[[#This Row],[Month]]-1,12))</f>
        <v>1.9222314039431516</v>
      </c>
      <c r="N409">
        <f>N408*(1+Table7[Monthly SF Inter])+Table9[[#This Row],[Monthly Payment]]-O408*(1+Table7[Monthly SF Inter])</f>
        <v>8500.1956385958292</v>
      </c>
      <c r="O409">
        <f>IF(MOD(Table9[[#This Row],[Month]],12)=0,(IF(Table9[[#This Row],[Current Balance]]&lt;Table9[[#This Row],[Max Lump Sum ]],Table9[[#This Row],[Current Balance]],Table9[[#This Row],[Max Lump Sum ]])),0)</f>
        <v>0</v>
      </c>
      <c r="P409" s="21">
        <f>Table7[Max annual lump sum repayment]*SUM(C410:C421)</f>
        <v>7880.3958913442566</v>
      </c>
      <c r="Q409" s="25">
        <f>Q408*(1+Table7[Monthly SF Inter])+Table9[[#This Row],[Inflation Modifier]]-R408*(1+Table7[Monthly SF Inter])</f>
        <v>3.8523899277006097</v>
      </c>
      <c r="R409" s="25">
        <f>IF(MOD(Table9[[#This Row],[Month]],12)=0,Table9[[#This Row],[Q2 ACC FACTOR]],0)</f>
        <v>0</v>
      </c>
      <c r="S409" s="25">
        <f>S408*(1+D408)+Table9[[#This Row],[ACC FACTOR PAYMENTS]]</f>
        <v>1518.424403474743</v>
      </c>
    </row>
    <row r="410" spans="1:19" x14ac:dyDescent="0.25">
      <c r="A410" s="1">
        <v>398</v>
      </c>
      <c r="B410" s="1">
        <f t="shared" si="6"/>
        <v>0</v>
      </c>
      <c r="C410" s="7">
        <f>G$12/-PV(Table7[Monthly mortgage rate], (12*Table7[Amortization period (yrs)]),1 )</f>
        <v>4377.9977174134756</v>
      </c>
      <c r="D410" s="11">
        <f>IF(Table1[[#This Row],[Month]]&lt;=(12*Table7[mortgage term (yrs)]),Table7[Monthly mortgage rate],Table7[Monthly Exp Renewal Rate])</f>
        <v>4.9038466830562122E-3</v>
      </c>
      <c r="E410" s="21">
        <f>Table1[[#This Row],[Current mortgage rate]]*G409</f>
        <v>-5780.5609460458081</v>
      </c>
      <c r="F410" s="5">
        <f>Table1[[#This Row],[Payment amount]]-Table1[[#This Row],[Interest paid]]</f>
        <v>10158.558663459284</v>
      </c>
      <c r="G410" s="20">
        <f>G409-Table1[[#This Row],[Principal repaid]]-Table1[[#This Row],[Annual paym]]</f>
        <v>-1188939.4871167941</v>
      </c>
      <c r="H410" s="20">
        <f>H409-(Table1[[#This Row],[Payment amount]]-Table1[[#This Row],[Interest Paid W/O LSP]])</f>
        <v>-588159.0250321452</v>
      </c>
      <c r="I410">
        <f>H409*Table1[[#This Row],[Current mortgage rate]]</f>
        <v>-2848.8025634271512</v>
      </c>
      <c r="J410" s="25">
        <f>IF(Table1[[#This Row],[Month]]&gt;Table7[Amortization period (yrs)]*12,0,IF(Table1[[#This Row],[Month]]&lt;Table7[mortgage term (yrs)]*12,0,IF(Table1[[#This Row],[Month]]=Table7[mortgage term (yrs)]*12,-H$5,Table1[[#This Row],[Payment amount]]+B410)))</f>
        <v>0</v>
      </c>
      <c r="K410">
        <v>399</v>
      </c>
      <c r="L410">
        <f>Table7[Initial Monthly Deposit]*Table9[[#This Row],[Inflation Modifier]]</f>
        <v>768.89256157726061</v>
      </c>
      <c r="M410">
        <f xml:space="preserve"> (1+Table7[Inflation])^(QUOTIENT(Table9[[#This Row],[Month]]-1,12))</f>
        <v>1.9222314039431516</v>
      </c>
      <c r="N410">
        <f>N409*(1+Table7[Monthly SF Inter])+Table9[[#This Row],[Monthly Payment]]-O409*(1+Table7[Monthly SF Inter])</f>
        <v>9304.1422884238473</v>
      </c>
      <c r="O410">
        <f>IF(MOD(Table9[[#This Row],[Month]],12)=0,(IF(Table9[[#This Row],[Current Balance]]&lt;Table9[[#This Row],[Max Lump Sum ]],Table9[[#This Row],[Current Balance]],Table9[[#This Row],[Max Lump Sum ]])),0)</f>
        <v>0</v>
      </c>
      <c r="P410" s="21">
        <f>Table7[Max annual lump sum repayment]*SUM(C411:C422)</f>
        <v>7880.3958913442566</v>
      </c>
      <c r="Q410" s="25">
        <f>Q409*(1+Table7[Monthly SF Inter])+Table9[[#This Row],[Inflation Modifier]]-R409*(1+Table7[Monthly SF Inter])</f>
        <v>5.790508262044372</v>
      </c>
      <c r="R410" s="25">
        <f>IF(MOD(Table9[[#This Row],[Month]],12)=0,Table9[[#This Row],[Q2 ACC FACTOR]],0)</f>
        <v>0</v>
      </c>
      <c r="S410" s="25">
        <f>S409*(1+D409)+Table9[[#This Row],[ACC FACTOR PAYMENTS]]</f>
        <v>1525.8705239491942</v>
      </c>
    </row>
    <row r="411" spans="1:19" x14ac:dyDescent="0.25">
      <c r="A411" s="1">
        <v>399</v>
      </c>
      <c r="B411" s="1">
        <f t="shared" si="6"/>
        <v>0</v>
      </c>
      <c r="C411" s="7">
        <f>G$12/-PV(Table7[Monthly mortgage rate], (12*Table7[Amortization period (yrs)]),1 )</f>
        <v>4377.9977174134756</v>
      </c>
      <c r="D411" s="11">
        <f>IF(Table1[[#This Row],[Month]]&lt;=(12*Table7[mortgage term (yrs)]),Table7[Monthly mortgage rate],Table7[Monthly Exp Renewal Rate])</f>
        <v>4.9038466830562122E-3</v>
      </c>
      <c r="E411" s="21">
        <f>Table1[[#This Row],[Current mortgage rate]]*G410</f>
        <v>-5830.3769602522452</v>
      </c>
      <c r="F411" s="5">
        <f>Table1[[#This Row],[Payment amount]]-Table1[[#This Row],[Interest paid]]</f>
        <v>10208.374677665721</v>
      </c>
      <c r="G411" s="20">
        <f>G410-Table1[[#This Row],[Principal repaid]]-Table1[[#This Row],[Annual paym]]</f>
        <v>-1199147.8617944599</v>
      </c>
      <c r="H411" s="20">
        <f>H410-(Table1[[#This Row],[Payment amount]]-Table1[[#This Row],[Interest Paid W/O LSP]])</f>
        <v>-595421.26443357219</v>
      </c>
      <c r="I411">
        <f>H410*Table1[[#This Row],[Current mortgage rate]]</f>
        <v>-2884.2416840134611</v>
      </c>
      <c r="J411" s="25">
        <f>IF(Table1[[#This Row],[Month]]&gt;Table7[Amortization period (yrs)]*12,0,IF(Table1[[#This Row],[Month]]&lt;Table7[mortgage term (yrs)]*12,0,IF(Table1[[#This Row],[Month]]=Table7[mortgage term (yrs)]*12,-H$5,Table1[[#This Row],[Payment amount]]+B411)))</f>
        <v>0</v>
      </c>
      <c r="K411">
        <v>400</v>
      </c>
      <c r="L411">
        <f>Table7[Initial Monthly Deposit]*Table9[[#This Row],[Inflation Modifier]]</f>
        <v>768.89256157726061</v>
      </c>
      <c r="M411">
        <f xml:space="preserve"> (1+Table7[Inflation])^(QUOTIENT(Table9[[#This Row],[Month]]-1,12))</f>
        <v>1.9222314039431516</v>
      </c>
      <c r="N411">
        <f>N410*(1+Table7[Monthly SF Inter])+Table9[[#This Row],[Monthly Payment]]-O410*(1+Table7[Monthly SF Inter])</f>
        <v>10111.404346274241</v>
      </c>
      <c r="O411">
        <f>IF(MOD(Table9[[#This Row],[Month]],12)=0,(IF(Table9[[#This Row],[Current Balance]]&lt;Table9[[#This Row],[Max Lump Sum ]],Table9[[#This Row],[Current Balance]],Table9[[#This Row],[Max Lump Sum ]])),0)</f>
        <v>0</v>
      </c>
      <c r="P411" s="21">
        <f>Table7[Max annual lump sum repayment]*SUM(C412:C423)</f>
        <v>7880.3958913442566</v>
      </c>
      <c r="Q411" s="25">
        <f>Q410*(1+Table7[Monthly SF Inter])+Table9[[#This Row],[Inflation Modifier]]-R410*(1+Table7[Monthly SF Inter])</f>
        <v>7.7366192325604137</v>
      </c>
      <c r="R411" s="25">
        <f>IF(MOD(Table9[[#This Row],[Month]],12)=0,Table9[[#This Row],[Q2 ACC FACTOR]],0)</f>
        <v>0</v>
      </c>
      <c r="S411" s="25">
        <f>S410*(1+D410)+Table9[[#This Row],[ACC FACTOR PAYMENTS]]</f>
        <v>1533.3531590568357</v>
      </c>
    </row>
    <row r="412" spans="1:19" x14ac:dyDescent="0.25">
      <c r="A412" s="1">
        <v>400</v>
      </c>
      <c r="B412" s="1">
        <f t="shared" si="6"/>
        <v>0</v>
      </c>
      <c r="C412" s="7">
        <f>G$12/-PV(Table7[Monthly mortgage rate], (12*Table7[Amortization period (yrs)]),1 )</f>
        <v>4377.9977174134756</v>
      </c>
      <c r="D412" s="11">
        <f>IF(Table1[[#This Row],[Month]]&lt;=(12*Table7[mortgage term (yrs)]),Table7[Monthly mortgage rate],Table7[Monthly Exp Renewal Rate])</f>
        <v>4.9038466830562122E-3</v>
      </c>
      <c r="E412" s="21">
        <f>Table1[[#This Row],[Current mortgage rate]]*G411</f>
        <v>-5880.437264554711</v>
      </c>
      <c r="F412" s="5">
        <f>Table1[[#This Row],[Payment amount]]-Table1[[#This Row],[Interest paid]]</f>
        <v>10258.434981968187</v>
      </c>
      <c r="G412" s="20">
        <f>G411-Table1[[#This Row],[Principal repaid]]-Table1[[#This Row],[Annual paym]]</f>
        <v>-1209406.2967764281</v>
      </c>
      <c r="H412" s="20">
        <f>H411-(Table1[[#This Row],[Payment amount]]-Table1[[#This Row],[Interest Paid W/O LSP]])</f>
        <v>-602719.11674359941</v>
      </c>
      <c r="I412">
        <f>H411*Table1[[#This Row],[Current mortgage rate]]</f>
        <v>-2919.854592613709</v>
      </c>
      <c r="J412" s="25">
        <f>IF(Table1[[#This Row],[Month]]&gt;Table7[Amortization period (yrs)]*12,0,IF(Table1[[#This Row],[Month]]&lt;Table7[mortgage term (yrs)]*12,0,IF(Table1[[#This Row],[Month]]=Table7[mortgage term (yrs)]*12,-H$5,Table1[[#This Row],[Payment amount]]+B412)))</f>
        <v>0</v>
      </c>
      <c r="K412">
        <v>401</v>
      </c>
      <c r="L412">
        <f>Table7[Initial Monthly Deposit]*Table9[[#This Row],[Inflation Modifier]]</f>
        <v>768.89256157726061</v>
      </c>
      <c r="M412">
        <f xml:space="preserve"> (1+Table7[Inflation])^(QUOTIENT(Table9[[#This Row],[Month]]-1,12))</f>
        <v>1.9222314039431516</v>
      </c>
      <c r="N412">
        <f>N411*(1+Table7[Monthly SF Inter])+Table9[[#This Row],[Monthly Payment]]-O411*(1+Table7[Monthly SF Inter])</f>
        <v>10921.995484609428</v>
      </c>
      <c r="O412">
        <f>IF(MOD(Table9[[#This Row],[Month]],12)=0,(IF(Table9[[#This Row],[Current Balance]]&lt;Table9[[#This Row],[Max Lump Sum ]],Table9[[#This Row],[Current Balance]],Table9[[#This Row],[Max Lump Sum ]])),0)</f>
        <v>0</v>
      </c>
      <c r="P412" s="21">
        <f>Table7[Max annual lump sum repayment]*SUM(C413:C424)</f>
        <v>7880.3958913442566</v>
      </c>
      <c r="Q412" s="25">
        <f>Q411*(1+Table7[Monthly SF Inter])+Table9[[#This Row],[Inflation Modifier]]-R411*(1+Table7[Monthly SF Inter])</f>
        <v>9.6907558002046539</v>
      </c>
      <c r="R412" s="25">
        <f>IF(MOD(Table9[[#This Row],[Month]],12)=0,Table9[[#This Row],[Q2 ACC FACTOR]],0)</f>
        <v>0</v>
      </c>
      <c r="S412" s="25">
        <f>S411*(1+D411)+Table9[[#This Row],[ACC FACTOR PAYMENTS]]</f>
        <v>1540.8724878598302</v>
      </c>
    </row>
    <row r="413" spans="1:19" x14ac:dyDescent="0.25">
      <c r="A413" s="1">
        <v>401</v>
      </c>
      <c r="B413" s="1">
        <f t="shared" si="6"/>
        <v>0</v>
      </c>
      <c r="C413" s="7">
        <f>G$12/-PV(Table7[Monthly mortgage rate], (12*Table7[Amortization period (yrs)]),1 )</f>
        <v>4377.9977174134756</v>
      </c>
      <c r="D413" s="11">
        <f>IF(Table1[[#This Row],[Month]]&lt;=(12*Table7[mortgage term (yrs)]),Table7[Monthly mortgage rate],Table7[Monthly Exp Renewal Rate])</f>
        <v>4.9038466830562122E-3</v>
      </c>
      <c r="E413" s="21">
        <f>Table1[[#This Row],[Current mortgage rate]]*G412</f>
        <v>-5930.7430569143844</v>
      </c>
      <c r="F413" s="5">
        <f>Table1[[#This Row],[Payment amount]]-Table1[[#This Row],[Interest paid]]</f>
        <v>10308.74077432786</v>
      </c>
      <c r="G413" s="20">
        <f>G412-Table1[[#This Row],[Principal repaid]]-Table1[[#This Row],[Annual paym]]</f>
        <v>-1219715.037550756</v>
      </c>
      <c r="H413" s="20">
        <f>H412-(Table1[[#This Row],[Payment amount]]-Table1[[#This Row],[Interest Paid W/O LSP]])</f>
        <v>-610052.75660247053</v>
      </c>
      <c r="I413">
        <f>H412*Table1[[#This Row],[Current mortgage rate]]</f>
        <v>-2955.6421414576698</v>
      </c>
      <c r="J413" s="25">
        <f>IF(Table1[[#This Row],[Month]]&gt;Table7[Amortization period (yrs)]*12,0,IF(Table1[[#This Row],[Month]]&lt;Table7[mortgage term (yrs)]*12,0,IF(Table1[[#This Row],[Month]]=Table7[mortgage term (yrs)]*12,-H$5,Table1[[#This Row],[Payment amount]]+B413)))</f>
        <v>0</v>
      </c>
      <c r="K413">
        <v>402</v>
      </c>
      <c r="L413">
        <f>Table7[Initial Monthly Deposit]*Table9[[#This Row],[Inflation Modifier]]</f>
        <v>768.89256157726061</v>
      </c>
      <c r="M413">
        <f xml:space="preserve"> (1+Table7[Inflation])^(QUOTIENT(Table9[[#This Row],[Month]]-1,12))</f>
        <v>1.9222314039431516</v>
      </c>
      <c r="N413">
        <f>N412*(1+Table7[Monthly SF Inter])+Table9[[#This Row],[Monthly Payment]]-O412*(1+Table7[Monthly SF Inter])</f>
        <v>11735.929432275905</v>
      </c>
      <c r="O413">
        <f>IF(MOD(Table9[[#This Row],[Month]],12)=0,(IF(Table9[[#This Row],[Current Balance]]&lt;Table9[[#This Row],[Max Lump Sum ]],Table9[[#This Row],[Current Balance]],Table9[[#This Row],[Max Lump Sum ]])),0)</f>
        <v>0</v>
      </c>
      <c r="P413" s="21">
        <f>Table7[Max annual lump sum repayment]*SUM(C414:C425)</f>
        <v>7880.3958913442566</v>
      </c>
      <c r="Q413" s="25">
        <f>Q412*(1+Table7[Monthly SF Inter])+Table9[[#This Row],[Inflation Modifier]]-R412*(1+Table7[Monthly SF Inter])</f>
        <v>11.652951061861206</v>
      </c>
      <c r="R413" s="25">
        <f>IF(MOD(Table9[[#This Row],[Month]],12)=0,Table9[[#This Row],[Q2 ACC FACTOR]],0)</f>
        <v>0</v>
      </c>
      <c r="S413" s="25">
        <f>S412*(1+D412)+Table9[[#This Row],[ACC FACTOR PAYMENTS]]</f>
        <v>1548.4286902984343</v>
      </c>
    </row>
    <row r="414" spans="1:19" x14ac:dyDescent="0.25">
      <c r="A414" s="1">
        <v>402</v>
      </c>
      <c r="B414" s="1">
        <f t="shared" si="6"/>
        <v>0</v>
      </c>
      <c r="C414" s="7">
        <f>G$12/-PV(Table7[Monthly mortgage rate], (12*Table7[Amortization period (yrs)]),1 )</f>
        <v>4377.9977174134756</v>
      </c>
      <c r="D414" s="11">
        <f>IF(Table1[[#This Row],[Month]]&lt;=(12*Table7[mortgage term (yrs)]),Table7[Monthly mortgage rate],Table7[Monthly Exp Renewal Rate])</f>
        <v>4.9038466830562122E-3</v>
      </c>
      <c r="E414" s="21">
        <f>Table1[[#This Row],[Current mortgage rate]]*G413</f>
        <v>-5981.2955411670582</v>
      </c>
      <c r="F414" s="5">
        <f>Table1[[#This Row],[Payment amount]]-Table1[[#This Row],[Interest paid]]</f>
        <v>10359.293258580534</v>
      </c>
      <c r="G414" s="20">
        <f>G413-Table1[[#This Row],[Principal repaid]]-Table1[[#This Row],[Annual paym]]</f>
        <v>-1230074.3308093366</v>
      </c>
      <c r="H414" s="20">
        <f>H413-(Table1[[#This Row],[Payment amount]]-Table1[[#This Row],[Interest Paid W/O LSP]])</f>
        <v>-617422.35950683837</v>
      </c>
      <c r="I414">
        <f>H413*Table1[[#This Row],[Current mortgage rate]]</f>
        <v>-2991.6051869543239</v>
      </c>
      <c r="J414" s="25">
        <f>IF(Table1[[#This Row],[Month]]&gt;Table7[Amortization period (yrs)]*12,0,IF(Table1[[#This Row],[Month]]&lt;Table7[mortgage term (yrs)]*12,0,IF(Table1[[#This Row],[Month]]=Table7[mortgage term (yrs)]*12,-H$5,Table1[[#This Row],[Payment amount]]+B414)))</f>
        <v>0</v>
      </c>
      <c r="K414">
        <v>403</v>
      </c>
      <c r="L414">
        <f>Table7[Initial Monthly Deposit]*Table9[[#This Row],[Inflation Modifier]]</f>
        <v>768.89256157726061</v>
      </c>
      <c r="M414">
        <f xml:space="preserve"> (1+Table7[Inflation])^(QUOTIENT(Table9[[#This Row],[Month]]-1,12))</f>
        <v>1.9222314039431516</v>
      </c>
      <c r="N414">
        <f>N413*(1+Table7[Monthly SF Inter])+Table9[[#This Row],[Monthly Payment]]-O413*(1+Table7[Monthly SF Inter])</f>
        <v>12553.21997473677</v>
      </c>
      <c r="O414">
        <f>IF(MOD(Table9[[#This Row],[Month]],12)=0,(IF(Table9[[#This Row],[Current Balance]]&lt;Table9[[#This Row],[Max Lump Sum ]],Table9[[#This Row],[Current Balance]],Table9[[#This Row],[Max Lump Sum ]])),0)</f>
        <v>0</v>
      </c>
      <c r="P414" s="21">
        <f>Table7[Max annual lump sum repayment]*SUM(C415:C426)</f>
        <v>7880.3958913442566</v>
      </c>
      <c r="Q414" s="25">
        <f>Q413*(1+Table7[Monthly SF Inter])+Table9[[#This Row],[Inflation Modifier]]-R413*(1+Table7[Monthly SF Inter])</f>
        <v>13.623238250902935</v>
      </c>
      <c r="R414" s="25">
        <f>IF(MOD(Table9[[#This Row],[Month]],12)=0,Table9[[#This Row],[Q2 ACC FACTOR]],0)</f>
        <v>0</v>
      </c>
      <c r="S414" s="25">
        <f>S413*(1+D413)+Table9[[#This Row],[ACC FACTOR PAYMENTS]]</f>
        <v>1556.0219471953033</v>
      </c>
    </row>
    <row r="415" spans="1:19" x14ac:dyDescent="0.25">
      <c r="A415" s="1">
        <v>403</v>
      </c>
      <c r="B415" s="1">
        <f t="shared" si="6"/>
        <v>0</v>
      </c>
      <c r="C415" s="7">
        <f>G$12/-PV(Table7[Monthly mortgage rate], (12*Table7[Amortization period (yrs)]),1 )</f>
        <v>4377.9977174134756</v>
      </c>
      <c r="D415" s="11">
        <f>IF(Table1[[#This Row],[Month]]&lt;=(12*Table7[mortgage term (yrs)]),Table7[Monthly mortgage rate],Table7[Monthly Exp Renewal Rate])</f>
        <v>4.9038466830562122E-3</v>
      </c>
      <c r="E415" s="21">
        <f>Table1[[#This Row],[Current mortgage rate]]*G414</f>
        <v>-6032.0959270519552</v>
      </c>
      <c r="F415" s="5">
        <f>Table1[[#This Row],[Payment amount]]-Table1[[#This Row],[Interest paid]]</f>
        <v>10410.093644465431</v>
      </c>
      <c r="G415" s="20">
        <f>G414-Table1[[#This Row],[Principal repaid]]-Table1[[#This Row],[Annual paym]]</f>
        <v>-1240484.4244538019</v>
      </c>
      <c r="H415" s="20">
        <f>H414-(Table1[[#This Row],[Payment amount]]-Table1[[#This Row],[Interest Paid W/O LSP]])</f>
        <v>-624828.1018139642</v>
      </c>
      <c r="I415">
        <f>H414*Table1[[#This Row],[Current mortgage rate]]</f>
        <v>-3027.7445897123494</v>
      </c>
      <c r="J415" s="25">
        <f>IF(Table1[[#This Row],[Month]]&gt;Table7[Amortization period (yrs)]*12,0,IF(Table1[[#This Row],[Month]]&lt;Table7[mortgage term (yrs)]*12,0,IF(Table1[[#This Row],[Month]]=Table7[mortgage term (yrs)]*12,-H$5,Table1[[#This Row],[Payment amount]]+B415)))</f>
        <v>0</v>
      </c>
      <c r="K415">
        <v>404</v>
      </c>
      <c r="L415">
        <f>Table7[Initial Monthly Deposit]*Table9[[#This Row],[Inflation Modifier]]</f>
        <v>768.89256157726061</v>
      </c>
      <c r="M415">
        <f xml:space="preserve"> (1+Table7[Inflation])^(QUOTIENT(Table9[[#This Row],[Month]]-1,12))</f>
        <v>1.9222314039431516</v>
      </c>
      <c r="N415">
        <f>N414*(1+Table7[Monthly SF Inter])+Table9[[#This Row],[Monthly Payment]]-O414*(1+Table7[Monthly SF Inter])</f>
        <v>13373.880954305205</v>
      </c>
      <c r="O415">
        <f>IF(MOD(Table9[[#This Row],[Month]],12)=0,(IF(Table9[[#This Row],[Current Balance]]&lt;Table9[[#This Row],[Max Lump Sum ]],Table9[[#This Row],[Current Balance]],Table9[[#This Row],[Max Lump Sum ]])),0)</f>
        <v>0</v>
      </c>
      <c r="P415" s="21">
        <f>Table7[Max annual lump sum repayment]*SUM(C416:C427)</f>
        <v>7880.3958913442566</v>
      </c>
      <c r="Q415" s="25">
        <f>Q414*(1+Table7[Monthly SF Inter])+Table9[[#This Row],[Inflation Modifier]]-R414*(1+Table7[Monthly SF Inter])</f>
        <v>15.601650737754328</v>
      </c>
      <c r="R415" s="25">
        <f>IF(MOD(Table9[[#This Row],[Month]],12)=0,Table9[[#This Row],[Q2 ACC FACTOR]],0)</f>
        <v>0</v>
      </c>
      <c r="S415" s="25">
        <f>S414*(1+D414)+Table9[[#This Row],[ACC FACTOR PAYMENTS]]</f>
        <v>1563.6524402598195</v>
      </c>
    </row>
    <row r="416" spans="1:19" x14ac:dyDescent="0.25">
      <c r="A416" s="1">
        <v>404</v>
      </c>
      <c r="B416" s="1">
        <f t="shared" si="6"/>
        <v>0</v>
      </c>
      <c r="C416" s="7">
        <f>G$12/-PV(Table7[Monthly mortgage rate], (12*Table7[Amortization period (yrs)]),1 )</f>
        <v>4377.9977174134756</v>
      </c>
      <c r="D416" s="11">
        <f>IF(Table1[[#This Row],[Month]]&lt;=(12*Table7[mortgage term (yrs)]),Table7[Monthly mortgage rate],Table7[Monthly Exp Renewal Rate])</f>
        <v>4.9038466830562122E-3</v>
      </c>
      <c r="E416" s="21">
        <f>Table1[[#This Row],[Current mortgage rate]]*G415</f>
        <v>-6083.145430240671</v>
      </c>
      <c r="F416" s="5">
        <f>Table1[[#This Row],[Payment amount]]-Table1[[#This Row],[Interest paid]]</f>
        <v>10461.143147654147</v>
      </c>
      <c r="G416" s="20">
        <f>G415-Table1[[#This Row],[Principal repaid]]-Table1[[#This Row],[Annual paym]]</f>
        <v>-1250945.5676014561</v>
      </c>
      <c r="H416" s="20">
        <f>H415-(Table1[[#This Row],[Payment amount]]-Table1[[#This Row],[Interest Paid W/O LSP]])</f>
        <v>-632270.16074593842</v>
      </c>
      <c r="I416">
        <f>H415*Table1[[#This Row],[Current mortgage rate]]</f>
        <v>-3064.0612145607174</v>
      </c>
      <c r="J416" s="25">
        <f>IF(Table1[[#This Row],[Month]]&gt;Table7[Amortization period (yrs)]*12,0,IF(Table1[[#This Row],[Month]]&lt;Table7[mortgage term (yrs)]*12,0,IF(Table1[[#This Row],[Month]]=Table7[mortgage term (yrs)]*12,-H$5,Table1[[#This Row],[Payment amount]]+B416)))</f>
        <v>0</v>
      </c>
      <c r="K416">
        <v>405</v>
      </c>
      <c r="L416">
        <f>Table7[Initial Monthly Deposit]*Table9[[#This Row],[Inflation Modifier]]</f>
        <v>768.89256157726061</v>
      </c>
      <c r="M416">
        <f xml:space="preserve"> (1+Table7[Inflation])^(QUOTIENT(Table9[[#This Row],[Month]]-1,12))</f>
        <v>1.9222314039431516</v>
      </c>
      <c r="N416">
        <f>N415*(1+Table7[Monthly SF Inter])+Table9[[#This Row],[Monthly Payment]]-O415*(1+Table7[Monthly SF Inter])</f>
        <v>14197.926270378923</v>
      </c>
      <c r="O416">
        <f>IF(MOD(Table9[[#This Row],[Month]],12)=0,(IF(Table9[[#This Row],[Current Balance]]&lt;Table9[[#This Row],[Max Lump Sum ]],Table9[[#This Row],[Current Balance]],Table9[[#This Row],[Max Lump Sum ]])),0)</f>
        <v>0</v>
      </c>
      <c r="P416" s="21">
        <f>Table7[Max annual lump sum repayment]*SUM(C417:C428)</f>
        <v>7880.3958913442566</v>
      </c>
      <c r="Q416" s="25">
        <f>Q415*(1+Table7[Monthly SF Inter])+Table9[[#This Row],[Inflation Modifier]]-R415*(1+Table7[Monthly SF Inter])</f>
        <v>17.588222030456684</v>
      </c>
      <c r="R416" s="25">
        <f>IF(MOD(Table9[[#This Row],[Month]],12)=0,Table9[[#This Row],[Q2 ACC FACTOR]],0)</f>
        <v>0</v>
      </c>
      <c r="S416" s="25">
        <f>S415*(1+D415)+Table9[[#This Row],[ACC FACTOR PAYMENTS]]</f>
        <v>1571.3203520924403</v>
      </c>
    </row>
    <row r="417" spans="1:19" x14ac:dyDescent="0.25">
      <c r="A417" s="1">
        <v>405</v>
      </c>
      <c r="B417" s="1">
        <f t="shared" si="6"/>
        <v>0</v>
      </c>
      <c r="C417" s="7">
        <f>G$12/-PV(Table7[Monthly mortgage rate], (12*Table7[Amortization period (yrs)]),1 )</f>
        <v>4377.9977174134756</v>
      </c>
      <c r="D417" s="11">
        <f>IF(Table1[[#This Row],[Month]]&lt;=(12*Table7[mortgage term (yrs)]),Table7[Monthly mortgage rate],Table7[Monthly Exp Renewal Rate])</f>
        <v>4.9038466830562122E-3</v>
      </c>
      <c r="E417" s="21">
        <f>Table1[[#This Row],[Current mortgage rate]]*G416</f>
        <v>-6134.4452723662707</v>
      </c>
      <c r="F417" s="5">
        <f>Table1[[#This Row],[Payment amount]]-Table1[[#This Row],[Interest paid]]</f>
        <v>10512.442989779745</v>
      </c>
      <c r="G417" s="20">
        <f>G416-Table1[[#This Row],[Principal repaid]]-Table1[[#This Row],[Annual paym]]</f>
        <v>-1261458.0105912357</v>
      </c>
      <c r="H417" s="20">
        <f>H416-(Table1[[#This Row],[Payment amount]]-Table1[[#This Row],[Interest Paid W/O LSP]])</f>
        <v>-639748.71439392131</v>
      </c>
      <c r="I417">
        <f>H416*Table1[[#This Row],[Current mortgage rate]]</f>
        <v>-3100.5559305693882</v>
      </c>
      <c r="J417" s="25">
        <f>IF(Table1[[#This Row],[Month]]&gt;Table7[Amortization period (yrs)]*12,0,IF(Table1[[#This Row],[Month]]&lt;Table7[mortgage term (yrs)]*12,0,IF(Table1[[#This Row],[Month]]=Table7[mortgage term (yrs)]*12,-H$5,Table1[[#This Row],[Payment amount]]+B417)))</f>
        <v>0</v>
      </c>
      <c r="K417">
        <v>406</v>
      </c>
      <c r="L417">
        <f>Table7[Initial Monthly Deposit]*Table9[[#This Row],[Inflation Modifier]]</f>
        <v>768.89256157726061</v>
      </c>
      <c r="M417">
        <f xml:space="preserve"> (1+Table7[Inflation])^(QUOTIENT(Table9[[#This Row],[Month]]-1,12))</f>
        <v>1.9222314039431516</v>
      </c>
      <c r="N417">
        <f>N416*(1+Table7[Monthly SF Inter])+Table9[[#This Row],[Monthly Payment]]-O416*(1+Table7[Monthly SF Inter])</f>
        <v>15025.369879675576</v>
      </c>
      <c r="O417">
        <f>IF(MOD(Table9[[#This Row],[Month]],12)=0,(IF(Table9[[#This Row],[Current Balance]]&lt;Table9[[#This Row],[Max Lump Sum ]],Table9[[#This Row],[Current Balance]],Table9[[#This Row],[Max Lump Sum ]])),0)</f>
        <v>0</v>
      </c>
      <c r="P417" s="21">
        <f>Table7[Max annual lump sum repayment]*SUM(C418:C429)</f>
        <v>7880.3958913442566</v>
      </c>
      <c r="Q417" s="25">
        <f>Q416*(1+Table7[Monthly SF Inter])+Table9[[#This Row],[Inflation Modifier]]-R416*(1+Table7[Monthly SF Inter])</f>
        <v>19.582985775235628</v>
      </c>
      <c r="R417" s="25">
        <f>IF(MOD(Table9[[#This Row],[Month]],12)=0,Table9[[#This Row],[Q2 ACC FACTOR]],0)</f>
        <v>0</v>
      </c>
      <c r="S417" s="25">
        <f>S416*(1+D416)+Table9[[#This Row],[ACC FACTOR PAYMENTS]]</f>
        <v>1579.0258661890675</v>
      </c>
    </row>
    <row r="418" spans="1:19" x14ac:dyDescent="0.25">
      <c r="A418" s="1">
        <v>406</v>
      </c>
      <c r="B418" s="1">
        <f t="shared" si="6"/>
        <v>0</v>
      </c>
      <c r="C418" s="7">
        <f>G$12/-PV(Table7[Monthly mortgage rate], (12*Table7[Amortization period (yrs)]),1 )</f>
        <v>4377.9977174134756</v>
      </c>
      <c r="D418" s="11">
        <f>IF(Table1[[#This Row],[Month]]&lt;=(12*Table7[mortgage term (yrs)]),Table7[Monthly mortgage rate],Table7[Monthly Exp Renewal Rate])</f>
        <v>4.9038466830562122E-3</v>
      </c>
      <c r="E418" s="21">
        <f>Table1[[#This Row],[Current mortgage rate]]*G417</f>
        <v>-6185.9966810525193</v>
      </c>
      <c r="F418" s="5">
        <f>Table1[[#This Row],[Payment amount]]-Table1[[#This Row],[Interest paid]]</f>
        <v>10563.994398465995</v>
      </c>
      <c r="G418" s="20">
        <f>G417-Table1[[#This Row],[Principal repaid]]-Table1[[#This Row],[Annual paym]]</f>
        <v>-1272022.0049897018</v>
      </c>
      <c r="H418" s="20">
        <f>H417-(Table1[[#This Row],[Payment amount]]-Table1[[#This Row],[Interest Paid W/O LSP]])</f>
        <v>-647263.94172240491</v>
      </c>
      <c r="I418">
        <f>H417*Table1[[#This Row],[Current mortgage rate]]</f>
        <v>-3137.2296110701072</v>
      </c>
      <c r="J418" s="25">
        <f>IF(Table1[[#This Row],[Month]]&gt;Table7[Amortization period (yrs)]*12,0,IF(Table1[[#This Row],[Month]]&lt;Table7[mortgage term (yrs)]*12,0,IF(Table1[[#This Row],[Month]]=Table7[mortgage term (yrs)]*12,-H$5,Table1[[#This Row],[Payment amount]]+B418)))</f>
        <v>0</v>
      </c>
      <c r="K418">
        <v>407</v>
      </c>
      <c r="L418">
        <f>Table7[Initial Monthly Deposit]*Table9[[#This Row],[Inflation Modifier]]</f>
        <v>768.89256157726061</v>
      </c>
      <c r="M418">
        <f xml:space="preserve"> (1+Table7[Inflation])^(QUOTIENT(Table9[[#This Row],[Month]]-1,12))</f>
        <v>1.9222314039431516</v>
      </c>
      <c r="N418">
        <f>N417*(1+Table7[Monthly SF Inter])+Table9[[#This Row],[Monthly Payment]]-O417*(1+Table7[Monthly SF Inter])</f>
        <v>15856.225796469143</v>
      </c>
      <c r="O418">
        <f>IF(MOD(Table9[[#This Row],[Month]],12)=0,(IF(Table9[[#This Row],[Current Balance]]&lt;Table9[[#This Row],[Max Lump Sum ]],Table9[[#This Row],[Current Balance]],Table9[[#This Row],[Max Lump Sum ]])),0)</f>
        <v>0</v>
      </c>
      <c r="P418" s="21">
        <f>Table7[Max annual lump sum repayment]*SUM(C419:C430)</f>
        <v>7880.3958913442566</v>
      </c>
      <c r="Q418" s="25">
        <f>Q417*(1+Table7[Monthly SF Inter])+Table9[[#This Row],[Inflation Modifier]]-R417*(1+Table7[Monthly SF Inter])</f>
        <v>21.585975757070972</v>
      </c>
      <c r="R418" s="25">
        <f>IF(MOD(Table9[[#This Row],[Month]],12)=0,Table9[[#This Row],[Q2 ACC FACTOR]],0)</f>
        <v>0</v>
      </c>
      <c r="S418" s="25">
        <f>S417*(1+D417)+Table9[[#This Row],[ACC FACTOR PAYMENTS]]</f>
        <v>1586.7691669454387</v>
      </c>
    </row>
    <row r="419" spans="1:19" x14ac:dyDescent="0.25">
      <c r="A419" s="1">
        <v>407</v>
      </c>
      <c r="B419" s="1">
        <f t="shared" si="6"/>
        <v>0</v>
      </c>
      <c r="C419" s="7">
        <f>G$12/-PV(Table7[Monthly mortgage rate], (12*Table7[Amortization period (yrs)]),1 )</f>
        <v>4377.9977174134756</v>
      </c>
      <c r="D419" s="11">
        <f>IF(Table1[[#This Row],[Month]]&lt;=(12*Table7[mortgage term (yrs)]),Table7[Monthly mortgage rate],Table7[Monthly Exp Renewal Rate])</f>
        <v>4.9038466830562122E-3</v>
      </c>
      <c r="E419" s="21">
        <f>Table1[[#This Row],[Current mortgage rate]]*G418</f>
        <v>-6237.8008899432616</v>
      </c>
      <c r="F419" s="5">
        <f>Table1[[#This Row],[Payment amount]]-Table1[[#This Row],[Interest paid]]</f>
        <v>10615.798607356737</v>
      </c>
      <c r="G419" s="20">
        <f>G418-Table1[[#This Row],[Principal repaid]]-Table1[[#This Row],[Annual paym]]</f>
        <v>-1282637.8035970586</v>
      </c>
      <c r="H419" s="20">
        <f>H418-(Table1[[#This Row],[Payment amount]]-Table1[[#This Row],[Interest Paid W/O LSP]])</f>
        <v>-654816.02257349575</v>
      </c>
      <c r="I419">
        <f>H418*Table1[[#This Row],[Current mortgage rate]]</f>
        <v>-3174.0831336773049</v>
      </c>
      <c r="J419" s="25">
        <f>IF(Table1[[#This Row],[Month]]&gt;Table7[Amortization period (yrs)]*12,0,IF(Table1[[#This Row],[Month]]&lt;Table7[mortgage term (yrs)]*12,0,IF(Table1[[#This Row],[Month]]=Table7[mortgage term (yrs)]*12,-H$5,Table1[[#This Row],[Payment amount]]+B419)))</f>
        <v>0</v>
      </c>
      <c r="K419">
        <v>408</v>
      </c>
      <c r="L419">
        <f>Table7[Initial Monthly Deposit]*Table9[[#This Row],[Inflation Modifier]]</f>
        <v>768.89256157726061</v>
      </c>
      <c r="M419">
        <f xml:space="preserve"> (1+Table7[Inflation])^(QUOTIENT(Table9[[#This Row],[Month]]-1,12))</f>
        <v>1.9222314039431516</v>
      </c>
      <c r="N419">
        <f>N418*(1+Table7[Monthly SF Inter])+Table9[[#This Row],[Monthly Payment]]-O418*(1+Table7[Monthly SF Inter])</f>
        <v>16690.508092827284</v>
      </c>
      <c r="O419">
        <f>IF(MOD(Table9[[#This Row],[Month]],12)=0,(IF(Table9[[#This Row],[Current Balance]]&lt;Table9[[#This Row],[Max Lump Sum ]],Table9[[#This Row],[Current Balance]],Table9[[#This Row],[Max Lump Sum ]])),0)</f>
        <v>7880.3958913442566</v>
      </c>
      <c r="P419" s="21">
        <f>Table7[Max annual lump sum repayment]*SUM(C420:C431)</f>
        <v>7880.3958913442566</v>
      </c>
      <c r="Q419" s="25">
        <f>Q418*(1+Table7[Monthly SF Inter])+Table9[[#This Row],[Inflation Modifier]]-R418*(1+Table7[Monthly SF Inter])</f>
        <v>23.597225900268938</v>
      </c>
      <c r="R419" s="25">
        <f>IF(MOD(Table9[[#This Row],[Month]],12)=0,Table9[[#This Row],[Q2 ACC FACTOR]],0)</f>
        <v>23.597225900268938</v>
      </c>
      <c r="S419" s="25">
        <f>S418*(1+D418)+Table9[[#This Row],[ACC FACTOR PAYMENTS]]</f>
        <v>1618.1476655618089</v>
      </c>
    </row>
    <row r="420" spans="1:19" x14ac:dyDescent="0.25">
      <c r="A420" s="1">
        <v>408</v>
      </c>
      <c r="B420" s="1">
        <f t="shared" si="6"/>
        <v>7880.3958913442566</v>
      </c>
      <c r="C420" s="7">
        <f>G$12/-PV(Table7[Monthly mortgage rate], (12*Table7[Amortization period (yrs)]),1 )</f>
        <v>4377.9977174134756</v>
      </c>
      <c r="D420" s="11">
        <f>IF(Table1[[#This Row],[Month]]&lt;=(12*Table7[mortgage term (yrs)]),Table7[Monthly mortgage rate],Table7[Monthly Exp Renewal Rate])</f>
        <v>4.9038466830562122E-3</v>
      </c>
      <c r="E420" s="21">
        <f>Table1[[#This Row],[Current mortgage rate]]*G419</f>
        <v>-6289.8591387319411</v>
      </c>
      <c r="F420" s="5">
        <f>Table1[[#This Row],[Payment amount]]-Table1[[#This Row],[Interest paid]]</f>
        <v>10667.856856145416</v>
      </c>
      <c r="G420" s="20">
        <f>G419-Table1[[#This Row],[Principal repaid]]-Table1[[#This Row],[Annual paym]]</f>
        <v>-1301186.0563445482</v>
      </c>
      <c r="H420" s="20">
        <f>H419-(Table1[[#This Row],[Payment amount]]-Table1[[#This Row],[Interest Paid W/O LSP]])</f>
        <v>-662405.13767121837</v>
      </c>
      <c r="I420">
        <f>H419*Table1[[#This Row],[Current mortgage rate]]</f>
        <v>-3211.1173803090987</v>
      </c>
      <c r="J420" s="25">
        <f>IF(Table1[[#This Row],[Month]]&gt;Table7[Amortization period (yrs)]*12,0,IF(Table1[[#This Row],[Month]]&lt;Table7[mortgage term (yrs)]*12,0,IF(Table1[[#This Row],[Month]]=Table7[mortgage term (yrs)]*12,-H$5,Table1[[#This Row],[Payment amount]]+B420)))</f>
        <v>0</v>
      </c>
      <c r="K420">
        <v>409</v>
      </c>
      <c r="L420">
        <f>Table7[Initial Monthly Deposit]*Table9[[#This Row],[Inflation Modifier]]</f>
        <v>784.27041280880576</v>
      </c>
      <c r="M420">
        <f xml:space="preserve"> (1+Table7[Inflation])^(QUOTIENT(Table9[[#This Row],[Month]]-1,12))</f>
        <v>1.9606760320220145</v>
      </c>
      <c r="N420">
        <f>N419*(1+Table7[Monthly SF Inter])+Table9[[#This Row],[Monthly Payment]]-O419*(1+Table7[Monthly SF Inter])</f>
        <v>9630.7147722491827</v>
      </c>
      <c r="O420">
        <f>IF(MOD(Table9[[#This Row],[Month]],12)=0,(IF(Table9[[#This Row],[Current Balance]]&lt;Table9[[#This Row],[Max Lump Sum ]],Table9[[#This Row],[Current Balance]],Table9[[#This Row],[Max Lump Sum ]])),0)</f>
        <v>0</v>
      </c>
      <c r="P420" s="21">
        <f>Table7[Max annual lump sum repayment]*SUM(C421:C432)</f>
        <v>7880.3958913442566</v>
      </c>
      <c r="Q420" s="25">
        <f>Q419*(1+Table7[Monthly SF Inter])+Table9[[#This Row],[Inflation Modifier]]-R419*(1+Table7[Monthly SF Inter])</f>
        <v>1.9606760320220147</v>
      </c>
      <c r="R420" s="25">
        <f>IF(MOD(Table9[[#This Row],[Month]],12)=0,Table9[[#This Row],[Q2 ACC FACTOR]],0)</f>
        <v>0</v>
      </c>
      <c r="S420" s="25">
        <f>S419*(1+D419)+Table9[[#This Row],[ACC FACTOR PAYMENTS]]</f>
        <v>1626.0828136242694</v>
      </c>
    </row>
    <row r="421" spans="1:19" x14ac:dyDescent="0.25">
      <c r="A421" s="1">
        <v>409</v>
      </c>
      <c r="B421" s="1">
        <f t="shared" si="6"/>
        <v>0</v>
      </c>
      <c r="C421" s="7">
        <f>G$12/-PV(Table7[Monthly mortgage rate], (12*Table7[Amortization period (yrs)]),1 )</f>
        <v>4377.9977174134756</v>
      </c>
      <c r="D421" s="11">
        <f>IF(Table1[[#This Row],[Month]]&lt;=(12*Table7[mortgage term (yrs)]),Table7[Monthly mortgage rate],Table7[Monthly Exp Renewal Rate])</f>
        <v>4.9038466830562122E-3</v>
      </c>
      <c r="E421" s="21">
        <f>Table1[[#This Row],[Current mortgage rate]]*G420</f>
        <v>-6380.8169264442067</v>
      </c>
      <c r="F421" s="5">
        <f>Table1[[#This Row],[Payment amount]]-Table1[[#This Row],[Interest paid]]</f>
        <v>10758.814643857682</v>
      </c>
      <c r="G421" s="20">
        <f>G420-Table1[[#This Row],[Principal repaid]]-Table1[[#This Row],[Annual paym]]</f>
        <v>-1311944.870988406</v>
      </c>
      <c r="H421" s="20">
        <f>H420-(Table1[[#This Row],[Payment amount]]-Table1[[#This Row],[Interest Paid W/O LSP]])</f>
        <v>-670031.46862584027</v>
      </c>
      <c r="I421">
        <f>H420*Table1[[#This Row],[Current mortgage rate]]</f>
        <v>-3248.3332372083978</v>
      </c>
      <c r="J421" s="25">
        <f>IF(Table1[[#This Row],[Month]]&gt;Table7[Amortization period (yrs)]*12,0,IF(Table1[[#This Row],[Month]]&lt;Table7[mortgage term (yrs)]*12,0,IF(Table1[[#This Row],[Month]]=Table7[mortgage term (yrs)]*12,-H$5,Table1[[#This Row],[Payment amount]]+B421)))</f>
        <v>0</v>
      </c>
      <c r="K421">
        <v>410</v>
      </c>
      <c r="L421">
        <f>Table7[Initial Monthly Deposit]*Table9[[#This Row],[Inflation Modifier]]</f>
        <v>784.27041280880576</v>
      </c>
      <c r="M421">
        <f xml:space="preserve"> (1+Table7[Inflation])^(QUOTIENT(Table9[[#This Row],[Month]]-1,12))</f>
        <v>1.9606760320220145</v>
      </c>
      <c r="N421">
        <f>N420*(1+Table7[Monthly SF Inter])+Table9[[#This Row],[Monthly Payment]]-O420*(1+Table7[Monthly SF Inter])</f>
        <v>10454.70143864766</v>
      </c>
      <c r="O421">
        <f>IF(MOD(Table9[[#This Row],[Month]],12)=0,(IF(Table9[[#This Row],[Current Balance]]&lt;Table9[[#This Row],[Max Lump Sum ]],Table9[[#This Row],[Current Balance]],Table9[[#This Row],[Max Lump Sum ]])),0)</f>
        <v>0</v>
      </c>
      <c r="P421" s="21">
        <f>Table7[Max annual lump sum repayment]*SUM(C422:C433)</f>
        <v>7880.3958913442566</v>
      </c>
      <c r="Q421" s="25">
        <f>Q420*(1+Table7[Monthly SF Inter])+Table9[[#This Row],[Inflation Modifier]]-R420*(1+Table7[Monthly SF Inter])</f>
        <v>3.9294377262546223</v>
      </c>
      <c r="R421" s="25">
        <f>IF(MOD(Table9[[#This Row],[Month]],12)=0,Table9[[#This Row],[Q2 ACC FACTOR]],0)</f>
        <v>0</v>
      </c>
      <c r="S421" s="25">
        <f>S420*(1+D420)+Table9[[#This Row],[ACC FACTOR PAYMENTS]]</f>
        <v>1634.0568744362356</v>
      </c>
    </row>
    <row r="422" spans="1:19" x14ac:dyDescent="0.25">
      <c r="A422" s="1">
        <v>410</v>
      </c>
      <c r="B422" s="1">
        <f t="shared" si="6"/>
        <v>0</v>
      </c>
      <c r="C422" s="7">
        <f>G$12/-PV(Table7[Monthly mortgage rate], (12*Table7[Amortization period (yrs)]),1 )</f>
        <v>4377.9977174134756</v>
      </c>
      <c r="D422" s="11">
        <f>IF(Table1[[#This Row],[Month]]&lt;=(12*Table7[mortgage term (yrs)]),Table7[Monthly mortgage rate],Table7[Monthly Exp Renewal Rate])</f>
        <v>4.9038466830562122E-3</v>
      </c>
      <c r="E422" s="21">
        <f>Table1[[#This Row],[Current mortgage rate]]*G421</f>
        <v>-6433.5765039491052</v>
      </c>
      <c r="F422" s="5">
        <f>Table1[[#This Row],[Payment amount]]-Table1[[#This Row],[Interest paid]]</f>
        <v>10811.574221362582</v>
      </c>
      <c r="G422" s="20">
        <f>G421-Table1[[#This Row],[Principal repaid]]-Table1[[#This Row],[Annual paym]]</f>
        <v>-1322756.4452097686</v>
      </c>
      <c r="H422" s="20">
        <f>H421-(Table1[[#This Row],[Payment amount]]-Table1[[#This Row],[Interest Paid W/O LSP]])</f>
        <v>-677695.1979382179</v>
      </c>
      <c r="I422">
        <f>H421*Table1[[#This Row],[Current mortgage rate]]</f>
        <v>-3285.7315949641093</v>
      </c>
      <c r="J422" s="25">
        <f>IF(Table1[[#This Row],[Month]]&gt;Table7[Amortization period (yrs)]*12,0,IF(Table1[[#This Row],[Month]]&lt;Table7[mortgage term (yrs)]*12,0,IF(Table1[[#This Row],[Month]]=Table7[mortgage term (yrs)]*12,-H$5,Table1[[#This Row],[Payment amount]]+B422)))</f>
        <v>0</v>
      </c>
      <c r="K422">
        <v>411</v>
      </c>
      <c r="L422">
        <f>Table7[Initial Monthly Deposit]*Table9[[#This Row],[Inflation Modifier]]</f>
        <v>784.27041280880576</v>
      </c>
      <c r="M422">
        <f xml:space="preserve"> (1+Table7[Inflation])^(QUOTIENT(Table9[[#This Row],[Month]]-1,12))</f>
        <v>1.9606760320220145</v>
      </c>
      <c r="N422">
        <f>N421*(1+Table7[Monthly SF Inter])+Table9[[#This Row],[Monthly Payment]]-O421*(1+Table7[Monthly SF Inter])</f>
        <v>11282.086156402771</v>
      </c>
      <c r="O422">
        <f>IF(MOD(Table9[[#This Row],[Month]],12)=0,(IF(Table9[[#This Row],[Current Balance]]&lt;Table9[[#This Row],[Max Lump Sum ]],Table9[[#This Row],[Current Balance]],Table9[[#This Row],[Max Lump Sum ]])),0)</f>
        <v>0</v>
      </c>
      <c r="P422" s="21">
        <f>Table7[Max annual lump sum repayment]*SUM(C423:C434)</f>
        <v>7880.3958913442566</v>
      </c>
      <c r="Q422" s="25">
        <f>Q421*(1+Table7[Monthly SF Inter])+Table9[[#This Row],[Inflation Modifier]]-R421*(1+Table7[Monthly SF Inter])</f>
        <v>5.9063184272852594</v>
      </c>
      <c r="R422" s="25">
        <f>IF(MOD(Table9[[#This Row],[Month]],12)=0,Table9[[#This Row],[Q2 ACC FACTOR]],0)</f>
        <v>0</v>
      </c>
      <c r="S422" s="25">
        <f>S421*(1+D421)+Table9[[#This Row],[ACC FACTOR PAYMENTS]]</f>
        <v>1642.070038819865</v>
      </c>
    </row>
    <row r="423" spans="1:19" x14ac:dyDescent="0.25">
      <c r="A423" s="1">
        <v>411</v>
      </c>
      <c r="B423" s="1">
        <f t="shared" si="6"/>
        <v>0</v>
      </c>
      <c r="C423" s="7">
        <f>G$12/-PV(Table7[Monthly mortgage rate], (12*Table7[Amortization period (yrs)]),1 )</f>
        <v>4377.9977174134756</v>
      </c>
      <c r="D423" s="11">
        <f>IF(Table1[[#This Row],[Month]]&lt;=(12*Table7[mortgage term (yrs)]),Table7[Monthly mortgage rate],Table7[Monthly Exp Renewal Rate])</f>
        <v>4.9038466830562122E-3</v>
      </c>
      <c r="E423" s="21">
        <f>Table1[[#This Row],[Current mortgage rate]]*G422</f>
        <v>-6486.5948063331498</v>
      </c>
      <c r="F423" s="5">
        <f>Table1[[#This Row],[Payment amount]]-Table1[[#This Row],[Interest paid]]</f>
        <v>10864.592523746625</v>
      </c>
      <c r="G423" s="20">
        <f>G422-Table1[[#This Row],[Principal repaid]]-Table1[[#This Row],[Annual paym]]</f>
        <v>-1333621.0377335153</v>
      </c>
      <c r="H423" s="20">
        <f>H422-(Table1[[#This Row],[Payment amount]]-Table1[[#This Row],[Interest Paid W/O LSP]])</f>
        <v>-685396.50900416379</v>
      </c>
      <c r="I423">
        <f>H422*Table1[[#This Row],[Current mortgage rate]]</f>
        <v>-3323.3133485324529</v>
      </c>
      <c r="J423" s="25">
        <f>IF(Table1[[#This Row],[Month]]&gt;Table7[Amortization period (yrs)]*12,0,IF(Table1[[#This Row],[Month]]&lt;Table7[mortgage term (yrs)]*12,0,IF(Table1[[#This Row],[Month]]=Table7[mortgage term (yrs)]*12,-H$5,Table1[[#This Row],[Payment amount]]+B423)))</f>
        <v>0</v>
      </c>
      <c r="K423">
        <v>412</v>
      </c>
      <c r="L423">
        <f>Table7[Initial Monthly Deposit]*Table9[[#This Row],[Inflation Modifier]]</f>
        <v>784.27041280880576</v>
      </c>
      <c r="M423">
        <f xml:space="preserve"> (1+Table7[Inflation])^(QUOTIENT(Table9[[#This Row],[Month]]-1,12))</f>
        <v>1.9606760320220145</v>
      </c>
      <c r="N423">
        <f>N422*(1+Table7[Monthly SF Inter])+Table9[[#This Row],[Monthly Payment]]-O422*(1+Table7[Monthly SF Inter])</f>
        <v>12112.882938791055</v>
      </c>
      <c r="O423">
        <f>IF(MOD(Table9[[#This Row],[Month]],12)=0,(IF(Table9[[#This Row],[Current Balance]]&lt;Table9[[#This Row],[Max Lump Sum ]],Table9[[#This Row],[Current Balance]],Table9[[#This Row],[Max Lump Sum ]])),0)</f>
        <v>0</v>
      </c>
      <c r="P423" s="21">
        <f>Table7[Max annual lump sum repayment]*SUM(C424:C435)</f>
        <v>7880.3958913442566</v>
      </c>
      <c r="Q423" s="25">
        <f>Q422*(1+Table7[Monthly SF Inter])+Table9[[#This Row],[Inflation Modifier]]-R422*(1+Table7[Monthly SF Inter])</f>
        <v>7.8913516172116225</v>
      </c>
      <c r="R423" s="25">
        <f>IF(MOD(Table9[[#This Row],[Month]],12)=0,Table9[[#This Row],[Q2 ACC FACTOR]],0)</f>
        <v>0</v>
      </c>
      <c r="S423" s="25">
        <f>S422*(1+D422)+Table9[[#This Row],[ACC FACTOR PAYMENTS]]</f>
        <v>1650.1224985330778</v>
      </c>
    </row>
    <row r="424" spans="1:19" x14ac:dyDescent="0.25">
      <c r="A424" s="1">
        <v>412</v>
      </c>
      <c r="B424" s="1">
        <f t="shared" si="6"/>
        <v>0</v>
      </c>
      <c r="C424" s="7">
        <f>G$12/-PV(Table7[Monthly mortgage rate], (12*Table7[Amortization period (yrs)]),1 )</f>
        <v>4377.9977174134756</v>
      </c>
      <c r="D424" s="11">
        <f>IF(Table1[[#This Row],[Month]]&lt;=(12*Table7[mortgage term (yrs)]),Table7[Monthly mortgage rate],Table7[Monthly Exp Renewal Rate])</f>
        <v>4.9038466830562122E-3</v>
      </c>
      <c r="E424" s="21">
        <f>Table1[[#This Row],[Current mortgage rate]]*G423</f>
        <v>-6539.8731023434821</v>
      </c>
      <c r="F424" s="5">
        <f>Table1[[#This Row],[Payment amount]]-Table1[[#This Row],[Interest paid]]</f>
        <v>10917.870819756958</v>
      </c>
      <c r="G424" s="20">
        <f>G423-Table1[[#This Row],[Principal repaid]]-Table1[[#This Row],[Annual paym]]</f>
        <v>-1344538.9085532723</v>
      </c>
      <c r="H424" s="20">
        <f>H423-(Table1[[#This Row],[Payment amount]]-Table1[[#This Row],[Interest Paid W/O LSP]])</f>
        <v>-693135.58611883561</v>
      </c>
      <c r="I424">
        <f>H423*Table1[[#This Row],[Current mortgage rate]]</f>
        <v>-3361.079397258376</v>
      </c>
      <c r="J424" s="25">
        <f>IF(Table1[[#This Row],[Month]]&gt;Table7[Amortization period (yrs)]*12,0,IF(Table1[[#This Row],[Month]]&lt;Table7[mortgage term (yrs)]*12,0,IF(Table1[[#This Row],[Month]]=Table7[mortgage term (yrs)]*12,-H$5,Table1[[#This Row],[Payment amount]]+B424)))</f>
        <v>0</v>
      </c>
      <c r="K424">
        <v>413</v>
      </c>
      <c r="L424">
        <f>Table7[Initial Monthly Deposit]*Table9[[#This Row],[Inflation Modifier]]</f>
        <v>784.27041280880576</v>
      </c>
      <c r="M424">
        <f xml:space="preserve"> (1+Table7[Inflation])^(QUOTIENT(Table9[[#This Row],[Month]]-1,12))</f>
        <v>1.9606760320220145</v>
      </c>
      <c r="N424">
        <f>N423*(1+Table7[Monthly SF Inter])+Table9[[#This Row],[Monthly Payment]]-O423*(1+Table7[Monthly SF Inter])</f>
        <v>12947.105856878625</v>
      </c>
      <c r="O424">
        <f>IF(MOD(Table9[[#This Row],[Month]],12)=0,(IF(Table9[[#This Row],[Current Balance]]&lt;Table9[[#This Row],[Max Lump Sum ]],Table9[[#This Row],[Current Balance]],Table9[[#This Row],[Max Lump Sum ]])),0)</f>
        <v>0</v>
      </c>
      <c r="P424" s="21">
        <f>Table7[Max annual lump sum repayment]*SUM(C425:C436)</f>
        <v>7880.3958913442566</v>
      </c>
      <c r="Q424" s="25">
        <f>Q423*(1+Table7[Monthly SF Inter])+Table9[[#This Row],[Inflation Modifier]]-R423*(1+Table7[Monthly SF Inter])</f>
        <v>9.8845709162087463</v>
      </c>
      <c r="R424" s="25">
        <f>IF(MOD(Table9[[#This Row],[Month]],12)=0,Table9[[#This Row],[Q2 ACC FACTOR]],0)</f>
        <v>0</v>
      </c>
      <c r="S424" s="25">
        <f>S423*(1+D423)+Table9[[#This Row],[ACC FACTOR PAYMENTS]]</f>
        <v>1658.2144462741455</v>
      </c>
    </row>
    <row r="425" spans="1:19" x14ac:dyDescent="0.25">
      <c r="A425" s="1">
        <v>413</v>
      </c>
      <c r="B425" s="1">
        <f t="shared" si="6"/>
        <v>0</v>
      </c>
      <c r="C425" s="7">
        <f>G$12/-PV(Table7[Monthly mortgage rate], (12*Table7[Amortization period (yrs)]),1 )</f>
        <v>4377.9977174134756</v>
      </c>
      <c r="D425" s="11">
        <f>IF(Table1[[#This Row],[Month]]&lt;=(12*Table7[mortgage term (yrs)]),Table7[Monthly mortgage rate],Table7[Monthly Exp Renewal Rate])</f>
        <v>4.9038466830562122E-3</v>
      </c>
      <c r="E425" s="21">
        <f>Table1[[#This Row],[Current mortgage rate]]*G424</f>
        <v>-6593.4126669489842</v>
      </c>
      <c r="F425" s="5">
        <f>Table1[[#This Row],[Payment amount]]-Table1[[#This Row],[Interest paid]]</f>
        <v>10971.41038436246</v>
      </c>
      <c r="G425" s="20">
        <f>G424-Table1[[#This Row],[Principal repaid]]-Table1[[#This Row],[Annual paym]]</f>
        <v>-1355510.3189376348</v>
      </c>
      <c r="H425" s="20">
        <f>H424-(Table1[[#This Row],[Payment amount]]-Table1[[#This Row],[Interest Paid W/O LSP]])</f>
        <v>-700912.61448114621</v>
      </c>
      <c r="I425">
        <f>H424*Table1[[#This Row],[Current mortgage rate]]</f>
        <v>-3399.0306448970755</v>
      </c>
      <c r="J425" s="25">
        <f>IF(Table1[[#This Row],[Month]]&gt;Table7[Amortization period (yrs)]*12,0,IF(Table1[[#This Row],[Month]]&lt;Table7[mortgage term (yrs)]*12,0,IF(Table1[[#This Row],[Month]]=Table7[mortgage term (yrs)]*12,-H$5,Table1[[#This Row],[Payment amount]]+B425)))</f>
        <v>0</v>
      </c>
      <c r="K425">
        <v>414</v>
      </c>
      <c r="L425">
        <f>Table7[Initial Monthly Deposit]*Table9[[#This Row],[Inflation Modifier]]</f>
        <v>784.27041280880576</v>
      </c>
      <c r="M425">
        <f xml:space="preserve"> (1+Table7[Inflation])^(QUOTIENT(Table9[[#This Row],[Month]]-1,12))</f>
        <v>1.9606760320220145</v>
      </c>
      <c r="N425">
        <f>N424*(1+Table7[Monthly SF Inter])+Table9[[#This Row],[Monthly Payment]]-O424*(1+Table7[Monthly SF Inter])</f>
        <v>13784.769039759472</v>
      </c>
      <c r="O425">
        <f>IF(MOD(Table9[[#This Row],[Month]],12)=0,(IF(Table9[[#This Row],[Current Balance]]&lt;Table9[[#This Row],[Max Lump Sum ]],Table9[[#This Row],[Current Balance]],Table9[[#This Row],[Max Lump Sum ]])),0)</f>
        <v>0</v>
      </c>
      <c r="P425" s="21">
        <f>Table7[Max annual lump sum repayment]*SUM(C426:C437)</f>
        <v>7880.3958913442566</v>
      </c>
      <c r="Q425" s="25">
        <f>Q424*(1+Table7[Monthly SF Inter])+Table9[[#This Row],[Inflation Modifier]]-R424*(1+Table7[Monthly SF Inter])</f>
        <v>11.886010083098428</v>
      </c>
      <c r="R425" s="25">
        <f>IF(MOD(Table9[[#This Row],[Month]],12)=0,Table9[[#This Row],[Q2 ACC FACTOR]],0)</f>
        <v>0</v>
      </c>
      <c r="S425" s="25">
        <f>S424*(1+D424)+Table9[[#This Row],[ACC FACTOR PAYMENTS]]</f>
        <v>1666.3460756863028</v>
      </c>
    </row>
    <row r="426" spans="1:19" x14ac:dyDescent="0.25">
      <c r="A426" s="1">
        <v>414</v>
      </c>
      <c r="B426" s="1">
        <f t="shared" si="6"/>
        <v>0</v>
      </c>
      <c r="C426" s="7">
        <f>G$12/-PV(Table7[Monthly mortgage rate], (12*Table7[Amortization period (yrs)]),1 )</f>
        <v>4377.9977174134756</v>
      </c>
      <c r="D426" s="11">
        <f>IF(Table1[[#This Row],[Month]]&lt;=(12*Table7[mortgage term (yrs)]),Table7[Monthly mortgage rate],Table7[Monthly Exp Renewal Rate])</f>
        <v>4.9038466830562122E-3</v>
      </c>
      <c r="E426" s="21">
        <f>Table1[[#This Row],[Current mortgage rate]]*G425</f>
        <v>-6647.2147813707888</v>
      </c>
      <c r="F426" s="5">
        <f>Table1[[#This Row],[Payment amount]]-Table1[[#This Row],[Interest paid]]</f>
        <v>11025.212498784265</v>
      </c>
      <c r="G426" s="20">
        <f>G425-Table1[[#This Row],[Principal repaid]]-Table1[[#This Row],[Annual paym]]</f>
        <v>-1366535.5314364191</v>
      </c>
      <c r="H426" s="20">
        <f>H425-(Table1[[#This Row],[Payment amount]]-Table1[[#This Row],[Interest Paid W/O LSP]])</f>
        <v>-708727.78019819537</v>
      </c>
      <c r="I426">
        <f>H425*Table1[[#This Row],[Current mortgage rate]]</f>
        <v>-3437.1679996356265</v>
      </c>
      <c r="J426" s="25">
        <f>IF(Table1[[#This Row],[Month]]&gt;Table7[Amortization period (yrs)]*12,0,IF(Table1[[#This Row],[Month]]&lt;Table7[mortgage term (yrs)]*12,0,IF(Table1[[#This Row],[Month]]=Table7[mortgage term (yrs)]*12,-H$5,Table1[[#This Row],[Payment amount]]+B426)))</f>
        <v>0</v>
      </c>
      <c r="K426">
        <v>415</v>
      </c>
      <c r="L426">
        <f>Table7[Initial Monthly Deposit]*Table9[[#This Row],[Inflation Modifier]]</f>
        <v>784.27041280880576</v>
      </c>
      <c r="M426">
        <f xml:space="preserve"> (1+Table7[Inflation])^(QUOTIENT(Table9[[#This Row],[Month]]-1,12))</f>
        <v>1.9606760320220145</v>
      </c>
      <c r="N426">
        <f>N425*(1+Table7[Monthly SF Inter])+Table9[[#This Row],[Monthly Payment]]-O425*(1+Table7[Monthly SF Inter])</f>
        <v>14625.886674794785</v>
      </c>
      <c r="O426">
        <f>IF(MOD(Table9[[#This Row],[Month]],12)=0,(IF(Table9[[#This Row],[Current Balance]]&lt;Table9[[#This Row],[Max Lump Sum ]],Table9[[#This Row],[Current Balance]],Table9[[#This Row],[Max Lump Sum ]])),0)</f>
        <v>0</v>
      </c>
      <c r="P426" s="21">
        <f>Table7[Max annual lump sum repayment]*SUM(C427:C438)</f>
        <v>7880.3958913442566</v>
      </c>
      <c r="Q426" s="25">
        <f>Q425*(1+Table7[Monthly SF Inter])+Table9[[#This Row],[Inflation Modifier]]-R425*(1+Table7[Monthly SF Inter])</f>
        <v>13.895703015920994</v>
      </c>
      <c r="R426" s="25">
        <f>IF(MOD(Table9[[#This Row],[Month]],12)=0,Table9[[#This Row],[Q2 ACC FACTOR]],0)</f>
        <v>0</v>
      </c>
      <c r="S426" s="25">
        <f>S425*(1+D425)+Table9[[#This Row],[ACC FACTOR PAYMENTS]]</f>
        <v>1674.5175813623807</v>
      </c>
    </row>
    <row r="427" spans="1:19" x14ac:dyDescent="0.25">
      <c r="A427" s="1">
        <v>415</v>
      </c>
      <c r="B427" s="1">
        <f t="shared" si="6"/>
        <v>0</v>
      </c>
      <c r="C427" s="7">
        <f>G$12/-PV(Table7[Monthly mortgage rate], (12*Table7[Amortization period (yrs)]),1 )</f>
        <v>4377.9977174134756</v>
      </c>
      <c r="D427" s="11">
        <f>IF(Table1[[#This Row],[Month]]&lt;=(12*Table7[mortgage term (yrs)]),Table7[Monthly mortgage rate],Table7[Monthly Exp Renewal Rate])</f>
        <v>4.9038466830562122E-3</v>
      </c>
      <c r="E427" s="21">
        <f>Table1[[#This Row],[Current mortgage rate]]*G426</f>
        <v>-6701.2807331129425</v>
      </c>
      <c r="F427" s="5">
        <f>Table1[[#This Row],[Payment amount]]-Table1[[#This Row],[Interest paid]]</f>
        <v>11079.278450526417</v>
      </c>
      <c r="G427" s="20">
        <f>G426-Table1[[#This Row],[Principal repaid]]-Table1[[#This Row],[Annual paym]]</f>
        <v>-1377614.8098869456</v>
      </c>
      <c r="H427" s="20">
        <f>H426-(Table1[[#This Row],[Payment amount]]-Table1[[#This Row],[Interest Paid W/O LSP]])</f>
        <v>-716581.27028972353</v>
      </c>
      <c r="I427">
        <f>H426*Table1[[#This Row],[Current mortgage rate]]</f>
        <v>-3475.4923741147127</v>
      </c>
      <c r="J427" s="25">
        <f>IF(Table1[[#This Row],[Month]]&gt;Table7[Amortization period (yrs)]*12,0,IF(Table1[[#This Row],[Month]]&lt;Table7[mortgage term (yrs)]*12,0,IF(Table1[[#This Row],[Month]]=Table7[mortgage term (yrs)]*12,-H$5,Table1[[#This Row],[Payment amount]]+B427)))</f>
        <v>0</v>
      </c>
      <c r="K427">
        <v>416</v>
      </c>
      <c r="L427">
        <f>Table7[Initial Monthly Deposit]*Table9[[#This Row],[Inflation Modifier]]</f>
        <v>784.27041280880576</v>
      </c>
      <c r="M427">
        <f xml:space="preserve"> (1+Table7[Inflation])^(QUOTIENT(Table9[[#This Row],[Month]]-1,12))</f>
        <v>1.9606760320220145</v>
      </c>
      <c r="N427">
        <f>N426*(1+Table7[Monthly SF Inter])+Table9[[#This Row],[Monthly Payment]]-O426*(1+Table7[Monthly SF Inter])</f>
        <v>15470.473007853225</v>
      </c>
      <c r="O427">
        <f>IF(MOD(Table9[[#This Row],[Month]],12)=0,(IF(Table9[[#This Row],[Current Balance]]&lt;Table9[[#This Row],[Max Lump Sum ]],Table9[[#This Row],[Current Balance]],Table9[[#This Row],[Max Lump Sum ]])),0)</f>
        <v>0</v>
      </c>
      <c r="P427" s="21">
        <f>Table7[Max annual lump sum repayment]*SUM(C428:C439)</f>
        <v>7880.3958913442566</v>
      </c>
      <c r="Q427" s="25">
        <f>Q426*(1+Table7[Monthly SF Inter])+Table9[[#This Row],[Inflation Modifier]]-R426*(1+Table7[Monthly SF Inter])</f>
        <v>15.913683752509415</v>
      </c>
      <c r="R427" s="25">
        <f>IF(MOD(Table9[[#This Row],[Month]],12)=0,Table9[[#This Row],[Q2 ACC FACTOR]],0)</f>
        <v>0</v>
      </c>
      <c r="S427" s="25">
        <f>S426*(1+D426)+Table9[[#This Row],[ACC FACTOR PAYMENTS]]</f>
        <v>1682.7291588494641</v>
      </c>
    </row>
    <row r="428" spans="1:19" x14ac:dyDescent="0.25">
      <c r="A428" s="1">
        <v>416</v>
      </c>
      <c r="B428" s="1">
        <f t="shared" si="6"/>
        <v>0</v>
      </c>
      <c r="C428" s="7">
        <f>G$12/-PV(Table7[Monthly mortgage rate], (12*Table7[Amortization period (yrs)]),1 )</f>
        <v>4377.9977174134756</v>
      </c>
      <c r="D428" s="11">
        <f>IF(Table1[[#This Row],[Month]]&lt;=(12*Table7[mortgage term (yrs)]),Table7[Monthly mortgage rate],Table7[Monthly Exp Renewal Rate])</f>
        <v>4.9038466830562122E-3</v>
      </c>
      <c r="E428" s="21">
        <f>Table1[[#This Row],[Current mortgage rate]]*G427</f>
        <v>-6755.611815993213</v>
      </c>
      <c r="F428" s="5">
        <f>Table1[[#This Row],[Payment amount]]-Table1[[#This Row],[Interest paid]]</f>
        <v>11133.609533406689</v>
      </c>
      <c r="G428" s="20">
        <f>G427-Table1[[#This Row],[Principal repaid]]-Table1[[#This Row],[Annual paym]]</f>
        <v>-1388748.4194203524</v>
      </c>
      <c r="H428" s="20">
        <f>H427-(Table1[[#This Row],[Payment amount]]-Table1[[#This Row],[Interest Paid W/O LSP]])</f>
        <v>-724473.27269258746</v>
      </c>
      <c r="I428">
        <f>H427*Table1[[#This Row],[Current mortgage rate]]</f>
        <v>-3514.0046854504676</v>
      </c>
      <c r="J428" s="25">
        <f>IF(Table1[[#This Row],[Month]]&gt;Table7[Amortization period (yrs)]*12,0,IF(Table1[[#This Row],[Month]]&lt;Table7[mortgage term (yrs)]*12,0,IF(Table1[[#This Row],[Month]]=Table7[mortgage term (yrs)]*12,-H$5,Table1[[#This Row],[Payment amount]]+B428)))</f>
        <v>0</v>
      </c>
      <c r="K428">
        <v>417</v>
      </c>
      <c r="L428">
        <f>Table7[Initial Monthly Deposit]*Table9[[#This Row],[Inflation Modifier]]</f>
        <v>784.27041280880576</v>
      </c>
      <c r="M428">
        <f xml:space="preserve"> (1+Table7[Inflation])^(QUOTIENT(Table9[[#This Row],[Month]]-1,12))</f>
        <v>1.9606760320220145</v>
      </c>
      <c r="N428">
        <f>N427*(1+Table7[Monthly SF Inter])+Table9[[#This Row],[Monthly Payment]]-O427*(1+Table7[Monthly SF Inter])</f>
        <v>16318.542343552213</v>
      </c>
      <c r="O428">
        <f>IF(MOD(Table9[[#This Row],[Month]],12)=0,(IF(Table9[[#This Row],[Current Balance]]&lt;Table9[[#This Row],[Max Lump Sum ]],Table9[[#This Row],[Current Balance]],Table9[[#This Row],[Max Lump Sum ]])),0)</f>
        <v>0</v>
      </c>
      <c r="P428" s="21">
        <f>Table7[Max annual lump sum repayment]*SUM(C429:C440)</f>
        <v>7880.3958913442566</v>
      </c>
      <c r="Q428" s="25">
        <f>Q427*(1+Table7[Monthly SF Inter])+Table9[[#This Row],[Inflation Modifier]]-R427*(1+Table7[Monthly SF Inter])</f>
        <v>17.939986471065819</v>
      </c>
      <c r="R428" s="25">
        <f>IF(MOD(Table9[[#This Row],[Month]],12)=0,Table9[[#This Row],[Q2 ACC FACTOR]],0)</f>
        <v>0</v>
      </c>
      <c r="S428" s="25">
        <f>S427*(1+D427)+Table9[[#This Row],[ACC FACTOR PAYMENTS]]</f>
        <v>1690.9810046535699</v>
      </c>
    </row>
    <row r="429" spans="1:19" x14ac:dyDescent="0.25">
      <c r="A429" s="1">
        <v>417</v>
      </c>
      <c r="B429" s="1">
        <f t="shared" si="6"/>
        <v>0</v>
      </c>
      <c r="C429" s="7">
        <f>G$12/-PV(Table7[Monthly mortgage rate], (12*Table7[Amortization period (yrs)]),1 )</f>
        <v>4377.9977174134756</v>
      </c>
      <c r="D429" s="11">
        <f>IF(Table1[[#This Row],[Month]]&lt;=(12*Table7[mortgage term (yrs)]),Table7[Monthly mortgage rate],Table7[Monthly Exp Renewal Rate])</f>
        <v>4.9038466830562122E-3</v>
      </c>
      <c r="E429" s="21">
        <f>Table1[[#This Row],[Current mortgage rate]]*G428</f>
        <v>-6810.2093301740524</v>
      </c>
      <c r="F429" s="5">
        <f>Table1[[#This Row],[Payment amount]]-Table1[[#This Row],[Interest paid]]</f>
        <v>11188.207047587528</v>
      </c>
      <c r="G429" s="20">
        <f>G428-Table1[[#This Row],[Principal repaid]]-Table1[[#This Row],[Annual paym]]</f>
        <v>-1399936.6264679399</v>
      </c>
      <c r="H429" s="20">
        <f>H428-(Table1[[#This Row],[Payment amount]]-Table1[[#This Row],[Interest Paid W/O LSP]])</f>
        <v>-732403.97626525734</v>
      </c>
      <c r="I429">
        <f>H428*Table1[[#This Row],[Current mortgage rate]]</f>
        <v>-3552.7058552564235</v>
      </c>
      <c r="J429" s="25">
        <f>IF(Table1[[#This Row],[Month]]&gt;Table7[Amortization period (yrs)]*12,0,IF(Table1[[#This Row],[Month]]&lt;Table7[mortgage term (yrs)]*12,0,IF(Table1[[#This Row],[Month]]=Table7[mortgage term (yrs)]*12,-H$5,Table1[[#This Row],[Payment amount]]+B429)))</f>
        <v>0</v>
      </c>
      <c r="K429">
        <v>418</v>
      </c>
      <c r="L429">
        <f>Table7[Initial Monthly Deposit]*Table9[[#This Row],[Inflation Modifier]]</f>
        <v>784.27041280880576</v>
      </c>
      <c r="M429">
        <f xml:space="preserve"> (1+Table7[Inflation])^(QUOTIENT(Table9[[#This Row],[Month]]-1,12))</f>
        <v>1.9606760320220145</v>
      </c>
      <c r="N429">
        <f>N428*(1+Table7[Monthly SF Inter])+Table9[[#This Row],[Monthly Payment]]-O428*(1+Table7[Monthly SF Inter])</f>
        <v>17170.109045500205</v>
      </c>
      <c r="O429">
        <f>IF(MOD(Table9[[#This Row],[Month]],12)=0,(IF(Table9[[#This Row],[Current Balance]]&lt;Table9[[#This Row],[Max Lump Sum ]],Table9[[#This Row],[Current Balance]],Table9[[#This Row],[Max Lump Sum ]])),0)</f>
        <v>0</v>
      </c>
      <c r="P429" s="21">
        <f>Table7[Max annual lump sum repayment]*SUM(C430:C441)</f>
        <v>7880.3958913442566</v>
      </c>
      <c r="Q429" s="25">
        <f>Q428*(1+Table7[Monthly SF Inter])+Table9[[#This Row],[Inflation Modifier]]-R428*(1+Table7[Monthly SF Inter])</f>
        <v>19.97464549074034</v>
      </c>
      <c r="R429" s="25">
        <f>IF(MOD(Table9[[#This Row],[Month]],12)=0,Table9[[#This Row],[Q2 ACC FACTOR]],0)</f>
        <v>0</v>
      </c>
      <c r="S429" s="25">
        <f>S428*(1+D428)+Table9[[#This Row],[ACC FACTOR PAYMENTS]]</f>
        <v>1699.2733162443515</v>
      </c>
    </row>
    <row r="430" spans="1:19" x14ac:dyDescent="0.25">
      <c r="A430" s="1">
        <v>418</v>
      </c>
      <c r="B430" s="1">
        <f t="shared" si="6"/>
        <v>0</v>
      </c>
      <c r="C430" s="7">
        <f>G$12/-PV(Table7[Monthly mortgage rate], (12*Table7[Amortization period (yrs)]),1 )</f>
        <v>4377.9977174134756</v>
      </c>
      <c r="D430" s="11">
        <f>IF(Table1[[#This Row],[Month]]&lt;=(12*Table7[mortgage term (yrs)]),Table7[Monthly mortgage rate],Table7[Monthly Exp Renewal Rate])</f>
        <v>4.9038466830562122E-3</v>
      </c>
      <c r="E430" s="21">
        <f>Table1[[#This Row],[Current mortgage rate]]*G429</f>
        <v>-6865.0745821937107</v>
      </c>
      <c r="F430" s="5">
        <f>Table1[[#This Row],[Payment amount]]-Table1[[#This Row],[Interest paid]]</f>
        <v>11243.072299607185</v>
      </c>
      <c r="G430" s="20">
        <f>G429-Table1[[#This Row],[Principal repaid]]-Table1[[#This Row],[Annual paym]]</f>
        <v>-1411179.698767547</v>
      </c>
      <c r="H430" s="20">
        <f>H429-(Table1[[#This Row],[Payment amount]]-Table1[[#This Row],[Interest Paid W/O LSP]])</f>
        <v>-740373.57079233637</v>
      </c>
      <c r="I430">
        <f>H429*Table1[[#This Row],[Current mortgage rate]]</f>
        <v>-3591.5968096655629</v>
      </c>
      <c r="J430" s="25">
        <f>IF(Table1[[#This Row],[Month]]&gt;Table7[Amortization period (yrs)]*12,0,IF(Table1[[#This Row],[Month]]&lt;Table7[mortgage term (yrs)]*12,0,IF(Table1[[#This Row],[Month]]=Table7[mortgage term (yrs)]*12,-H$5,Table1[[#This Row],[Payment amount]]+B430)))</f>
        <v>0</v>
      </c>
      <c r="K430">
        <v>419</v>
      </c>
      <c r="L430">
        <f>Table7[Initial Monthly Deposit]*Table9[[#This Row],[Inflation Modifier]]</f>
        <v>784.27041280880576</v>
      </c>
      <c r="M430">
        <f xml:space="preserve"> (1+Table7[Inflation])^(QUOTIENT(Table9[[#This Row],[Month]]-1,12))</f>
        <v>1.9606760320220145</v>
      </c>
      <c r="N430">
        <f>N429*(1+Table7[Monthly SF Inter])+Table9[[#This Row],[Monthly Payment]]-O429*(1+Table7[Monthly SF Inter])</f>
        <v>18025.187536539961</v>
      </c>
      <c r="O430">
        <f>IF(MOD(Table9[[#This Row],[Month]],12)=0,(IF(Table9[[#This Row],[Current Balance]]&lt;Table9[[#This Row],[Max Lump Sum ]],Table9[[#This Row],[Current Balance]],Table9[[#This Row],[Max Lump Sum ]])),0)</f>
        <v>0</v>
      </c>
      <c r="P430" s="21">
        <f>Table7[Max annual lump sum repayment]*SUM(C431:C442)</f>
        <v>7880.3958913442566</v>
      </c>
      <c r="Q430" s="25">
        <f>Q429*(1+Table7[Monthly SF Inter])+Table9[[#This Row],[Inflation Modifier]]-R429*(1+Table7[Monthly SF Inter])</f>
        <v>22.017695272212393</v>
      </c>
      <c r="R430" s="25">
        <f>IF(MOD(Table9[[#This Row],[Month]],12)=0,Table9[[#This Row],[Q2 ACC FACTOR]],0)</f>
        <v>0</v>
      </c>
      <c r="S430" s="25">
        <f>S429*(1+D429)+Table9[[#This Row],[ACC FACTOR PAYMENTS]]</f>
        <v>1707.6062920598222</v>
      </c>
    </row>
    <row r="431" spans="1:19" x14ac:dyDescent="0.25">
      <c r="A431" s="1">
        <v>419</v>
      </c>
      <c r="B431" s="1">
        <f t="shared" si="6"/>
        <v>0</v>
      </c>
      <c r="C431" s="7">
        <f>G$12/-PV(Table7[Monthly mortgage rate], (12*Table7[Amortization period (yrs)]),1 )</f>
        <v>4377.9977174134756</v>
      </c>
      <c r="D431" s="11">
        <f>IF(Table1[[#This Row],[Month]]&lt;=(12*Table7[mortgage term (yrs)]),Table7[Monthly mortgage rate],Table7[Monthly Exp Renewal Rate])</f>
        <v>4.9038466830562122E-3</v>
      </c>
      <c r="E431" s="21">
        <f>Table1[[#This Row],[Current mortgage rate]]*G430</f>
        <v>-6920.2088849974998</v>
      </c>
      <c r="F431" s="5">
        <f>Table1[[#This Row],[Payment amount]]-Table1[[#This Row],[Interest paid]]</f>
        <v>11298.206602410975</v>
      </c>
      <c r="G431" s="20">
        <f>G430-Table1[[#This Row],[Principal repaid]]-Table1[[#This Row],[Annual paym]]</f>
        <v>-1422477.9053699579</v>
      </c>
      <c r="H431" s="20">
        <f>H430-(Table1[[#This Row],[Payment amount]]-Table1[[#This Row],[Interest Paid W/O LSP]])</f>
        <v>-748382.24698910234</v>
      </c>
      <c r="I431">
        <f>H430*Table1[[#This Row],[Current mortgage rate]]</f>
        <v>-3630.6784793524826</v>
      </c>
      <c r="J431" s="25">
        <f>IF(Table1[[#This Row],[Month]]&gt;Table7[Amortization period (yrs)]*12,0,IF(Table1[[#This Row],[Month]]&lt;Table7[mortgage term (yrs)]*12,0,IF(Table1[[#This Row],[Month]]=Table7[mortgage term (yrs)]*12,-H$5,Table1[[#This Row],[Payment amount]]+B431)))</f>
        <v>0</v>
      </c>
      <c r="K431">
        <v>420</v>
      </c>
      <c r="L431">
        <f>Table7[Initial Monthly Deposit]*Table9[[#This Row],[Inflation Modifier]]</f>
        <v>784.27041280880576</v>
      </c>
      <c r="M431">
        <f xml:space="preserve"> (1+Table7[Inflation])^(QUOTIENT(Table9[[#This Row],[Month]]-1,12))</f>
        <v>1.9606760320220145</v>
      </c>
      <c r="N431">
        <f>N430*(1+Table7[Monthly SF Inter])+Table9[[#This Row],[Monthly Payment]]-O430*(1+Table7[Monthly SF Inter])</f>
        <v>18883.792298992827</v>
      </c>
      <c r="O431">
        <f>IF(MOD(Table9[[#This Row],[Month]],12)=0,(IF(Table9[[#This Row],[Current Balance]]&lt;Table9[[#This Row],[Max Lump Sum ]],Table9[[#This Row],[Current Balance]],Table9[[#This Row],[Max Lump Sum ]])),0)</f>
        <v>7880.3958913442566</v>
      </c>
      <c r="P431" s="21">
        <f>Table7[Max annual lump sum repayment]*SUM(C432:C443)</f>
        <v>7880.3958913442566</v>
      </c>
      <c r="Q431" s="25">
        <f>Q430*(1+Table7[Monthly SF Inter])+Table9[[#This Row],[Inflation Modifier]]-R430*(1+Table7[Monthly SF Inter])</f>
        <v>24.069170418274318</v>
      </c>
      <c r="R431" s="25">
        <f>IF(MOD(Table9[[#This Row],[Month]],12)=0,Table9[[#This Row],[Q2 ACC FACTOR]],0)</f>
        <v>24.069170418274318</v>
      </c>
      <c r="S431" s="25">
        <f>S430*(1+D430)+Table9[[#This Row],[ACC FACTOR PAYMENTS]]</f>
        <v>1740.0493019293799</v>
      </c>
    </row>
    <row r="432" spans="1:19" x14ac:dyDescent="0.25">
      <c r="A432" s="1">
        <v>420</v>
      </c>
      <c r="B432" s="1">
        <f t="shared" si="6"/>
        <v>7880.3958913442566</v>
      </c>
      <c r="C432" s="7">
        <f>G$12/-PV(Table7[Monthly mortgage rate], (12*Table7[Amortization period (yrs)]),1 )</f>
        <v>4377.9977174134756</v>
      </c>
      <c r="D432" s="11">
        <f>IF(Table1[[#This Row],[Month]]&lt;=(12*Table7[mortgage term (yrs)]),Table7[Monthly mortgage rate],Table7[Monthly Exp Renewal Rate])</f>
        <v>4.9038466830562122E-3</v>
      </c>
      <c r="E432" s="21">
        <f>Table1[[#This Row],[Current mortgage rate]]*G431</f>
        <v>-6975.6135579692163</v>
      </c>
      <c r="F432" s="5">
        <f>Table1[[#This Row],[Payment amount]]-Table1[[#This Row],[Interest paid]]</f>
        <v>11353.611275382693</v>
      </c>
      <c r="G432" s="20">
        <f>G431-Table1[[#This Row],[Principal repaid]]-Table1[[#This Row],[Annual paym]]</f>
        <v>-1441711.9125366849</v>
      </c>
      <c r="H432" s="20">
        <f>H431-(Table1[[#This Row],[Payment amount]]-Table1[[#This Row],[Interest Paid W/O LSP]])</f>
        <v>-756430.19650607149</v>
      </c>
      <c r="I432">
        <f>H431*Table1[[#This Row],[Current mortgage rate]]</f>
        <v>-3669.9517995556644</v>
      </c>
      <c r="J432" s="25">
        <f>IF(Table1[[#This Row],[Month]]&gt;Table7[Amortization period (yrs)]*12,0,IF(Table1[[#This Row],[Month]]&lt;Table7[mortgage term (yrs)]*12,0,IF(Table1[[#This Row],[Month]]=Table7[mortgage term (yrs)]*12,-H$5,Table1[[#This Row],[Payment amount]]+B432)))</f>
        <v>0</v>
      </c>
      <c r="K432">
        <v>421</v>
      </c>
      <c r="L432">
        <f>Table7[Initial Monthly Deposit]*Table9[[#This Row],[Inflation Modifier]]</f>
        <v>799.95582106498193</v>
      </c>
      <c r="M432">
        <f xml:space="preserve"> (1+Table7[Inflation])^(QUOTIENT(Table9[[#This Row],[Month]]-1,12))</f>
        <v>1.9998895526624547</v>
      </c>
      <c r="N432">
        <f>N431*(1+Table7[Monthly SF Inter])+Table9[[#This Row],[Monthly Payment]]-O431*(1+Table7[Monthly SF Inter])</f>
        <v>11848.729305328165</v>
      </c>
      <c r="O432">
        <f>IF(MOD(Table9[[#This Row],[Month]],12)=0,(IF(Table9[[#This Row],[Current Balance]]&lt;Table9[[#This Row],[Max Lump Sum ]],Table9[[#This Row],[Current Balance]],Table9[[#This Row],[Max Lump Sum ]])),0)</f>
        <v>0</v>
      </c>
      <c r="P432" s="21">
        <f>Table7[Max annual lump sum repayment]*SUM(C433:C444)</f>
        <v>7880.3958913442566</v>
      </c>
      <c r="Q432" s="25">
        <f>Q431*(1+Table7[Monthly SF Inter])+Table9[[#This Row],[Inflation Modifier]]-R431*(1+Table7[Monthly SF Inter])</f>
        <v>1.9998895526624558</v>
      </c>
      <c r="R432" s="25">
        <f>IF(MOD(Table9[[#This Row],[Month]],12)=0,Table9[[#This Row],[Q2 ACC FACTOR]],0)</f>
        <v>0</v>
      </c>
      <c r="S432" s="25">
        <f>S431*(1+D431)+Table9[[#This Row],[ACC FACTOR PAYMENTS]]</f>
        <v>1748.5822369270006</v>
      </c>
    </row>
    <row r="433" spans="1:19" x14ac:dyDescent="0.25">
      <c r="A433" s="1">
        <v>421</v>
      </c>
      <c r="B433" s="1">
        <f t="shared" si="6"/>
        <v>0</v>
      </c>
      <c r="C433" s="7">
        <f>G$12/-PV(Table7[Monthly mortgage rate], (12*Table7[Amortization period (yrs)]),1 )</f>
        <v>4377.9977174134756</v>
      </c>
      <c r="D433" s="11">
        <f>IF(Table1[[#This Row],[Month]]&lt;=(12*Table7[mortgage term (yrs)]),Table7[Monthly mortgage rate],Table7[Monthly Exp Renewal Rate])</f>
        <v>4.9038466830562122E-3</v>
      </c>
      <c r="E433" s="21">
        <f>Table1[[#This Row],[Current mortgage rate]]*G432</f>
        <v>-7069.9341802156505</v>
      </c>
      <c r="F433" s="5">
        <f>Table1[[#This Row],[Payment amount]]-Table1[[#This Row],[Interest paid]]</f>
        <v>11447.931897629125</v>
      </c>
      <c r="G433" s="20">
        <f>G432-Table1[[#This Row],[Principal repaid]]-Table1[[#This Row],[Annual paym]]</f>
        <v>-1453159.8444343139</v>
      </c>
      <c r="H433" s="20">
        <f>H432-(Table1[[#This Row],[Payment amount]]-Table1[[#This Row],[Interest Paid W/O LSP]])</f>
        <v>-764517.61193358479</v>
      </c>
      <c r="I433">
        <f>H432*Table1[[#This Row],[Current mortgage rate]]</f>
        <v>-3709.4177100998572</v>
      </c>
      <c r="J433" s="25">
        <f>IF(Table1[[#This Row],[Month]]&gt;Table7[Amortization period (yrs)]*12,0,IF(Table1[[#This Row],[Month]]&lt;Table7[mortgage term (yrs)]*12,0,IF(Table1[[#This Row],[Month]]=Table7[mortgage term (yrs)]*12,-H$5,Table1[[#This Row],[Payment amount]]+B433)))</f>
        <v>0</v>
      </c>
      <c r="K433">
        <v>422</v>
      </c>
      <c r="L433">
        <f>Table7[Initial Monthly Deposit]*Table9[[#This Row],[Inflation Modifier]]</f>
        <v>799.95582106498193</v>
      </c>
      <c r="M433">
        <f xml:space="preserve"> (1+Table7[Inflation])^(QUOTIENT(Table9[[#This Row],[Month]]-1,12))</f>
        <v>1.9998895526624547</v>
      </c>
      <c r="N433">
        <f>N432*(1+Table7[Monthly SF Inter])+Table9[[#This Row],[Monthly Payment]]-O432*(1+Table7[Monthly SF Inter])</f>
        <v>12697.548284417697</v>
      </c>
      <c r="O433">
        <f>IF(MOD(Table9[[#This Row],[Month]],12)=0,(IF(Table9[[#This Row],[Current Balance]]&lt;Table9[[#This Row],[Max Lump Sum ]],Table9[[#This Row],[Current Balance]],Table9[[#This Row],[Max Lump Sum ]])),0)</f>
        <v>0</v>
      </c>
      <c r="P433" s="21">
        <f>Table7[Max annual lump sum repayment]*SUM(C434:C445)</f>
        <v>7880.3958913442566</v>
      </c>
      <c r="Q433" s="25">
        <f>Q432*(1+Table7[Monthly SF Inter])+Table9[[#This Row],[Inflation Modifier]]-R432*(1+Table7[Monthly SF Inter])</f>
        <v>4.0080264807797157</v>
      </c>
      <c r="R433" s="25">
        <f>IF(MOD(Table9[[#This Row],[Month]],12)=0,Table9[[#This Row],[Q2 ACC FACTOR]],0)</f>
        <v>0</v>
      </c>
      <c r="S433" s="25">
        <f>S432*(1+D432)+Table9[[#This Row],[ACC FACTOR PAYMENTS]]</f>
        <v>1757.1570161296061</v>
      </c>
    </row>
    <row r="434" spans="1:19" x14ac:dyDescent="0.25">
      <c r="A434" s="1">
        <v>422</v>
      </c>
      <c r="B434" s="1">
        <f t="shared" si="6"/>
        <v>0</v>
      </c>
      <c r="C434" s="7">
        <f>G$12/-PV(Table7[Monthly mortgage rate], (12*Table7[Amortization period (yrs)]),1 )</f>
        <v>4377.9977174134756</v>
      </c>
      <c r="D434" s="11">
        <f>IF(Table1[[#This Row],[Month]]&lt;=(12*Table7[mortgage term (yrs)]),Table7[Monthly mortgage rate],Table7[Monthly Exp Renewal Rate])</f>
        <v>4.9038466830562122E-3</v>
      </c>
      <c r="E434" s="21">
        <f>Table1[[#This Row],[Current mortgage rate]]*G433</f>
        <v>-7126.073083079692</v>
      </c>
      <c r="F434" s="5">
        <f>Table1[[#This Row],[Payment amount]]-Table1[[#This Row],[Interest paid]]</f>
        <v>11504.070800493168</v>
      </c>
      <c r="G434" s="20">
        <f>G433-Table1[[#This Row],[Principal repaid]]-Table1[[#This Row],[Annual paym]]</f>
        <v>-1464663.9152348072</v>
      </c>
      <c r="H434" s="20">
        <f>H433-(Table1[[#This Row],[Payment amount]]-Table1[[#This Row],[Interest Paid W/O LSP]])</f>
        <v>-772644.68680641684</v>
      </c>
      <c r="I434">
        <f>H433*Table1[[#This Row],[Current mortgage rate]]</f>
        <v>-3749.0771554185662</v>
      </c>
      <c r="J434" s="25">
        <f>IF(Table1[[#This Row],[Month]]&gt;Table7[Amortization period (yrs)]*12,0,IF(Table1[[#This Row],[Month]]&lt;Table7[mortgage term (yrs)]*12,0,IF(Table1[[#This Row],[Month]]=Table7[mortgage term (yrs)]*12,-H$5,Table1[[#This Row],[Payment amount]]+B434)))</f>
        <v>0</v>
      </c>
      <c r="K434">
        <v>423</v>
      </c>
      <c r="L434">
        <f>Table7[Initial Monthly Deposit]*Table9[[#This Row],[Inflation Modifier]]</f>
        <v>799.95582106498193</v>
      </c>
      <c r="M434">
        <f xml:space="preserve"> (1+Table7[Inflation])^(QUOTIENT(Table9[[#This Row],[Month]]-1,12))</f>
        <v>1.9998895526624547</v>
      </c>
      <c r="N434">
        <f>N433*(1+Table7[Monthly SF Inter])+Table9[[#This Row],[Monthly Payment]]-O433*(1+Table7[Monthly SF Inter])</f>
        <v>13549.867721222203</v>
      </c>
      <c r="O434">
        <f>IF(MOD(Table9[[#This Row],[Month]],12)=0,(IF(Table9[[#This Row],[Current Balance]]&lt;Table9[[#This Row],[Max Lump Sum ]],Table9[[#This Row],[Current Balance]],Table9[[#This Row],[Max Lump Sum ]])),0)</f>
        <v>0</v>
      </c>
      <c r="P434" s="21">
        <f>Table7[Max annual lump sum repayment]*SUM(C435:C446)</f>
        <v>7880.3958913442566</v>
      </c>
      <c r="Q434" s="25">
        <f>Q433*(1+Table7[Monthly SF Inter])+Table9[[#This Row],[Inflation Modifier]]-R433*(1+Table7[Monthly SF Inter])</f>
        <v>6.0244447958309655</v>
      </c>
      <c r="R434" s="25">
        <f>IF(MOD(Table9[[#This Row],[Month]],12)=0,Table9[[#This Row],[Q2 ACC FACTOR]],0)</f>
        <v>0</v>
      </c>
      <c r="S434" s="25">
        <f>S433*(1+D433)+Table9[[#This Row],[ACC FACTOR PAYMENTS]]</f>
        <v>1765.7738447347622</v>
      </c>
    </row>
    <row r="435" spans="1:19" x14ac:dyDescent="0.25">
      <c r="A435" s="1">
        <v>423</v>
      </c>
      <c r="B435" s="1">
        <f t="shared" si="6"/>
        <v>0</v>
      </c>
      <c r="C435" s="7">
        <f>G$12/-PV(Table7[Monthly mortgage rate], (12*Table7[Amortization period (yrs)]),1 )</f>
        <v>4377.9977174134756</v>
      </c>
      <c r="D435" s="11">
        <f>IF(Table1[[#This Row],[Month]]&lt;=(12*Table7[mortgage term (yrs)]),Table7[Monthly mortgage rate],Table7[Monthly Exp Renewal Rate])</f>
        <v>4.9038466830562122E-3</v>
      </c>
      <c r="E435" s="21">
        <f>Table1[[#This Row],[Current mortgage rate]]*G434</f>
        <v>-7182.4872825163347</v>
      </c>
      <c r="F435" s="5">
        <f>Table1[[#This Row],[Payment amount]]-Table1[[#This Row],[Interest paid]]</f>
        <v>11560.484999929809</v>
      </c>
      <c r="G435" s="20">
        <f>G434-Table1[[#This Row],[Principal repaid]]-Table1[[#This Row],[Annual paym]]</f>
        <v>-1476224.400234737</v>
      </c>
      <c r="H435" s="20">
        <f>H434-(Table1[[#This Row],[Payment amount]]-Table1[[#This Row],[Interest Paid W/O LSP]])</f>
        <v>-780811.61560840695</v>
      </c>
      <c r="I435">
        <f>H434*Table1[[#This Row],[Current mortgage rate]]</f>
        <v>-3788.9310845766531</v>
      </c>
      <c r="J435" s="25">
        <f>IF(Table1[[#This Row],[Month]]&gt;Table7[Amortization period (yrs)]*12,0,IF(Table1[[#This Row],[Month]]&lt;Table7[mortgage term (yrs)]*12,0,IF(Table1[[#This Row],[Month]]=Table7[mortgage term (yrs)]*12,-H$5,Table1[[#This Row],[Payment amount]]+B435)))</f>
        <v>0</v>
      </c>
      <c r="K435">
        <v>424</v>
      </c>
      <c r="L435">
        <f>Table7[Initial Monthly Deposit]*Table9[[#This Row],[Inflation Modifier]]</f>
        <v>799.95582106498193</v>
      </c>
      <c r="M435">
        <f xml:space="preserve"> (1+Table7[Inflation])^(QUOTIENT(Table9[[#This Row],[Month]]-1,12))</f>
        <v>1.9998895526624547</v>
      </c>
      <c r="N435">
        <f>N434*(1+Table7[Monthly SF Inter])+Table9[[#This Row],[Monthly Payment]]-O434*(1+Table7[Monthly SF Inter])</f>
        <v>14405.70205133339</v>
      </c>
      <c r="O435">
        <f>IF(MOD(Table9[[#This Row],[Month]],12)=0,(IF(Table9[[#This Row],[Current Balance]]&lt;Table9[[#This Row],[Max Lump Sum ]],Table9[[#This Row],[Current Balance]],Table9[[#This Row],[Max Lump Sum ]])),0)</f>
        <v>0</v>
      </c>
      <c r="P435" s="21">
        <f>Table7[Max annual lump sum repayment]*SUM(C436:C447)</f>
        <v>7880.3958913442566</v>
      </c>
      <c r="Q435" s="25">
        <f>Q434*(1+Table7[Monthly SF Inter])+Table9[[#This Row],[Inflation Modifier]]-R434*(1+Table7[Monthly SF Inter])</f>
        <v>8.0491786495558557</v>
      </c>
      <c r="R435" s="25">
        <f>IF(MOD(Table9[[#This Row],[Month]],12)=0,Table9[[#This Row],[Q2 ACC FACTOR]],0)</f>
        <v>0</v>
      </c>
      <c r="S435" s="25">
        <f>S434*(1+D434)+Table9[[#This Row],[ACC FACTOR PAYMENTS]]</f>
        <v>1774.4329289462921</v>
      </c>
    </row>
    <row r="436" spans="1:19" x14ac:dyDescent="0.25">
      <c r="A436" s="1">
        <v>424</v>
      </c>
      <c r="B436" s="1">
        <f t="shared" si="6"/>
        <v>0</v>
      </c>
      <c r="C436" s="7">
        <f>G$12/-PV(Table7[Monthly mortgage rate], (12*Table7[Amortization period (yrs)]),1 )</f>
        <v>4377.9977174134756</v>
      </c>
      <c r="D436" s="11">
        <f>IF(Table1[[#This Row],[Month]]&lt;=(12*Table7[mortgage term (yrs)]),Table7[Monthly mortgage rate],Table7[Monthly Exp Renewal Rate])</f>
        <v>4.9038466830562122E-3</v>
      </c>
      <c r="E436" s="21">
        <f>Table1[[#This Row],[Current mortgage rate]]*G435</f>
        <v>-7239.178128537761</v>
      </c>
      <c r="F436" s="5">
        <f>Table1[[#This Row],[Payment amount]]-Table1[[#This Row],[Interest paid]]</f>
        <v>11617.175845951237</v>
      </c>
      <c r="G436" s="20">
        <f>G435-Table1[[#This Row],[Principal repaid]]-Table1[[#This Row],[Annual paym]]</f>
        <v>-1487841.5760806883</v>
      </c>
      <c r="H436" s="20">
        <f>H435-(Table1[[#This Row],[Payment amount]]-Table1[[#This Row],[Interest Paid W/O LSP]])</f>
        <v>-789018.59377711348</v>
      </c>
      <c r="I436">
        <f>H435*Table1[[#This Row],[Current mortgage rate]]</f>
        <v>-3828.9804512930486</v>
      </c>
      <c r="J436" s="25">
        <f>IF(Table1[[#This Row],[Month]]&gt;Table7[Amortization period (yrs)]*12,0,IF(Table1[[#This Row],[Month]]&lt;Table7[mortgage term (yrs)]*12,0,IF(Table1[[#This Row],[Month]]=Table7[mortgage term (yrs)]*12,-H$5,Table1[[#This Row],[Payment amount]]+B436)))</f>
        <v>0</v>
      </c>
      <c r="K436">
        <v>425</v>
      </c>
      <c r="L436">
        <f>Table7[Initial Monthly Deposit]*Table9[[#This Row],[Inflation Modifier]]</f>
        <v>799.95582106498193</v>
      </c>
      <c r="M436">
        <f xml:space="preserve"> (1+Table7[Inflation])^(QUOTIENT(Table9[[#This Row],[Month]]-1,12))</f>
        <v>1.9998895526624547</v>
      </c>
      <c r="N436">
        <f>N435*(1+Table7[Monthly SF Inter])+Table9[[#This Row],[Monthly Payment]]-O435*(1+Table7[Monthly SF Inter])</f>
        <v>15265.065769874125</v>
      </c>
      <c r="O436">
        <f>IF(MOD(Table9[[#This Row],[Month]],12)=0,(IF(Table9[[#This Row],[Current Balance]]&lt;Table9[[#This Row],[Max Lump Sum ]],Table9[[#This Row],[Current Balance]],Table9[[#This Row],[Max Lump Sum ]])),0)</f>
        <v>0</v>
      </c>
      <c r="P436" s="21">
        <f>Table7[Max annual lump sum repayment]*SUM(C437:C448)</f>
        <v>7880.3958913442566</v>
      </c>
      <c r="Q436" s="25">
        <f>Q435*(1+Table7[Monthly SF Inter])+Table9[[#This Row],[Inflation Modifier]]-R435*(1+Table7[Monthly SF Inter])</f>
        <v>10.082262334532922</v>
      </c>
      <c r="R436" s="25">
        <f>IF(MOD(Table9[[#This Row],[Month]],12)=0,Table9[[#This Row],[Q2 ACC FACTOR]],0)</f>
        <v>0</v>
      </c>
      <c r="S436" s="25">
        <f>S435*(1+D435)+Table9[[#This Row],[ACC FACTOR PAYMENTS]]</f>
        <v>1783.1344759792112</v>
      </c>
    </row>
    <row r="437" spans="1:19" x14ac:dyDescent="0.25">
      <c r="A437" s="1">
        <v>425</v>
      </c>
      <c r="B437" s="1">
        <f t="shared" si="6"/>
        <v>0</v>
      </c>
      <c r="C437" s="7">
        <f>G$12/-PV(Table7[Monthly mortgage rate], (12*Table7[Amortization period (yrs)]),1 )</f>
        <v>4377.9977174134756</v>
      </c>
      <c r="D437" s="11">
        <f>IF(Table1[[#This Row],[Month]]&lt;=(12*Table7[mortgage term (yrs)]),Table7[Monthly mortgage rate],Table7[Monthly Exp Renewal Rate])</f>
        <v>4.9038466830562122E-3</v>
      </c>
      <c r="E437" s="21">
        <f>Table1[[#This Row],[Current mortgage rate]]*G436</f>
        <v>-7296.1469777764105</v>
      </c>
      <c r="F437" s="5">
        <f>Table1[[#This Row],[Payment amount]]-Table1[[#This Row],[Interest paid]]</f>
        <v>11674.144695189887</v>
      </c>
      <c r="G437" s="20">
        <f>G436-Table1[[#This Row],[Principal repaid]]-Table1[[#This Row],[Annual paym]]</f>
        <v>-1499515.7207758781</v>
      </c>
      <c r="H437" s="20">
        <f>H436-(Table1[[#This Row],[Payment amount]]-Table1[[#This Row],[Interest Paid W/O LSP]])</f>
        <v>-797265.81770849053</v>
      </c>
      <c r="I437">
        <f>H436*Table1[[#This Row],[Current mortgage rate]]</f>
        <v>-3869.226213963575</v>
      </c>
      <c r="J437" s="25">
        <f>IF(Table1[[#This Row],[Month]]&gt;Table7[Amortization period (yrs)]*12,0,IF(Table1[[#This Row],[Month]]&lt;Table7[mortgage term (yrs)]*12,0,IF(Table1[[#This Row],[Month]]=Table7[mortgage term (yrs)]*12,-H$5,Table1[[#This Row],[Payment amount]]+B437)))</f>
        <v>0</v>
      </c>
      <c r="K437">
        <v>426</v>
      </c>
      <c r="L437">
        <f>Table7[Initial Monthly Deposit]*Table9[[#This Row],[Inflation Modifier]]</f>
        <v>799.95582106498193</v>
      </c>
      <c r="M437">
        <f xml:space="preserve"> (1+Table7[Inflation])^(QUOTIENT(Table9[[#This Row],[Month]]-1,12))</f>
        <v>1.9998895526624547</v>
      </c>
      <c r="N437">
        <f>N436*(1+Table7[Monthly SF Inter])+Table9[[#This Row],[Monthly Payment]]-O436*(1+Table7[Monthly SF Inter])</f>
        <v>16127.973431743934</v>
      </c>
      <c r="O437">
        <f>IF(MOD(Table9[[#This Row],[Month]],12)=0,(IF(Table9[[#This Row],[Current Balance]]&lt;Table9[[#This Row],[Max Lump Sum ]],Table9[[#This Row],[Current Balance]],Table9[[#This Row],[Max Lump Sum ]])),0)</f>
        <v>0</v>
      </c>
      <c r="P437" s="21">
        <f>Table7[Max annual lump sum repayment]*SUM(C438:C449)</f>
        <v>7880.3958913442566</v>
      </c>
      <c r="Q437" s="25">
        <f>Q436*(1+Table7[Monthly SF Inter])+Table9[[#This Row],[Inflation Modifier]]-R436*(1+Table7[Monthly SF Inter])</f>
        <v>12.123730284760398</v>
      </c>
      <c r="R437" s="25">
        <f>IF(MOD(Table9[[#This Row],[Month]],12)=0,Table9[[#This Row],[Q2 ACC FACTOR]],0)</f>
        <v>0</v>
      </c>
      <c r="S437" s="25">
        <f>S436*(1+D436)+Table9[[#This Row],[ACC FACTOR PAYMENTS]]</f>
        <v>1791.8786940646851</v>
      </c>
    </row>
    <row r="438" spans="1:19" x14ac:dyDescent="0.25">
      <c r="A438" s="1">
        <v>426</v>
      </c>
      <c r="B438" s="1">
        <f t="shared" si="6"/>
        <v>0</v>
      </c>
      <c r="C438" s="7">
        <f>G$12/-PV(Table7[Monthly mortgage rate], (12*Table7[Amortization period (yrs)]),1 )</f>
        <v>4377.9977174134756</v>
      </c>
      <c r="D438" s="11">
        <f>IF(Table1[[#This Row],[Month]]&lt;=(12*Table7[mortgage term (yrs)]),Table7[Monthly mortgage rate],Table7[Monthly Exp Renewal Rate])</f>
        <v>4.9038466830562122E-3</v>
      </c>
      <c r="E438" s="21">
        <f>Table1[[#This Row],[Current mortgage rate]]*G437</f>
        <v>-7353.3951935174346</v>
      </c>
      <c r="F438" s="5">
        <f>Table1[[#This Row],[Payment amount]]-Table1[[#This Row],[Interest paid]]</f>
        <v>11731.39291093091</v>
      </c>
      <c r="G438" s="20">
        <f>G437-Table1[[#This Row],[Principal repaid]]-Table1[[#This Row],[Annual paym]]</f>
        <v>-1511247.1136868089</v>
      </c>
      <c r="H438" s="20">
        <f>H437-(Table1[[#This Row],[Payment amount]]-Table1[[#This Row],[Interest Paid W/O LSP]])</f>
        <v>-805553.48476158793</v>
      </c>
      <c r="I438">
        <f>H437*Table1[[#This Row],[Current mortgage rate]]</f>
        <v>-3909.66933568388</v>
      </c>
      <c r="J438" s="25">
        <f>IF(Table1[[#This Row],[Month]]&gt;Table7[Amortization period (yrs)]*12,0,IF(Table1[[#This Row],[Month]]&lt;Table7[mortgage term (yrs)]*12,0,IF(Table1[[#This Row],[Month]]=Table7[mortgage term (yrs)]*12,-H$5,Table1[[#This Row],[Payment amount]]+B438)))</f>
        <v>0</v>
      </c>
      <c r="K438">
        <v>427</v>
      </c>
      <c r="L438">
        <f>Table7[Initial Monthly Deposit]*Table9[[#This Row],[Inflation Modifier]]</f>
        <v>799.95582106498193</v>
      </c>
      <c r="M438">
        <f xml:space="preserve"> (1+Table7[Inflation])^(QUOTIENT(Table9[[#This Row],[Month]]-1,12))</f>
        <v>1.9998895526624547</v>
      </c>
      <c r="N438">
        <f>N437*(1+Table7[Monthly SF Inter])+Table9[[#This Row],[Monthly Payment]]-O437*(1+Table7[Monthly SF Inter])</f>
        <v>16994.439651865519</v>
      </c>
      <c r="O438">
        <f>IF(MOD(Table9[[#This Row],[Month]],12)=0,(IF(Table9[[#This Row],[Current Balance]]&lt;Table9[[#This Row],[Max Lump Sum ]],Table9[[#This Row],[Current Balance]],Table9[[#This Row],[Max Lump Sum ]])),0)</f>
        <v>0</v>
      </c>
      <c r="P438" s="21">
        <f>Table7[Max annual lump sum repayment]*SUM(C439:C450)</f>
        <v>7880.3958913442566</v>
      </c>
      <c r="Q438" s="25">
        <f>Q437*(1+Table7[Monthly SF Inter])+Table9[[#This Row],[Inflation Modifier]]-R437*(1+Table7[Monthly SF Inter])</f>
        <v>14.173617076239413</v>
      </c>
      <c r="R438" s="25">
        <f>IF(MOD(Table9[[#This Row],[Month]],12)=0,Table9[[#This Row],[Q2 ACC FACTOR]],0)</f>
        <v>0</v>
      </c>
      <c r="S438" s="25">
        <f>S437*(1+D437)+Table9[[#This Row],[ACC FACTOR PAYMENTS]]</f>
        <v>1800.6657924550134</v>
      </c>
    </row>
    <row r="439" spans="1:19" x14ac:dyDescent="0.25">
      <c r="A439" s="1">
        <v>427</v>
      </c>
      <c r="B439" s="1">
        <f t="shared" si="6"/>
        <v>0</v>
      </c>
      <c r="C439" s="7">
        <f>G$12/-PV(Table7[Monthly mortgage rate], (12*Table7[Amortization period (yrs)]),1 )</f>
        <v>4377.9977174134756</v>
      </c>
      <c r="D439" s="11">
        <f>IF(Table1[[#This Row],[Month]]&lt;=(12*Table7[mortgage term (yrs)]),Table7[Monthly mortgage rate],Table7[Monthly Exp Renewal Rate])</f>
        <v>4.9038466830562122E-3</v>
      </c>
      <c r="E439" s="21">
        <f>Table1[[#This Row],[Current mortgage rate]]*G438</f>
        <v>-7410.9241457313319</v>
      </c>
      <c r="F439" s="5">
        <f>Table1[[#This Row],[Payment amount]]-Table1[[#This Row],[Interest paid]]</f>
        <v>11788.921863144808</v>
      </c>
      <c r="G439" s="20">
        <f>G438-Table1[[#This Row],[Principal repaid]]-Table1[[#This Row],[Annual paym]]</f>
        <v>-1523036.0355499536</v>
      </c>
      <c r="H439" s="20">
        <f>H438-(Table1[[#This Row],[Payment amount]]-Table1[[#This Row],[Interest Paid W/O LSP]])</f>
        <v>-813881.7932632739</v>
      </c>
      <c r="I439">
        <f>H438*Table1[[#This Row],[Current mortgage rate]]</f>
        <v>-3950.3107842724858</v>
      </c>
      <c r="J439" s="25">
        <f>IF(Table1[[#This Row],[Month]]&gt;Table7[Amortization period (yrs)]*12,0,IF(Table1[[#This Row],[Month]]&lt;Table7[mortgage term (yrs)]*12,0,IF(Table1[[#This Row],[Month]]=Table7[mortgage term (yrs)]*12,-H$5,Table1[[#This Row],[Payment amount]]+B439)))</f>
        <v>0</v>
      </c>
      <c r="K439">
        <v>428</v>
      </c>
      <c r="L439">
        <f>Table7[Initial Monthly Deposit]*Table9[[#This Row],[Inflation Modifier]]</f>
        <v>799.95582106498193</v>
      </c>
      <c r="M439">
        <f xml:space="preserve"> (1+Table7[Inflation])^(QUOTIENT(Table9[[#This Row],[Month]]-1,12))</f>
        <v>1.9998895526624547</v>
      </c>
      <c r="N439">
        <f>N438*(1+Table7[Monthly SF Inter])+Table9[[#This Row],[Monthly Payment]]-O438*(1+Table7[Monthly SF Inter])</f>
        <v>17864.479105432289</v>
      </c>
      <c r="O439">
        <f>IF(MOD(Table9[[#This Row],[Month]],12)=0,(IF(Table9[[#This Row],[Current Balance]]&lt;Table9[[#This Row],[Max Lump Sum ]],Table9[[#This Row],[Current Balance]],Table9[[#This Row],[Max Lump Sum ]])),0)</f>
        <v>0</v>
      </c>
      <c r="P439" s="21">
        <f>Table7[Max annual lump sum repayment]*SUM(C440:C451)</f>
        <v>7880.3958913442566</v>
      </c>
      <c r="Q439" s="25">
        <f>Q438*(1+Table7[Monthly SF Inter])+Table9[[#This Row],[Inflation Modifier]]-R438*(1+Table7[Monthly SF Inter])</f>
        <v>16.231957427559603</v>
      </c>
      <c r="R439" s="25">
        <f>IF(MOD(Table9[[#This Row],[Month]],12)=0,Table9[[#This Row],[Q2 ACC FACTOR]],0)</f>
        <v>0</v>
      </c>
      <c r="S439" s="25">
        <f>S438*(1+D438)+Table9[[#This Row],[ACC FACTOR PAYMENTS]]</f>
        <v>1809.4959814286367</v>
      </c>
    </row>
    <row r="440" spans="1:19" x14ac:dyDescent="0.25">
      <c r="A440" s="1">
        <v>428</v>
      </c>
      <c r="B440" s="1">
        <f t="shared" si="6"/>
        <v>0</v>
      </c>
      <c r="C440" s="7">
        <f>G$12/-PV(Table7[Monthly mortgage rate], (12*Table7[Amortization period (yrs)]),1 )</f>
        <v>4377.9977174134756</v>
      </c>
      <c r="D440" s="11">
        <f>IF(Table1[[#This Row],[Month]]&lt;=(12*Table7[mortgage term (yrs)]),Table7[Monthly mortgage rate],Table7[Monthly Exp Renewal Rate])</f>
        <v>4.9038466830562122E-3</v>
      </c>
      <c r="E440" s="21">
        <f>Table1[[#This Row],[Current mortgage rate]]*G439</f>
        <v>-7468.735211106723</v>
      </c>
      <c r="F440" s="5">
        <f>Table1[[#This Row],[Payment amount]]-Table1[[#This Row],[Interest paid]]</f>
        <v>11846.732928520199</v>
      </c>
      <c r="G440" s="20">
        <f>G439-Table1[[#This Row],[Principal repaid]]-Table1[[#This Row],[Annual paym]]</f>
        <v>-1534882.7684784739</v>
      </c>
      <c r="H440" s="20">
        <f>H439-(Table1[[#This Row],[Payment amount]]-Table1[[#This Row],[Interest Paid W/O LSP]])</f>
        <v>-822250.94251298136</v>
      </c>
      <c r="I440">
        <f>H439*Table1[[#This Row],[Current mortgage rate]]</f>
        <v>-3991.1515322939476</v>
      </c>
      <c r="J440" s="25">
        <f>IF(Table1[[#This Row],[Month]]&gt;Table7[Amortization period (yrs)]*12,0,IF(Table1[[#This Row],[Month]]&lt;Table7[mortgage term (yrs)]*12,0,IF(Table1[[#This Row],[Month]]=Table7[mortgage term (yrs)]*12,-H$5,Table1[[#This Row],[Payment amount]]+B440)))</f>
        <v>0</v>
      </c>
      <c r="K440">
        <v>429</v>
      </c>
      <c r="L440">
        <f>Table7[Initial Monthly Deposit]*Table9[[#This Row],[Inflation Modifier]]</f>
        <v>799.95582106498193</v>
      </c>
      <c r="M440">
        <f xml:space="preserve"> (1+Table7[Inflation])^(QUOTIENT(Table9[[#This Row],[Month]]-1,12))</f>
        <v>1.9998895526624547</v>
      </c>
      <c r="N440">
        <f>N439*(1+Table7[Monthly SF Inter])+Table9[[#This Row],[Monthly Payment]]-O439*(1+Table7[Monthly SF Inter])</f>
        <v>18738.106528156906</v>
      </c>
      <c r="O440">
        <f>IF(MOD(Table9[[#This Row],[Month]],12)=0,(IF(Table9[[#This Row],[Current Balance]]&lt;Table9[[#This Row],[Max Lump Sum ]],Table9[[#This Row],[Current Balance]],Table9[[#This Row],[Max Lump Sum ]])),0)</f>
        <v>0</v>
      </c>
      <c r="P440" s="21">
        <f>Table7[Max annual lump sum repayment]*SUM(C441:C452)</f>
        <v>7880.3958913442566</v>
      </c>
      <c r="Q440" s="25">
        <f>Q439*(1+Table7[Monthly SF Inter])+Table9[[#This Row],[Inflation Modifier]]-R439*(1+Table7[Monthly SF Inter])</f>
        <v>18.298786200487136</v>
      </c>
      <c r="R440" s="25">
        <f>IF(MOD(Table9[[#This Row],[Month]],12)=0,Table9[[#This Row],[Q2 ACC FACTOR]],0)</f>
        <v>0</v>
      </c>
      <c r="S440" s="25">
        <f>S439*(1+D439)+Table9[[#This Row],[ACC FACTOR PAYMENTS]]</f>
        <v>1818.3694722951691</v>
      </c>
    </row>
    <row r="441" spans="1:19" x14ac:dyDescent="0.25">
      <c r="A441" s="1">
        <v>429</v>
      </c>
      <c r="B441" s="1">
        <f t="shared" si="6"/>
        <v>0</v>
      </c>
      <c r="C441" s="7">
        <f>G$12/-PV(Table7[Monthly mortgage rate], (12*Table7[Amortization period (yrs)]),1 )</f>
        <v>4377.9977174134756</v>
      </c>
      <c r="D441" s="11">
        <f>IF(Table1[[#This Row],[Month]]&lt;=(12*Table7[mortgage term (yrs)]),Table7[Monthly mortgage rate],Table7[Monthly Exp Renewal Rate])</f>
        <v>4.9038466830562122E-3</v>
      </c>
      <c r="E441" s="21">
        <f>Table1[[#This Row],[Current mortgage rate]]*G440</f>
        <v>-7526.8297730833001</v>
      </c>
      <c r="F441" s="5">
        <f>Table1[[#This Row],[Payment amount]]-Table1[[#This Row],[Interest paid]]</f>
        <v>11904.827490496777</v>
      </c>
      <c r="G441" s="20">
        <f>G440-Table1[[#This Row],[Principal repaid]]-Table1[[#This Row],[Annual paym]]</f>
        <v>-1546787.5959689706</v>
      </c>
      <c r="H441" s="20">
        <f>H440-(Table1[[#This Row],[Payment amount]]-Table1[[#This Row],[Interest Paid W/O LSP]])</f>
        <v>-830661.13278747699</v>
      </c>
      <c r="I441">
        <f>H440*Table1[[#This Row],[Current mortgage rate]]</f>
        <v>-4032.1925570821277</v>
      </c>
      <c r="J441" s="25">
        <f>IF(Table1[[#This Row],[Month]]&gt;Table7[Amortization period (yrs)]*12,0,IF(Table1[[#This Row],[Month]]&lt;Table7[mortgage term (yrs)]*12,0,IF(Table1[[#This Row],[Month]]=Table7[mortgage term (yrs)]*12,-H$5,Table1[[#This Row],[Payment amount]]+B441)))</f>
        <v>0</v>
      </c>
      <c r="K441">
        <v>430</v>
      </c>
      <c r="L441">
        <f>Table7[Initial Monthly Deposit]*Table9[[#This Row],[Inflation Modifier]]</f>
        <v>799.95582106498193</v>
      </c>
      <c r="M441">
        <f xml:space="preserve"> (1+Table7[Inflation])^(QUOTIENT(Table9[[#This Row],[Month]]-1,12))</f>
        <v>1.9998895526624547</v>
      </c>
      <c r="N441">
        <f>N440*(1+Table7[Monthly SF Inter])+Table9[[#This Row],[Monthly Payment]]-O440*(1+Table7[Monthly SF Inter])</f>
        <v>19615.336716520873</v>
      </c>
      <c r="O441">
        <f>IF(MOD(Table9[[#This Row],[Month]],12)=0,(IF(Table9[[#This Row],[Current Balance]]&lt;Table9[[#This Row],[Max Lump Sum ]],Table9[[#This Row],[Current Balance]],Table9[[#This Row],[Max Lump Sum ]])),0)</f>
        <v>0</v>
      </c>
      <c r="P441" s="21">
        <f>Table7[Max annual lump sum repayment]*SUM(C442:C453)</f>
        <v>7880.3958913442566</v>
      </c>
      <c r="Q441" s="25">
        <f>Q440*(1+Table7[Monthly SF Inter])+Table9[[#This Row],[Inflation Modifier]]-R440*(1+Table7[Monthly SF Inter])</f>
        <v>20.37413840055515</v>
      </c>
      <c r="R441" s="25">
        <f>IF(MOD(Table9[[#This Row],[Month]],12)=0,Table9[[#This Row],[Q2 ACC FACTOR]],0)</f>
        <v>0</v>
      </c>
      <c r="S441" s="25">
        <f>S440*(1+D440)+Table9[[#This Row],[ACC FACTOR PAYMENTS]]</f>
        <v>1827.2864774004545</v>
      </c>
    </row>
    <row r="442" spans="1:19" x14ac:dyDescent="0.25">
      <c r="A442" s="1">
        <v>430</v>
      </c>
      <c r="B442" s="1">
        <f t="shared" si="6"/>
        <v>0</v>
      </c>
      <c r="C442" s="7">
        <f>G$12/-PV(Table7[Monthly mortgage rate], (12*Table7[Amortization period (yrs)]),1 )</f>
        <v>4377.9977174134756</v>
      </c>
      <c r="D442" s="11">
        <f>IF(Table1[[#This Row],[Month]]&lt;=(12*Table7[mortgage term (yrs)]),Table7[Monthly mortgage rate],Table7[Monthly Exp Renewal Rate])</f>
        <v>4.9038466830562122E-3</v>
      </c>
      <c r="E442" s="21">
        <f>Table1[[#This Row],[Current mortgage rate]]*G441</f>
        <v>-7585.2092218849284</v>
      </c>
      <c r="F442" s="5">
        <f>Table1[[#This Row],[Payment amount]]-Table1[[#This Row],[Interest paid]]</f>
        <v>11963.206939298405</v>
      </c>
      <c r="G442" s="20">
        <f>G441-Table1[[#This Row],[Principal repaid]]-Table1[[#This Row],[Annual paym]]</f>
        <v>-1558750.802908269</v>
      </c>
      <c r="H442" s="20">
        <f>H441-(Table1[[#This Row],[Payment amount]]-Table1[[#This Row],[Interest Paid W/O LSP]])</f>
        <v>-839112.56534565403</v>
      </c>
      <c r="I442">
        <f>H441*Table1[[#This Row],[Current mortgage rate]]</f>
        <v>-4073.4348407635848</v>
      </c>
      <c r="J442" s="25">
        <f>IF(Table1[[#This Row],[Month]]&gt;Table7[Amortization period (yrs)]*12,0,IF(Table1[[#This Row],[Month]]&lt;Table7[mortgage term (yrs)]*12,0,IF(Table1[[#This Row],[Month]]=Table7[mortgage term (yrs)]*12,-H$5,Table1[[#This Row],[Payment amount]]+B442)))</f>
        <v>0</v>
      </c>
      <c r="K442">
        <v>431</v>
      </c>
      <c r="L442">
        <f>Table7[Initial Monthly Deposit]*Table9[[#This Row],[Inflation Modifier]]</f>
        <v>799.95582106498193</v>
      </c>
      <c r="M442">
        <f xml:space="preserve"> (1+Table7[Inflation])^(QUOTIENT(Table9[[#This Row],[Month]]-1,12))</f>
        <v>1.9998895526624547</v>
      </c>
      <c r="N442">
        <f>N441*(1+Table7[Monthly SF Inter])+Table9[[#This Row],[Monthly Payment]]-O441*(1+Table7[Monthly SF Inter])</f>
        <v>20496.184528025125</v>
      </c>
      <c r="O442">
        <f>IF(MOD(Table9[[#This Row],[Month]],12)=0,(IF(Table9[[#This Row],[Current Balance]]&lt;Table9[[#This Row],[Max Lump Sum ]],Table9[[#This Row],[Current Balance]],Table9[[#This Row],[Max Lump Sum ]])),0)</f>
        <v>0</v>
      </c>
      <c r="P442" s="21">
        <f>Table7[Max annual lump sum repayment]*SUM(C443:C454)</f>
        <v>7880.3958913442566</v>
      </c>
      <c r="Q442" s="25">
        <f>Q441*(1+Table7[Monthly SF Inter])+Table9[[#This Row],[Inflation Modifier]]-R441*(1+Table7[Monthly SF Inter])</f>
        <v>22.458049177656644</v>
      </c>
      <c r="R442" s="25">
        <f>IF(MOD(Table9[[#This Row],[Month]],12)=0,Table9[[#This Row],[Q2 ACC FACTOR]],0)</f>
        <v>0</v>
      </c>
      <c r="S442" s="25">
        <f>S441*(1+D441)+Table9[[#This Row],[ACC FACTOR PAYMENTS]]</f>
        <v>1836.2472101316482</v>
      </c>
    </row>
    <row r="443" spans="1:19" x14ac:dyDescent="0.25">
      <c r="A443" s="1">
        <v>431</v>
      </c>
      <c r="B443" s="1">
        <f t="shared" si="6"/>
        <v>0</v>
      </c>
      <c r="C443" s="7">
        <f>G$12/-PV(Table7[Monthly mortgage rate], (12*Table7[Amortization period (yrs)]),1 )</f>
        <v>4377.9977174134756</v>
      </c>
      <c r="D443" s="11">
        <f>IF(Table1[[#This Row],[Month]]&lt;=(12*Table7[mortgage term (yrs)]),Table7[Monthly mortgage rate],Table7[Monthly Exp Renewal Rate])</f>
        <v>4.9038466830562122E-3</v>
      </c>
      <c r="E443" s="21">
        <f>Table1[[#This Row],[Current mortgage rate]]*G442</f>
        <v>-7643.8749545529226</v>
      </c>
      <c r="F443" s="5">
        <f>Table1[[#This Row],[Payment amount]]-Table1[[#This Row],[Interest paid]]</f>
        <v>12021.872671966397</v>
      </c>
      <c r="G443" s="20">
        <f>G442-Table1[[#This Row],[Principal repaid]]-Table1[[#This Row],[Annual paym]]</f>
        <v>-1570772.6755802354</v>
      </c>
      <c r="H443" s="20">
        <f>H442-(Table1[[#This Row],[Payment amount]]-Table1[[#This Row],[Interest Paid W/O LSP]])</f>
        <v>-847605.44243334862</v>
      </c>
      <c r="I443">
        <f>H442*Table1[[#This Row],[Current mortgage rate]]</f>
        <v>-4114.8793702810744</v>
      </c>
      <c r="J443" s="25">
        <f>IF(Table1[[#This Row],[Month]]&gt;Table7[Amortization period (yrs)]*12,0,IF(Table1[[#This Row],[Month]]&lt;Table7[mortgage term (yrs)]*12,0,IF(Table1[[#This Row],[Month]]=Table7[mortgage term (yrs)]*12,-H$5,Table1[[#This Row],[Payment amount]]+B443)))</f>
        <v>0</v>
      </c>
      <c r="K443">
        <v>432</v>
      </c>
      <c r="L443">
        <f>Table7[Initial Monthly Deposit]*Table9[[#This Row],[Inflation Modifier]]</f>
        <v>799.95582106498193</v>
      </c>
      <c r="M443">
        <f xml:space="preserve"> (1+Table7[Inflation])^(QUOTIENT(Table9[[#This Row],[Month]]-1,12))</f>
        <v>1.9998895526624547</v>
      </c>
      <c r="N443">
        <f>N442*(1+Table7[Monthly SF Inter])+Table9[[#This Row],[Monthly Payment]]-O442*(1+Table7[Monthly SF Inter])</f>
        <v>21380.66488144168</v>
      </c>
      <c r="O443">
        <f>IF(MOD(Table9[[#This Row],[Month]],12)=0,(IF(Table9[[#This Row],[Current Balance]]&lt;Table9[[#This Row],[Max Lump Sum ]],Table9[[#This Row],[Current Balance]],Table9[[#This Row],[Max Lump Sum ]])),0)</f>
        <v>7880.3958913442566</v>
      </c>
      <c r="P443" s="21">
        <f>Table7[Max annual lump sum repayment]*SUM(C444:C455)</f>
        <v>7880.3958913442566</v>
      </c>
      <c r="Q443" s="25">
        <f>Q442*(1+Table7[Monthly SF Inter])+Table9[[#This Row],[Inflation Modifier]]-R442*(1+Table7[Monthly SF Inter])</f>
        <v>24.550553826639806</v>
      </c>
      <c r="R443" s="25">
        <f>IF(MOD(Table9[[#This Row],[Month]],12)=0,Table9[[#This Row],[Q2 ACC FACTOR]],0)</f>
        <v>24.550553826639806</v>
      </c>
      <c r="S443" s="25">
        <f>S442*(1+D442)+Table9[[#This Row],[ACC FACTOR PAYMENTS]]</f>
        <v>1869.8024387489634</v>
      </c>
    </row>
    <row r="444" spans="1:19" x14ac:dyDescent="0.25">
      <c r="A444" s="1">
        <v>432</v>
      </c>
      <c r="B444" s="1">
        <f t="shared" si="6"/>
        <v>7880.3958913442566</v>
      </c>
      <c r="C444" s="7">
        <f>G$12/-PV(Table7[Monthly mortgage rate], (12*Table7[Amortization period (yrs)]),1 )</f>
        <v>4377.9977174134756</v>
      </c>
      <c r="D444" s="11">
        <f>IF(Table1[[#This Row],[Month]]&lt;=(12*Table7[mortgage term (yrs)]),Table7[Monthly mortgage rate],Table7[Monthly Exp Renewal Rate])</f>
        <v>4.9038466830562122E-3</v>
      </c>
      <c r="E444" s="21">
        <f>Table1[[#This Row],[Current mortgage rate]]*G443</f>
        <v>-7702.8283749794691</v>
      </c>
      <c r="F444" s="5">
        <f>Table1[[#This Row],[Payment amount]]-Table1[[#This Row],[Interest paid]]</f>
        <v>12080.826092392945</v>
      </c>
      <c r="G444" s="20">
        <f>G443-Table1[[#This Row],[Principal repaid]]-Table1[[#This Row],[Annual paym]]</f>
        <v>-1590733.8975639725</v>
      </c>
      <c r="H444" s="20">
        <f>H443-(Table1[[#This Row],[Payment amount]]-Table1[[#This Row],[Interest Paid W/O LSP]])</f>
        <v>-856139.96728817932</v>
      </c>
      <c r="I444">
        <f>H443*Table1[[#This Row],[Current mortgage rate]]</f>
        <v>-4156.5271374171698</v>
      </c>
      <c r="J444" s="25">
        <f>IF(Table1[[#This Row],[Month]]&gt;Table7[Amortization period (yrs)]*12,0,IF(Table1[[#This Row],[Month]]&lt;Table7[mortgage term (yrs)]*12,0,IF(Table1[[#This Row],[Month]]=Table7[mortgage term (yrs)]*12,-H$5,Table1[[#This Row],[Payment amount]]+B444)))</f>
        <v>0</v>
      </c>
      <c r="K444">
        <v>433</v>
      </c>
      <c r="L444">
        <f>Table7[Initial Monthly Deposit]*Table9[[#This Row],[Inflation Modifier]]</f>
        <v>815.95493748628144</v>
      </c>
      <c r="M444">
        <f xml:space="preserve"> (1+Table7[Inflation])^(QUOTIENT(Table9[[#This Row],[Month]]-1,12))</f>
        <v>2.0398873437157037</v>
      </c>
      <c r="N444">
        <f>N443*(1+Table7[Monthly SF Inter])+Table9[[#This Row],[Monthly Payment]]-O443*(1+Table7[Monthly SF Inter])</f>
        <v>14371.897895655573</v>
      </c>
      <c r="O444">
        <f>IF(MOD(Table9[[#This Row],[Month]],12)=0,(IF(Table9[[#This Row],[Current Balance]]&lt;Table9[[#This Row],[Max Lump Sum ]],Table9[[#This Row],[Current Balance]],Table9[[#This Row],[Max Lump Sum ]])),0)</f>
        <v>0</v>
      </c>
      <c r="P444" s="21">
        <f>Table7[Max annual lump sum repayment]*SUM(C445:C456)</f>
        <v>7880.3958913442566</v>
      </c>
      <c r="Q444" s="25">
        <f>Q443*(1+Table7[Monthly SF Inter])+Table9[[#This Row],[Inflation Modifier]]-R443*(1+Table7[Monthly SF Inter])</f>
        <v>2.039887343715705</v>
      </c>
      <c r="R444" s="25">
        <f>IF(MOD(Table9[[#This Row],[Month]],12)=0,Table9[[#This Row],[Q2 ACC FACTOR]],0)</f>
        <v>0</v>
      </c>
      <c r="S444" s="25">
        <f>S443*(1+D443)+Table9[[#This Row],[ACC FACTOR PAYMENTS]]</f>
        <v>1878.9716632361929</v>
      </c>
    </row>
    <row r="445" spans="1:19" x14ac:dyDescent="0.25">
      <c r="A445" s="1">
        <v>433</v>
      </c>
      <c r="B445" s="1">
        <f t="shared" si="6"/>
        <v>0</v>
      </c>
      <c r="C445" s="7">
        <f>G$12/-PV(Table7[Monthly mortgage rate], (12*Table7[Amortization period (yrs)]),1 )</f>
        <v>4377.9977174134756</v>
      </c>
      <c r="D445" s="11">
        <f>IF(Table1[[#This Row],[Month]]&lt;=(12*Table7[mortgage term (yrs)]),Table7[Monthly mortgage rate],Table7[Monthly Exp Renewal Rate])</f>
        <v>4.9038466830562122E-3</v>
      </c>
      <c r="E445" s="21">
        <f>Table1[[#This Row],[Current mortgage rate]]*G444</f>
        <v>-7800.715147194167</v>
      </c>
      <c r="F445" s="5">
        <f>Table1[[#This Row],[Payment amount]]-Table1[[#This Row],[Interest paid]]</f>
        <v>12178.712864607642</v>
      </c>
      <c r="G445" s="20">
        <f>G444-Table1[[#This Row],[Principal repaid]]-Table1[[#This Row],[Annual paym]]</f>
        <v>-1602912.6104285801</v>
      </c>
      <c r="H445" s="20">
        <f>H444-(Table1[[#This Row],[Payment amount]]-Table1[[#This Row],[Interest Paid W/O LSP]])</f>
        <v>-864716.3441444108</v>
      </c>
      <c r="I445">
        <f>H444*Table1[[#This Row],[Current mortgage rate]]</f>
        <v>-4198.3791388179925</v>
      </c>
      <c r="J445" s="25">
        <f>IF(Table1[[#This Row],[Month]]&gt;Table7[Amortization period (yrs)]*12,0,IF(Table1[[#This Row],[Month]]&lt;Table7[mortgage term (yrs)]*12,0,IF(Table1[[#This Row],[Month]]=Table7[mortgage term (yrs)]*12,-H$5,Table1[[#This Row],[Payment amount]]+B445)))</f>
        <v>0</v>
      </c>
      <c r="K445">
        <v>434</v>
      </c>
      <c r="L445">
        <f>Table7[Initial Monthly Deposit]*Table9[[#This Row],[Inflation Modifier]]</f>
        <v>815.95493748628144</v>
      </c>
      <c r="M445">
        <f xml:space="preserve"> (1+Table7[Inflation])^(QUOTIENT(Table9[[#This Row],[Month]]-1,12))</f>
        <v>2.0398873437157037</v>
      </c>
      <c r="N445">
        <f>N444*(1+Table7[Monthly SF Inter])+Table9[[#This Row],[Monthly Payment]]-O444*(1+Table7[Monthly SF Inter])</f>
        <v>15247.121325137223</v>
      </c>
      <c r="O445">
        <f>IF(MOD(Table9[[#This Row],[Month]],12)=0,(IF(Table9[[#This Row],[Current Balance]]&lt;Table9[[#This Row],[Max Lump Sum ]],Table9[[#This Row],[Current Balance]],Table9[[#This Row],[Max Lump Sum ]])),0)</f>
        <v>0</v>
      </c>
      <c r="P445" s="21">
        <f>Table7[Max annual lump sum repayment]*SUM(C446:C457)</f>
        <v>7880.3958913442566</v>
      </c>
      <c r="Q445" s="25">
        <f>Q444*(1+Table7[Monthly SF Inter])+Table9[[#This Row],[Inflation Modifier]]-R444*(1+Table7[Monthly SF Inter])</f>
        <v>4.08818701039531</v>
      </c>
      <c r="R445" s="25">
        <f>IF(MOD(Table9[[#This Row],[Month]],12)=0,Table9[[#This Row],[Q2 ACC FACTOR]],0)</f>
        <v>0</v>
      </c>
      <c r="S445" s="25">
        <f>S444*(1+D444)+Table9[[#This Row],[ACC FACTOR PAYMENTS]]</f>
        <v>1888.1858521945103</v>
      </c>
    </row>
    <row r="446" spans="1:19" x14ac:dyDescent="0.25">
      <c r="A446" s="1">
        <v>434</v>
      </c>
      <c r="B446" s="1">
        <f t="shared" si="6"/>
        <v>0</v>
      </c>
      <c r="C446" s="7">
        <f>G$12/-PV(Table7[Monthly mortgage rate], (12*Table7[Amortization period (yrs)]),1 )</f>
        <v>4377.9977174134756</v>
      </c>
      <c r="D446" s="11">
        <f>IF(Table1[[#This Row],[Month]]&lt;=(12*Table7[mortgage term (yrs)]),Table7[Monthly mortgage rate],Table7[Monthly Exp Renewal Rate])</f>
        <v>4.9038466830562122E-3</v>
      </c>
      <c r="E446" s="21">
        <f>Table1[[#This Row],[Current mortgage rate]]*G445</f>
        <v>-7860.4376878791672</v>
      </c>
      <c r="F446" s="5">
        <f>Table1[[#This Row],[Payment amount]]-Table1[[#This Row],[Interest paid]]</f>
        <v>12238.435405292643</v>
      </c>
      <c r="G446" s="20">
        <f>G445-Table1[[#This Row],[Principal repaid]]-Table1[[#This Row],[Annual paym]]</f>
        <v>-1615151.0458338726</v>
      </c>
      <c r="H446" s="20">
        <f>H445-(Table1[[#This Row],[Payment amount]]-Table1[[#This Row],[Interest Paid W/O LSP]])</f>
        <v>-873334.77823784132</v>
      </c>
      <c r="I446">
        <f>H445*Table1[[#This Row],[Current mortgage rate]]</f>
        <v>-4240.4363760170627</v>
      </c>
      <c r="J446" s="25">
        <f>IF(Table1[[#This Row],[Month]]&gt;Table7[Amortization period (yrs)]*12,0,IF(Table1[[#This Row],[Month]]&lt;Table7[mortgage term (yrs)]*12,0,IF(Table1[[#This Row],[Month]]=Table7[mortgage term (yrs)]*12,-H$5,Table1[[#This Row],[Payment amount]]+B446)))</f>
        <v>0</v>
      </c>
      <c r="K446">
        <v>435</v>
      </c>
      <c r="L446">
        <f>Table7[Initial Monthly Deposit]*Table9[[#This Row],[Inflation Modifier]]</f>
        <v>815.95493748628144</v>
      </c>
      <c r="M446">
        <f xml:space="preserve"> (1+Table7[Inflation])^(QUOTIENT(Table9[[#This Row],[Month]]-1,12))</f>
        <v>2.0398873437157037</v>
      </c>
      <c r="N446">
        <f>N445*(1+Table7[Monthly SF Inter])+Table9[[#This Row],[Monthly Payment]]-O445*(1+Table7[Monthly SF Inter])</f>
        <v>16125.954102055168</v>
      </c>
      <c r="O446">
        <f>IF(MOD(Table9[[#This Row],[Month]],12)=0,(IF(Table9[[#This Row],[Current Balance]]&lt;Table9[[#This Row],[Max Lump Sum ]],Table9[[#This Row],[Current Balance]],Table9[[#This Row],[Max Lump Sum ]])),0)</f>
        <v>0</v>
      </c>
      <c r="P446" s="21">
        <f>Table7[Max annual lump sum repayment]*SUM(C447:C458)</f>
        <v>7880.3958913442566</v>
      </c>
      <c r="Q446" s="25">
        <f>Q445*(1+Table7[Monthly SF Inter])+Table9[[#This Row],[Inflation Modifier]]-R445*(1+Table7[Monthly SF Inter])</f>
        <v>6.1449336917475854</v>
      </c>
      <c r="R446" s="25">
        <f>IF(MOD(Table9[[#This Row],[Month]],12)=0,Table9[[#This Row],[Q2 ACC FACTOR]],0)</f>
        <v>0</v>
      </c>
      <c r="S446" s="25">
        <f>S445*(1+D445)+Table9[[#This Row],[ACC FACTOR PAYMENTS]]</f>
        <v>1897.445226122788</v>
      </c>
    </row>
    <row r="447" spans="1:19" x14ac:dyDescent="0.25">
      <c r="A447" s="1">
        <v>435</v>
      </c>
      <c r="B447" s="1">
        <f t="shared" si="6"/>
        <v>0</v>
      </c>
      <c r="C447" s="7">
        <f>G$12/-PV(Table7[Monthly mortgage rate], (12*Table7[Amortization period (yrs)]),1 )</f>
        <v>4377.9977174134756</v>
      </c>
      <c r="D447" s="11">
        <f>IF(Table1[[#This Row],[Month]]&lt;=(12*Table7[mortgage term (yrs)]),Table7[Monthly mortgage rate],Table7[Monthly Exp Renewal Rate])</f>
        <v>4.9038466830562122E-3</v>
      </c>
      <c r="E447" s="21">
        <f>Table1[[#This Row],[Current mortgage rate]]*G446</f>
        <v>-7920.4530987472081</v>
      </c>
      <c r="F447" s="5">
        <f>Table1[[#This Row],[Payment amount]]-Table1[[#This Row],[Interest paid]]</f>
        <v>12298.450816160683</v>
      </c>
      <c r="G447" s="20">
        <f>G446-Table1[[#This Row],[Principal repaid]]-Table1[[#This Row],[Annual paym]]</f>
        <v>-1627449.4966500334</v>
      </c>
      <c r="H447" s="20">
        <f>H446-(Table1[[#This Row],[Payment amount]]-Table1[[#This Row],[Interest Paid W/O LSP]])</f>
        <v>-881995.47581071407</v>
      </c>
      <c r="I447">
        <f>H446*Table1[[#This Row],[Current mortgage rate]]</f>
        <v>-4282.699855459271</v>
      </c>
      <c r="J447" s="25">
        <f>IF(Table1[[#This Row],[Month]]&gt;Table7[Amortization period (yrs)]*12,0,IF(Table1[[#This Row],[Month]]&lt;Table7[mortgage term (yrs)]*12,0,IF(Table1[[#This Row],[Month]]=Table7[mortgage term (yrs)]*12,-H$5,Table1[[#This Row],[Payment amount]]+B447)))</f>
        <v>0</v>
      </c>
      <c r="K447">
        <v>436</v>
      </c>
      <c r="L447">
        <f>Table7[Initial Monthly Deposit]*Table9[[#This Row],[Inflation Modifier]]</f>
        <v>815.95493748628144</v>
      </c>
      <c r="M447">
        <f xml:space="preserve"> (1+Table7[Inflation])^(QUOTIENT(Table9[[#This Row],[Month]]-1,12))</f>
        <v>2.0398873437157037</v>
      </c>
      <c r="N447">
        <f>N446*(1+Table7[Monthly SF Inter])+Table9[[#This Row],[Monthly Payment]]-O446*(1+Table7[Monthly SF Inter])</f>
        <v>17008.411111053119</v>
      </c>
      <c r="O447">
        <f>IF(MOD(Table9[[#This Row],[Month]],12)=0,(IF(Table9[[#This Row],[Current Balance]]&lt;Table9[[#This Row],[Max Lump Sum ]],Table9[[#This Row],[Current Balance]],Table9[[#This Row],[Max Lump Sum ]])),0)</f>
        <v>0</v>
      </c>
      <c r="P447" s="21">
        <f>Table7[Max annual lump sum repayment]*SUM(C448:C459)</f>
        <v>7880.3958913442566</v>
      </c>
      <c r="Q447" s="25">
        <f>Q446*(1+Table7[Monthly SF Inter])+Table9[[#This Row],[Inflation Modifier]]-R446*(1+Table7[Monthly SF Inter])</f>
        <v>8.2101622225469733</v>
      </c>
      <c r="R447" s="25">
        <f>IF(MOD(Table9[[#This Row],[Month]],12)=0,Table9[[#This Row],[Q2 ACC FACTOR]],0)</f>
        <v>0</v>
      </c>
      <c r="S447" s="25">
        <f>S446*(1+D446)+Table9[[#This Row],[ACC FACTOR PAYMENTS]]</f>
        <v>1906.750006601191</v>
      </c>
    </row>
    <row r="448" spans="1:19" x14ac:dyDescent="0.25">
      <c r="A448" s="1">
        <v>436</v>
      </c>
      <c r="B448" s="1">
        <f t="shared" si="6"/>
        <v>0</v>
      </c>
      <c r="C448" s="7">
        <f>G$12/-PV(Table7[Monthly mortgage rate], (12*Table7[Amortization period (yrs)]),1 )</f>
        <v>4377.9977174134756</v>
      </c>
      <c r="D448" s="11">
        <f>IF(Table1[[#This Row],[Month]]&lt;=(12*Table7[mortgage term (yrs)]),Table7[Monthly mortgage rate],Table7[Monthly Exp Renewal Rate])</f>
        <v>4.9038466830562122E-3</v>
      </c>
      <c r="E448" s="21">
        <f>Table1[[#This Row],[Current mortgage rate]]*G447</f>
        <v>-7980.7628159887681</v>
      </c>
      <c r="F448" s="5">
        <f>Table1[[#This Row],[Payment amount]]-Table1[[#This Row],[Interest paid]]</f>
        <v>12358.760533402245</v>
      </c>
      <c r="G448" s="20">
        <f>G447-Table1[[#This Row],[Principal repaid]]-Table1[[#This Row],[Annual paym]]</f>
        <v>-1639808.2571834356</v>
      </c>
      <c r="H448" s="20">
        <f>H447-(Table1[[#This Row],[Payment amount]]-Table1[[#This Row],[Interest Paid W/O LSP]])</f>
        <v>-890698.64411665255</v>
      </c>
      <c r="I448">
        <f>H447*Table1[[#This Row],[Current mortgage rate]]</f>
        <v>-4325.1705885249557</v>
      </c>
      <c r="J448" s="25">
        <f>IF(Table1[[#This Row],[Month]]&gt;Table7[Amortization period (yrs)]*12,0,IF(Table1[[#This Row],[Month]]&lt;Table7[mortgage term (yrs)]*12,0,IF(Table1[[#This Row],[Month]]=Table7[mortgage term (yrs)]*12,-H$5,Table1[[#This Row],[Payment amount]]+B448)))</f>
        <v>0</v>
      </c>
      <c r="K448">
        <v>437</v>
      </c>
      <c r="L448">
        <f>Table7[Initial Monthly Deposit]*Table9[[#This Row],[Inflation Modifier]]</f>
        <v>815.95493748628144</v>
      </c>
      <c r="M448">
        <f xml:space="preserve"> (1+Table7[Inflation])^(QUOTIENT(Table9[[#This Row],[Month]]-1,12))</f>
        <v>2.0398873437157037</v>
      </c>
      <c r="N448">
        <f>N447*(1+Table7[Monthly SF Inter])+Table9[[#This Row],[Monthly Payment]]-O447*(1+Table7[Monthly SF Inter])</f>
        <v>17894.507298157801</v>
      </c>
      <c r="O448">
        <f>IF(MOD(Table9[[#This Row],[Month]],12)=0,(IF(Table9[[#This Row],[Current Balance]]&lt;Table9[[#This Row],[Max Lump Sum ]],Table9[[#This Row],[Current Balance]],Table9[[#This Row],[Max Lump Sum ]])),0)</f>
        <v>0</v>
      </c>
      <c r="P448" s="21">
        <f>Table7[Max annual lump sum repayment]*SUM(C449:C460)</f>
        <v>7880.3958913442566</v>
      </c>
      <c r="Q448" s="25">
        <f>Q447*(1+Table7[Monthly SF Inter])+Table9[[#This Row],[Inflation Modifier]]-R447*(1+Table7[Monthly SF Inter])</f>
        <v>10.283907581223581</v>
      </c>
      <c r="R448" s="25">
        <f>IF(MOD(Table9[[#This Row],[Month]],12)=0,Table9[[#This Row],[Q2 ACC FACTOR]],0)</f>
        <v>0</v>
      </c>
      <c r="S448" s="25">
        <f>S447*(1+D447)+Table9[[#This Row],[ACC FACTOR PAYMENTS]]</f>
        <v>1916.1004162964796</v>
      </c>
    </row>
    <row r="449" spans="1:19" x14ac:dyDescent="0.25">
      <c r="A449" s="1">
        <v>437</v>
      </c>
      <c r="B449" s="1">
        <f t="shared" si="6"/>
        <v>0</v>
      </c>
      <c r="C449" s="7">
        <f>G$12/-PV(Table7[Monthly mortgage rate], (12*Table7[Amortization period (yrs)]),1 )</f>
        <v>4377.9977174134756</v>
      </c>
      <c r="D449" s="11">
        <f>IF(Table1[[#This Row],[Month]]&lt;=(12*Table7[mortgage term (yrs)]),Table7[Monthly mortgage rate],Table7[Monthly Exp Renewal Rate])</f>
        <v>4.9038466830562122E-3</v>
      </c>
      <c r="E449" s="21">
        <f>Table1[[#This Row],[Current mortgage rate]]*G448</f>
        <v>-8041.3682828371784</v>
      </c>
      <c r="F449" s="5">
        <f>Table1[[#This Row],[Payment amount]]-Table1[[#This Row],[Interest paid]]</f>
        <v>12419.366000250655</v>
      </c>
      <c r="G449" s="20">
        <f>G448-Table1[[#This Row],[Principal repaid]]-Table1[[#This Row],[Annual paym]]</f>
        <v>-1652227.6231836863</v>
      </c>
      <c r="H449" s="20">
        <f>H448-(Table1[[#This Row],[Payment amount]]-Table1[[#This Row],[Interest Paid W/O LSP]])</f>
        <v>-899444.49142562016</v>
      </c>
      <c r="I449">
        <f>H448*Table1[[#This Row],[Current mortgage rate]]</f>
        <v>-4367.8495915541125</v>
      </c>
      <c r="J449" s="25">
        <f>IF(Table1[[#This Row],[Month]]&gt;Table7[Amortization period (yrs)]*12,0,IF(Table1[[#This Row],[Month]]&lt;Table7[mortgage term (yrs)]*12,0,IF(Table1[[#This Row],[Month]]=Table7[mortgage term (yrs)]*12,-H$5,Table1[[#This Row],[Payment amount]]+B449)))</f>
        <v>0</v>
      </c>
      <c r="K449">
        <v>438</v>
      </c>
      <c r="L449">
        <f>Table7[Initial Monthly Deposit]*Table9[[#This Row],[Inflation Modifier]]</f>
        <v>815.95493748628144</v>
      </c>
      <c r="M449">
        <f xml:space="preserve"> (1+Table7[Inflation])^(QUOTIENT(Table9[[#This Row],[Month]]-1,12))</f>
        <v>2.0398873437157037</v>
      </c>
      <c r="N449">
        <f>N448*(1+Table7[Monthly SF Inter])+Table9[[#This Row],[Monthly Payment]]-O448*(1+Table7[Monthly SF Inter])</f>
        <v>18784.25767103209</v>
      </c>
      <c r="O449">
        <f>IF(MOD(Table9[[#This Row],[Month]],12)=0,(IF(Table9[[#This Row],[Current Balance]]&lt;Table9[[#This Row],[Max Lump Sum ]],Table9[[#This Row],[Current Balance]],Table9[[#This Row],[Max Lump Sum ]])),0)</f>
        <v>0</v>
      </c>
      <c r="P449" s="21">
        <f>Table7[Max annual lump sum repayment]*SUM(C450:C461)</f>
        <v>7880.3958913442566</v>
      </c>
      <c r="Q449" s="25">
        <f>Q448*(1+Table7[Monthly SF Inter])+Table9[[#This Row],[Inflation Modifier]]-R448*(1+Table7[Monthly SF Inter])</f>
        <v>12.366204890455606</v>
      </c>
      <c r="R449" s="25">
        <f>IF(MOD(Table9[[#This Row],[Month]],12)=0,Table9[[#This Row],[Q2 ACC FACTOR]],0)</f>
        <v>0</v>
      </c>
      <c r="S449" s="25">
        <f>S448*(1+D448)+Table9[[#This Row],[ACC FACTOR PAYMENTS]]</f>
        <v>1925.4966789673376</v>
      </c>
    </row>
    <row r="450" spans="1:19" x14ac:dyDescent="0.25">
      <c r="A450" s="1">
        <v>438</v>
      </c>
      <c r="B450" s="1">
        <f t="shared" si="6"/>
        <v>0</v>
      </c>
      <c r="C450" s="7">
        <f>G$12/-PV(Table7[Monthly mortgage rate], (12*Table7[Amortization period (yrs)]),1 )</f>
        <v>4377.9977174134756</v>
      </c>
      <c r="D450" s="11">
        <f>IF(Table1[[#This Row],[Month]]&lt;=(12*Table7[mortgage term (yrs)]),Table7[Monthly mortgage rate],Table7[Monthly Exp Renewal Rate])</f>
        <v>4.9038466830562122E-3</v>
      </c>
      <c r="E450" s="21">
        <f>Table1[[#This Row],[Current mortgage rate]]*G449</f>
        <v>-8102.2709496031694</v>
      </c>
      <c r="F450" s="5">
        <f>Table1[[#This Row],[Payment amount]]-Table1[[#This Row],[Interest paid]]</f>
        <v>12480.268667016644</v>
      </c>
      <c r="G450" s="20">
        <f>G449-Table1[[#This Row],[Principal repaid]]-Table1[[#This Row],[Annual paym]]</f>
        <v>-1664707.8918507029</v>
      </c>
      <c r="H450" s="20">
        <f>H449-(Table1[[#This Row],[Payment amount]]-Table1[[#This Row],[Interest Paid W/O LSP]])</f>
        <v>-908233.22702890437</v>
      </c>
      <c r="I450">
        <f>H449*Table1[[#This Row],[Current mortgage rate]]</f>
        <v>-4410.7378858707089</v>
      </c>
      <c r="J450" s="25">
        <f>IF(Table1[[#This Row],[Month]]&gt;Table7[Amortization period (yrs)]*12,0,IF(Table1[[#This Row],[Month]]&lt;Table7[mortgage term (yrs)]*12,0,IF(Table1[[#This Row],[Month]]=Table7[mortgage term (yrs)]*12,-H$5,Table1[[#This Row],[Payment amount]]+B450)))</f>
        <v>0</v>
      </c>
      <c r="K450">
        <v>439</v>
      </c>
      <c r="L450">
        <f>Table7[Initial Monthly Deposit]*Table9[[#This Row],[Inflation Modifier]]</f>
        <v>815.95493748628144</v>
      </c>
      <c r="M450">
        <f xml:space="preserve"> (1+Table7[Inflation])^(QUOTIENT(Table9[[#This Row],[Month]]-1,12))</f>
        <v>2.0398873437157037</v>
      </c>
      <c r="N450">
        <f>N449*(1+Table7[Monthly SF Inter])+Table9[[#This Row],[Monthly Payment]]-O449*(1+Table7[Monthly SF Inter])</f>
        <v>19677.677299229192</v>
      </c>
      <c r="O450">
        <f>IF(MOD(Table9[[#This Row],[Month]],12)=0,(IF(Table9[[#This Row],[Current Balance]]&lt;Table9[[#This Row],[Max Lump Sum ]],Table9[[#This Row],[Current Balance]],Table9[[#This Row],[Max Lump Sum ]])),0)</f>
        <v>0</v>
      </c>
      <c r="P450" s="21">
        <f>Table7[Max annual lump sum repayment]*SUM(C451:C462)</f>
        <v>7880.3958913442566</v>
      </c>
      <c r="Q450" s="25">
        <f>Q449*(1+Table7[Monthly SF Inter])+Table9[[#This Row],[Inflation Modifier]]-R449*(1+Table7[Monthly SF Inter])</f>
        <v>14.457089417764202</v>
      </c>
      <c r="R450" s="25">
        <f>IF(MOD(Table9[[#This Row],[Month]],12)=0,Table9[[#This Row],[Q2 ACC FACTOR]],0)</f>
        <v>0</v>
      </c>
      <c r="S450" s="25">
        <f>S449*(1+D449)+Table9[[#This Row],[ACC FACTOR PAYMENTS]]</f>
        <v>1934.9390194697273</v>
      </c>
    </row>
    <row r="451" spans="1:19" x14ac:dyDescent="0.25">
      <c r="A451" s="1">
        <v>439</v>
      </c>
      <c r="B451" s="1">
        <f t="shared" si="6"/>
        <v>0</v>
      </c>
      <c r="C451" s="7">
        <f>G$12/-PV(Table7[Monthly mortgage rate], (12*Table7[Amortization period (yrs)]),1 )</f>
        <v>4377.9977174134756</v>
      </c>
      <c r="D451" s="11">
        <f>IF(Table1[[#This Row],[Month]]&lt;=(12*Table7[mortgage term (yrs)]),Table7[Monthly mortgage rate],Table7[Monthly Exp Renewal Rate])</f>
        <v>4.9038466830562122E-3</v>
      </c>
      <c r="E451" s="21">
        <f>Table1[[#This Row],[Current mortgage rate]]*G450</f>
        <v>-8163.472273709569</v>
      </c>
      <c r="F451" s="5">
        <f>Table1[[#This Row],[Payment amount]]-Table1[[#This Row],[Interest paid]]</f>
        <v>12541.469991123045</v>
      </c>
      <c r="G451" s="20">
        <f>G450-Table1[[#This Row],[Principal repaid]]-Table1[[#This Row],[Annual paym]]</f>
        <v>-1677249.361841826</v>
      </c>
      <c r="H451" s="20">
        <f>H450-(Table1[[#This Row],[Payment amount]]-Table1[[#This Row],[Interest Paid W/O LSP]])</f>
        <v>-917065.06124412501</v>
      </c>
      <c r="I451">
        <f>H450*Table1[[#This Row],[Current mortgage rate]]</f>
        <v>-4453.8364978071322</v>
      </c>
      <c r="J451" s="25">
        <f>IF(Table1[[#This Row],[Month]]&gt;Table7[Amortization period (yrs)]*12,0,IF(Table1[[#This Row],[Month]]&lt;Table7[mortgage term (yrs)]*12,0,IF(Table1[[#This Row],[Month]]=Table7[mortgage term (yrs)]*12,-H$5,Table1[[#This Row],[Payment amount]]+B451)))</f>
        <v>0</v>
      </c>
      <c r="K451">
        <v>440</v>
      </c>
      <c r="L451">
        <f>Table7[Initial Monthly Deposit]*Table9[[#This Row],[Inflation Modifier]]</f>
        <v>815.95493748628144</v>
      </c>
      <c r="M451">
        <f xml:space="preserve"> (1+Table7[Inflation])^(QUOTIENT(Table9[[#This Row],[Month]]-1,12))</f>
        <v>2.0398873437157037</v>
      </c>
      <c r="N451">
        <f>N450*(1+Table7[Monthly SF Inter])+Table9[[#This Row],[Monthly Payment]]-O450*(1+Table7[Monthly SF Inter])</f>
        <v>20574.781314447882</v>
      </c>
      <c r="O451">
        <f>IF(MOD(Table9[[#This Row],[Month]],12)=0,(IF(Table9[[#This Row],[Current Balance]]&lt;Table9[[#This Row],[Max Lump Sum ]],Table9[[#This Row],[Current Balance]],Table9[[#This Row],[Max Lump Sum ]])),0)</f>
        <v>0</v>
      </c>
      <c r="P451" s="21">
        <f>Table7[Max annual lump sum repayment]*SUM(C452:C463)</f>
        <v>7880.3958913442566</v>
      </c>
      <c r="Q451" s="25">
        <f>Q450*(1+Table7[Monthly SF Inter])+Table9[[#This Row],[Inflation Modifier]]-R450*(1+Table7[Monthly SF Inter])</f>
        <v>16.556596576110795</v>
      </c>
      <c r="R451" s="25">
        <f>IF(MOD(Table9[[#This Row],[Month]],12)=0,Table9[[#This Row],[Q2 ACC FACTOR]],0)</f>
        <v>0</v>
      </c>
      <c r="S451" s="25">
        <f>S450*(1+D450)+Table9[[#This Row],[ACC FACTOR PAYMENTS]]</f>
        <v>1944.42766376227</v>
      </c>
    </row>
    <row r="452" spans="1:19" x14ac:dyDescent="0.25">
      <c r="A452" s="1">
        <v>440</v>
      </c>
      <c r="B452" s="1">
        <f t="shared" si="6"/>
        <v>0</v>
      </c>
      <c r="C452" s="7">
        <f>G$12/-PV(Table7[Monthly mortgage rate], (12*Table7[Amortization period (yrs)]),1 )</f>
        <v>4377.9977174134756</v>
      </c>
      <c r="D452" s="11">
        <f>IF(Table1[[#This Row],[Month]]&lt;=(12*Table7[mortgage term (yrs)]),Table7[Monthly mortgage rate],Table7[Monthly Exp Renewal Rate])</f>
        <v>4.9038466830562122E-3</v>
      </c>
      <c r="E452" s="21">
        <f>Table1[[#This Row],[Current mortgage rate]]*G451</f>
        <v>-8224.9737197261875</v>
      </c>
      <c r="F452" s="5">
        <f>Table1[[#This Row],[Payment amount]]-Table1[[#This Row],[Interest paid]]</f>
        <v>12602.971437139662</v>
      </c>
      <c r="G452" s="20">
        <f>G451-Table1[[#This Row],[Principal repaid]]-Table1[[#This Row],[Annual paym]]</f>
        <v>-1689852.3332789657</v>
      </c>
      <c r="H452" s="20">
        <f>H451-(Table1[[#This Row],[Payment amount]]-Table1[[#This Row],[Interest Paid W/O LSP]])</f>
        <v>-925940.20542026719</v>
      </c>
      <c r="I452">
        <f>H451*Table1[[#This Row],[Current mortgage rate]]</f>
        <v>-4497.1464587287446</v>
      </c>
      <c r="J452" s="25">
        <f>IF(Table1[[#This Row],[Month]]&gt;Table7[Amortization period (yrs)]*12,0,IF(Table1[[#This Row],[Month]]&lt;Table7[mortgage term (yrs)]*12,0,IF(Table1[[#This Row],[Month]]=Table7[mortgage term (yrs)]*12,-H$5,Table1[[#This Row],[Payment amount]]+B452)))</f>
        <v>0</v>
      </c>
      <c r="K452">
        <v>441</v>
      </c>
      <c r="L452">
        <f>Table7[Initial Monthly Deposit]*Table9[[#This Row],[Inflation Modifier]]</f>
        <v>815.95493748628144</v>
      </c>
      <c r="M452">
        <f xml:space="preserve"> (1+Table7[Inflation])^(QUOTIENT(Table9[[#This Row],[Month]]-1,12))</f>
        <v>2.0398873437157037</v>
      </c>
      <c r="N452">
        <f>N451*(1+Table7[Monthly SF Inter])+Table9[[#This Row],[Monthly Payment]]-O451*(1+Table7[Monthly SF Inter])</f>
        <v>21475.584910788773</v>
      </c>
      <c r="O452">
        <f>IF(MOD(Table9[[#This Row],[Month]],12)=0,(IF(Table9[[#This Row],[Current Balance]]&lt;Table9[[#This Row],[Max Lump Sum ]],Table9[[#This Row],[Current Balance]],Table9[[#This Row],[Max Lump Sum ]])),0)</f>
        <v>0</v>
      </c>
      <c r="P452" s="21">
        <f>Table7[Max annual lump sum repayment]*SUM(C453:C464)</f>
        <v>7880.3958913442566</v>
      </c>
      <c r="Q452" s="25">
        <f>Q451*(1+Table7[Monthly SF Inter])+Table9[[#This Row],[Inflation Modifier]]-R451*(1+Table7[Monthly SF Inter])</f>
        <v>18.664761924496879</v>
      </c>
      <c r="R452" s="25">
        <f>IF(MOD(Table9[[#This Row],[Month]],12)=0,Table9[[#This Row],[Q2 ACC FACTOR]],0)</f>
        <v>0</v>
      </c>
      <c r="S452" s="25">
        <f>S451*(1+D451)+Table9[[#This Row],[ACC FACTOR PAYMENTS]]</f>
        <v>1953.9628389116533</v>
      </c>
    </row>
    <row r="453" spans="1:19" x14ac:dyDescent="0.25">
      <c r="A453" s="1">
        <v>441</v>
      </c>
      <c r="B453" s="1">
        <f t="shared" si="6"/>
        <v>0</v>
      </c>
      <c r="C453" s="7">
        <f>G$12/-PV(Table7[Monthly mortgage rate], (12*Table7[Amortization period (yrs)]),1 )</f>
        <v>4377.9977174134756</v>
      </c>
      <c r="D453" s="11">
        <f>IF(Table1[[#This Row],[Month]]&lt;=(12*Table7[mortgage term (yrs)]),Table7[Monthly mortgage rate],Table7[Monthly Exp Renewal Rate])</f>
        <v>4.9038466830562122E-3</v>
      </c>
      <c r="E453" s="21">
        <f>Table1[[#This Row],[Current mortgage rate]]*G452</f>
        <v>-8286.7767594048564</v>
      </c>
      <c r="F453" s="5">
        <f>Table1[[#This Row],[Payment amount]]-Table1[[#This Row],[Interest paid]]</f>
        <v>12664.774476818333</v>
      </c>
      <c r="G453" s="20">
        <f>G452-Table1[[#This Row],[Principal repaid]]-Table1[[#This Row],[Annual paym]]</f>
        <v>-1702517.1077557839</v>
      </c>
      <c r="H453" s="20">
        <f>H452-(Table1[[#This Row],[Payment amount]]-Table1[[#This Row],[Interest Paid W/O LSP]])</f>
        <v>-934858.87194273924</v>
      </c>
      <c r="I453">
        <f>H452*Table1[[#This Row],[Current mortgage rate]]</f>
        <v>-4540.6688050585653</v>
      </c>
      <c r="J453" s="25">
        <f>IF(Table1[[#This Row],[Month]]&gt;Table7[Amortization period (yrs)]*12,0,IF(Table1[[#This Row],[Month]]&lt;Table7[mortgage term (yrs)]*12,0,IF(Table1[[#This Row],[Month]]=Table7[mortgage term (yrs)]*12,-H$5,Table1[[#This Row],[Payment amount]]+B453)))</f>
        <v>0</v>
      </c>
      <c r="K453">
        <v>442</v>
      </c>
      <c r="L453">
        <f>Table7[Initial Monthly Deposit]*Table9[[#This Row],[Inflation Modifier]]</f>
        <v>815.95493748628144</v>
      </c>
      <c r="M453">
        <f xml:space="preserve"> (1+Table7[Inflation])^(QUOTIENT(Table9[[#This Row],[Month]]-1,12))</f>
        <v>2.0398873437157037</v>
      </c>
      <c r="N453">
        <f>N452*(1+Table7[Monthly SF Inter])+Table9[[#This Row],[Monthly Payment]]-O452*(1+Table7[Monthly SF Inter])</f>
        <v>22380.103345011674</v>
      </c>
      <c r="O453">
        <f>IF(MOD(Table9[[#This Row],[Month]],12)=0,(IF(Table9[[#This Row],[Current Balance]]&lt;Table9[[#This Row],[Max Lump Sum ]],Table9[[#This Row],[Current Balance]],Table9[[#This Row],[Max Lump Sum ]])),0)</f>
        <v>0</v>
      </c>
      <c r="P453" s="21">
        <f>Table7[Max annual lump sum repayment]*SUM(C454:C465)</f>
        <v>7880.3958913442566</v>
      </c>
      <c r="Q453" s="25">
        <f>Q452*(1+Table7[Monthly SF Inter])+Table9[[#This Row],[Inflation Modifier]]-R452*(1+Table7[Monthly SF Inter])</f>
        <v>20.781621168566254</v>
      </c>
      <c r="R453" s="25">
        <f>IF(MOD(Table9[[#This Row],[Month]],12)=0,Table9[[#This Row],[Q2 ACC FACTOR]],0)</f>
        <v>0</v>
      </c>
      <c r="S453" s="25">
        <f>S452*(1+D452)+Table9[[#This Row],[ACC FACTOR PAYMENTS]]</f>
        <v>1963.5447730980652</v>
      </c>
    </row>
    <row r="454" spans="1:19" x14ac:dyDescent="0.25">
      <c r="A454" s="1">
        <v>442</v>
      </c>
      <c r="B454" s="1">
        <f t="shared" si="6"/>
        <v>0</v>
      </c>
      <c r="C454" s="7">
        <f>G$12/-PV(Table7[Monthly mortgage rate], (12*Table7[Amortization period (yrs)]),1 )</f>
        <v>4377.9977174134756</v>
      </c>
      <c r="D454" s="11">
        <f>IF(Table1[[#This Row],[Month]]&lt;=(12*Table7[mortgage term (yrs)]),Table7[Monthly mortgage rate],Table7[Monthly Exp Renewal Rate])</f>
        <v>4.9038466830562122E-3</v>
      </c>
      <c r="E454" s="21">
        <f>Table1[[#This Row],[Current mortgage rate]]*G453</f>
        <v>-8348.8828717146571</v>
      </c>
      <c r="F454" s="5">
        <f>Table1[[#This Row],[Payment amount]]-Table1[[#This Row],[Interest paid]]</f>
        <v>12726.880589128134</v>
      </c>
      <c r="G454" s="20">
        <f>G453-Table1[[#This Row],[Principal repaid]]-Table1[[#This Row],[Annual paym]]</f>
        <v>-1715243.9883449122</v>
      </c>
      <c r="H454" s="20">
        <f>H453-(Table1[[#This Row],[Payment amount]]-Table1[[#This Row],[Interest Paid W/O LSP]])</f>
        <v>-943821.27423845476</v>
      </c>
      <c r="I454">
        <f>H453*Table1[[#This Row],[Current mortgage rate]]</f>
        <v>-4584.4045783020738</v>
      </c>
      <c r="J454" s="25">
        <f>IF(Table1[[#This Row],[Month]]&gt;Table7[Amortization period (yrs)]*12,0,IF(Table1[[#This Row],[Month]]&lt;Table7[mortgage term (yrs)]*12,0,IF(Table1[[#This Row],[Month]]=Table7[mortgage term (yrs)]*12,-H$5,Table1[[#This Row],[Payment amount]]+B454)))</f>
        <v>0</v>
      </c>
      <c r="K454">
        <v>443</v>
      </c>
      <c r="L454">
        <f>Table7[Initial Monthly Deposit]*Table9[[#This Row],[Inflation Modifier]]</f>
        <v>815.95493748628144</v>
      </c>
      <c r="M454">
        <f xml:space="preserve"> (1+Table7[Inflation])^(QUOTIENT(Table9[[#This Row],[Month]]-1,12))</f>
        <v>2.0398873437157037</v>
      </c>
      <c r="N454">
        <f>N453*(1+Table7[Monthly SF Inter])+Table9[[#This Row],[Monthly Payment]]-O453*(1+Table7[Monthly SF Inter])</f>
        <v>23288.351936793973</v>
      </c>
      <c r="O454">
        <f>IF(MOD(Table9[[#This Row],[Month]],12)=0,(IF(Table9[[#This Row],[Current Balance]]&lt;Table9[[#This Row],[Max Lump Sum ]],Table9[[#This Row],[Current Balance]],Table9[[#This Row],[Max Lump Sum ]])),0)</f>
        <v>0</v>
      </c>
      <c r="P454" s="21">
        <f>Table7[Max annual lump sum repayment]*SUM(C455:C466)</f>
        <v>7880.3958913442566</v>
      </c>
      <c r="Q454" s="25">
        <f>Q453*(1+Table7[Monthly SF Inter])+Table9[[#This Row],[Inflation Modifier]]-R453*(1+Table7[Monthly SF Inter])</f>
        <v>22.907210161209779</v>
      </c>
      <c r="R454" s="25">
        <f>IF(MOD(Table9[[#This Row],[Month]],12)=0,Table9[[#This Row],[Q2 ACC FACTOR]],0)</f>
        <v>0</v>
      </c>
      <c r="S454" s="25">
        <f>S453*(1+D453)+Table9[[#This Row],[ACC FACTOR PAYMENTS]]</f>
        <v>1973.1736956206546</v>
      </c>
    </row>
    <row r="455" spans="1:19" x14ac:dyDescent="0.25">
      <c r="A455" s="1">
        <v>443</v>
      </c>
      <c r="B455" s="1">
        <f t="shared" si="6"/>
        <v>0</v>
      </c>
      <c r="C455" s="7">
        <f>G$12/-PV(Table7[Monthly mortgage rate], (12*Table7[Amortization period (yrs)]),1 )</f>
        <v>4377.9977174134756</v>
      </c>
      <c r="D455" s="11">
        <f>IF(Table1[[#This Row],[Month]]&lt;=(12*Table7[mortgage term (yrs)]),Table7[Monthly mortgage rate],Table7[Monthly Exp Renewal Rate])</f>
        <v>4.9038466830562122E-3</v>
      </c>
      <c r="E455" s="21">
        <f>Table1[[#This Row],[Current mortgage rate]]*G454</f>
        <v>-8411.2935428773053</v>
      </c>
      <c r="F455" s="5">
        <f>Table1[[#This Row],[Payment amount]]-Table1[[#This Row],[Interest paid]]</f>
        <v>12789.291260290782</v>
      </c>
      <c r="G455" s="20">
        <f>G454-Table1[[#This Row],[Principal repaid]]-Table1[[#This Row],[Annual paym]]</f>
        <v>-1728033.2796052031</v>
      </c>
      <c r="H455" s="20">
        <f>H454-(Table1[[#This Row],[Payment amount]]-Table1[[#This Row],[Interest Paid W/O LSP]])</f>
        <v>-952827.62678094034</v>
      </c>
      <c r="I455">
        <f>H454*Table1[[#This Row],[Current mortgage rate]]</f>
        <v>-4628.3548250721342</v>
      </c>
      <c r="J455" s="25">
        <f>IF(Table1[[#This Row],[Month]]&gt;Table7[Amortization period (yrs)]*12,0,IF(Table1[[#This Row],[Month]]&lt;Table7[mortgage term (yrs)]*12,0,IF(Table1[[#This Row],[Month]]=Table7[mortgage term (yrs)]*12,-H$5,Table1[[#This Row],[Payment amount]]+B455)))</f>
        <v>0</v>
      </c>
      <c r="K455">
        <v>444</v>
      </c>
      <c r="L455">
        <f>Table7[Initial Monthly Deposit]*Table9[[#This Row],[Inflation Modifier]]</f>
        <v>815.95493748628144</v>
      </c>
      <c r="M455">
        <f xml:space="preserve"> (1+Table7[Inflation])^(QUOTIENT(Table9[[#This Row],[Month]]-1,12))</f>
        <v>2.0398873437157037</v>
      </c>
      <c r="N455">
        <f>N454*(1+Table7[Monthly SF Inter])+Table9[[#This Row],[Monthly Payment]]-O454*(1+Table7[Monthly SF Inter])</f>
        <v>24200.346068990119</v>
      </c>
      <c r="O455">
        <f>IF(MOD(Table9[[#This Row],[Month]],12)=0,(IF(Table9[[#This Row],[Current Balance]]&lt;Table9[[#This Row],[Max Lump Sum ]],Table9[[#This Row],[Current Balance]],Table9[[#This Row],[Max Lump Sum ]])),0)</f>
        <v>7880.3958913442566</v>
      </c>
      <c r="P455" s="21">
        <f>Table7[Max annual lump sum repayment]*SUM(C456:C467)</f>
        <v>7880.3958913442566</v>
      </c>
      <c r="Q455" s="25">
        <f>Q454*(1+Table7[Monthly SF Inter])+Table9[[#This Row],[Inflation Modifier]]-R454*(1+Table7[Monthly SF Inter])</f>
        <v>25.041564903172606</v>
      </c>
      <c r="R455" s="25">
        <f>IF(MOD(Table9[[#This Row],[Month]],12)=0,Table9[[#This Row],[Q2 ACC FACTOR]],0)</f>
        <v>25.041564903172606</v>
      </c>
      <c r="S455" s="25">
        <f>S454*(1+D454)+Table9[[#This Row],[ACC FACTOR PAYMENTS]]</f>
        <v>2007.8914018061903</v>
      </c>
    </row>
    <row r="456" spans="1:19" x14ac:dyDescent="0.25">
      <c r="A456" s="1">
        <v>444</v>
      </c>
      <c r="B456" s="1">
        <f t="shared" si="6"/>
        <v>7880.3958913442566</v>
      </c>
      <c r="C456" s="7">
        <f>G$12/-PV(Table7[Monthly mortgage rate], (12*Table7[Amortization period (yrs)]),1 )</f>
        <v>4377.9977174134756</v>
      </c>
      <c r="D456" s="11">
        <f>IF(Table1[[#This Row],[Month]]&lt;=(12*Table7[mortgage term (yrs)]),Table7[Monthly mortgage rate],Table7[Monthly Exp Renewal Rate])</f>
        <v>4.9038466830562122E-3</v>
      </c>
      <c r="E456" s="21">
        <f>Table1[[#This Row],[Current mortgage rate]]*G455</f>
        <v>-8474.0102664027236</v>
      </c>
      <c r="F456" s="5">
        <f>Table1[[#This Row],[Payment amount]]-Table1[[#This Row],[Interest paid]]</f>
        <v>12852.007983816198</v>
      </c>
      <c r="G456" s="20">
        <f>G455-Table1[[#This Row],[Principal repaid]]-Table1[[#This Row],[Annual paym]]</f>
        <v>-1748765.6834803633</v>
      </c>
      <c r="H456" s="20">
        <f>H455-(Table1[[#This Row],[Payment amount]]-Table1[[#This Row],[Interest Paid W/O LSP]])</f>
        <v>-961878.1450954678</v>
      </c>
      <c r="I456">
        <f>H455*Table1[[#This Row],[Current mortgage rate]]</f>
        <v>-4672.5205971140367</v>
      </c>
      <c r="J456" s="25">
        <f>IF(Table1[[#This Row],[Month]]&gt;Table7[Amortization period (yrs)]*12,0,IF(Table1[[#This Row],[Month]]&lt;Table7[mortgage term (yrs)]*12,0,IF(Table1[[#This Row],[Month]]=Table7[mortgage term (yrs)]*12,-H$5,Table1[[#This Row],[Payment amount]]+B456)))</f>
        <v>0</v>
      </c>
      <c r="K456">
        <v>445</v>
      </c>
      <c r="L456">
        <f>Table7[Initial Monthly Deposit]*Table9[[#This Row],[Inflation Modifier]]</f>
        <v>832.27403623600719</v>
      </c>
      <c r="M456">
        <f xml:space="preserve"> (1+Table7[Inflation])^(QUOTIENT(Table9[[#This Row],[Month]]-1,12))</f>
        <v>2.080685090590018</v>
      </c>
      <c r="N456">
        <f>N455*(1+Table7[Monthly SF Inter])+Table9[[#This Row],[Monthly Payment]]-O455*(1+Table7[Monthly SF Inter])</f>
        <v>17219.526308809844</v>
      </c>
      <c r="O456">
        <f>IF(MOD(Table9[[#This Row],[Month]],12)=0,(IF(Table9[[#This Row],[Current Balance]]&lt;Table9[[#This Row],[Max Lump Sum ]],Table9[[#This Row],[Current Balance]],Table9[[#This Row],[Max Lump Sum ]])),0)</f>
        <v>0</v>
      </c>
      <c r="P456" s="21">
        <f>Table7[Max annual lump sum repayment]*SUM(C457:C468)</f>
        <v>7880.3958913442566</v>
      </c>
      <c r="Q456" s="25">
        <f>Q455*(1+Table7[Monthly SF Inter])+Table9[[#This Row],[Inflation Modifier]]-R455*(1+Table7[Monthly SF Inter])</f>
        <v>2.0806850905900163</v>
      </c>
      <c r="R456" s="25">
        <f>IF(MOD(Table9[[#This Row],[Month]],12)=0,Table9[[#This Row],[Q2 ACC FACTOR]],0)</f>
        <v>0</v>
      </c>
      <c r="S456" s="25">
        <f>S455*(1+D455)+Table9[[#This Row],[ACC FACTOR PAYMENTS]]</f>
        <v>2017.7377933968746</v>
      </c>
    </row>
    <row r="457" spans="1:19" x14ac:dyDescent="0.25">
      <c r="A457" s="1">
        <v>445</v>
      </c>
      <c r="B457" s="1">
        <f t="shared" si="6"/>
        <v>0</v>
      </c>
      <c r="C457" s="7">
        <f>G$12/-PV(Table7[Monthly mortgage rate], (12*Table7[Amortization period (yrs)]),1 )</f>
        <v>4377.9977174134756</v>
      </c>
      <c r="D457" s="11">
        <f>IF(Table1[[#This Row],[Month]]&lt;=(12*Table7[mortgage term (yrs)]),Table7[Monthly mortgage rate],Table7[Monthly Exp Renewal Rate])</f>
        <v>4.9038466830562122E-3</v>
      </c>
      <c r="E457" s="21">
        <f>Table1[[#This Row],[Current mortgage rate]]*G456</f>
        <v>-8575.6787963777097</v>
      </c>
      <c r="F457" s="5">
        <f>Table1[[#This Row],[Payment amount]]-Table1[[#This Row],[Interest paid]]</f>
        <v>12953.676513791186</v>
      </c>
      <c r="G457" s="20">
        <f>G456-Table1[[#This Row],[Principal repaid]]-Table1[[#This Row],[Annual paym]]</f>
        <v>-1761719.3599941544</v>
      </c>
      <c r="H457" s="20">
        <f>H456-(Table1[[#This Row],[Payment amount]]-Table1[[#This Row],[Interest Paid W/O LSP]])</f>
        <v>-970973.04576421191</v>
      </c>
      <c r="I457">
        <f>H456*Table1[[#This Row],[Current mortgage rate]]</f>
        <v>-4716.9029513306714</v>
      </c>
      <c r="J457" s="25">
        <f>IF(Table1[[#This Row],[Month]]&gt;Table7[Amortization period (yrs)]*12,0,IF(Table1[[#This Row],[Month]]&lt;Table7[mortgage term (yrs)]*12,0,IF(Table1[[#This Row],[Month]]=Table7[mortgage term (yrs)]*12,-H$5,Table1[[#This Row],[Payment amount]]+B457)))</f>
        <v>0</v>
      </c>
      <c r="K457">
        <v>446</v>
      </c>
      <c r="L457">
        <f>Table7[Initial Monthly Deposit]*Table9[[#This Row],[Inflation Modifier]]</f>
        <v>832.27403623600719</v>
      </c>
      <c r="M457">
        <f xml:space="preserve"> (1+Table7[Inflation])^(QUOTIENT(Table9[[#This Row],[Month]]-1,12))</f>
        <v>2.080685090590018</v>
      </c>
      <c r="N457">
        <f>N456*(1+Table7[Monthly SF Inter])+Table9[[#This Row],[Monthly Payment]]-O456*(1+Table7[Monthly SF Inter])</f>
        <v>18122.812215893209</v>
      </c>
      <c r="O457">
        <f>IF(MOD(Table9[[#This Row],[Month]],12)=0,(IF(Table9[[#This Row],[Current Balance]]&lt;Table9[[#This Row],[Max Lump Sum ]],Table9[[#This Row],[Current Balance]],Table9[[#This Row],[Max Lump Sum ]])),0)</f>
        <v>0</v>
      </c>
      <c r="P457" s="21">
        <f>Table7[Max annual lump sum repayment]*SUM(C458:C469)</f>
        <v>7880.3958913442566</v>
      </c>
      <c r="Q457" s="25">
        <f>Q456*(1+Table7[Monthly SF Inter])+Table9[[#This Row],[Inflation Modifier]]-R456*(1+Table7[Monthly SF Inter])</f>
        <v>4.1699507506032134</v>
      </c>
      <c r="R457" s="25">
        <f>IF(MOD(Table9[[#This Row],[Month]],12)=0,Table9[[#This Row],[Q2 ACC FACTOR]],0)</f>
        <v>0</v>
      </c>
      <c r="S457" s="25">
        <f>S456*(1+D456)+Table9[[#This Row],[ACC FACTOR PAYMENTS]]</f>
        <v>2027.6324701823009</v>
      </c>
    </row>
    <row r="458" spans="1:19" x14ac:dyDescent="0.25">
      <c r="A458" s="1">
        <v>446</v>
      </c>
      <c r="B458" s="1">
        <f t="shared" si="6"/>
        <v>0</v>
      </c>
      <c r="C458" s="7">
        <f>G$12/-PV(Table7[Monthly mortgage rate], (12*Table7[Amortization period (yrs)]),1 )</f>
        <v>4377.9977174134756</v>
      </c>
      <c r="D458" s="11">
        <f>IF(Table1[[#This Row],[Month]]&lt;=(12*Table7[mortgage term (yrs)]),Table7[Monthly mortgage rate],Table7[Monthly Exp Renewal Rate])</f>
        <v>4.9038466830562122E-3</v>
      </c>
      <c r="E458" s="21">
        <f>Table1[[#This Row],[Current mortgage rate]]*G457</f>
        <v>-8639.2016399832464</v>
      </c>
      <c r="F458" s="5">
        <f>Table1[[#This Row],[Payment amount]]-Table1[[#This Row],[Interest paid]]</f>
        <v>13017.199357396723</v>
      </c>
      <c r="G458" s="20">
        <f>G457-Table1[[#This Row],[Principal repaid]]-Table1[[#This Row],[Annual paym]]</f>
        <v>-1774736.5593515511</v>
      </c>
      <c r="H458" s="20">
        <f>H457-(Table1[[#This Row],[Payment amount]]-Table1[[#This Row],[Interest Paid W/O LSP]])</f>
        <v>-980112.54643143318</v>
      </c>
      <c r="I458">
        <f>H457*Table1[[#This Row],[Current mortgage rate]]</f>
        <v>-4761.5029498078184</v>
      </c>
      <c r="J458" s="25">
        <f>IF(Table1[[#This Row],[Month]]&gt;Table7[Amortization period (yrs)]*12,0,IF(Table1[[#This Row],[Month]]&lt;Table7[mortgage term (yrs)]*12,0,IF(Table1[[#This Row],[Month]]=Table7[mortgage term (yrs)]*12,-H$5,Table1[[#This Row],[Payment amount]]+B458)))</f>
        <v>0</v>
      </c>
      <c r="K458">
        <v>447</v>
      </c>
      <c r="L458">
        <f>Table7[Initial Monthly Deposit]*Table9[[#This Row],[Inflation Modifier]]</f>
        <v>832.27403623600719</v>
      </c>
      <c r="M458">
        <f xml:space="preserve"> (1+Table7[Inflation])^(QUOTIENT(Table9[[#This Row],[Month]]-1,12))</f>
        <v>2.080685090590018</v>
      </c>
      <c r="N458">
        <f>N457*(1+Table7[Monthly SF Inter])+Table9[[#This Row],[Monthly Payment]]-O457*(1+Table7[Monthly SF Inter])</f>
        <v>19029.823197698242</v>
      </c>
      <c r="O458">
        <f>IF(MOD(Table9[[#This Row],[Month]],12)=0,(IF(Table9[[#This Row],[Current Balance]]&lt;Table9[[#This Row],[Max Lump Sum ]],Table9[[#This Row],[Current Balance]],Table9[[#This Row],[Max Lump Sum ]])),0)</f>
        <v>0</v>
      </c>
      <c r="P458" s="21">
        <f>Table7[Max annual lump sum repayment]*SUM(C459:C470)</f>
        <v>7880.3958913442566</v>
      </c>
      <c r="Q458" s="25">
        <f>Q457*(1+Table7[Monthly SF Inter])+Table9[[#This Row],[Inflation Modifier]]-R457*(1+Table7[Monthly SF Inter])</f>
        <v>6.2678323655825334</v>
      </c>
      <c r="R458" s="25">
        <f>IF(MOD(Table9[[#This Row],[Month]],12)=0,Table9[[#This Row],[Q2 ACC FACTOR]],0)</f>
        <v>0</v>
      </c>
      <c r="S458" s="25">
        <f>S457*(1+D457)+Table9[[#This Row],[ACC FACTOR PAYMENTS]]</f>
        <v>2037.5756689456614</v>
      </c>
    </row>
    <row r="459" spans="1:19" x14ac:dyDescent="0.25">
      <c r="A459" s="1">
        <v>447</v>
      </c>
      <c r="B459" s="1">
        <f t="shared" si="6"/>
        <v>0</v>
      </c>
      <c r="C459" s="7">
        <f>G$12/-PV(Table7[Monthly mortgage rate], (12*Table7[Amortization period (yrs)]),1 )</f>
        <v>4377.9977174134756</v>
      </c>
      <c r="D459" s="11">
        <f>IF(Table1[[#This Row],[Month]]&lt;=(12*Table7[mortgage term (yrs)]),Table7[Monthly mortgage rate],Table7[Monthly Exp Renewal Rate])</f>
        <v>4.9038466830562122E-3</v>
      </c>
      <c r="E459" s="21">
        <f>Table1[[#This Row],[Current mortgage rate]]*G458</f>
        <v>-8703.0359898746992</v>
      </c>
      <c r="F459" s="5">
        <f>Table1[[#This Row],[Payment amount]]-Table1[[#This Row],[Interest paid]]</f>
        <v>13081.033707288174</v>
      </c>
      <c r="G459" s="20">
        <f>G458-Table1[[#This Row],[Principal repaid]]-Table1[[#This Row],[Annual paym]]</f>
        <v>-1787817.5930588392</v>
      </c>
      <c r="H459" s="20">
        <f>H458-(Table1[[#This Row],[Payment amount]]-Table1[[#This Row],[Interest Paid W/O LSP]])</f>
        <v>-989296.86580868624</v>
      </c>
      <c r="I459">
        <f>H458*Table1[[#This Row],[Current mortgage rate]]</f>
        <v>-4806.3216598395611</v>
      </c>
      <c r="J459" s="25">
        <f>IF(Table1[[#This Row],[Month]]&gt;Table7[Amortization period (yrs)]*12,0,IF(Table1[[#This Row],[Month]]&lt;Table7[mortgage term (yrs)]*12,0,IF(Table1[[#This Row],[Month]]=Table7[mortgage term (yrs)]*12,-H$5,Table1[[#This Row],[Payment amount]]+B459)))</f>
        <v>0</v>
      </c>
      <c r="K459">
        <v>448</v>
      </c>
      <c r="L459">
        <f>Table7[Initial Monthly Deposit]*Table9[[#This Row],[Inflation Modifier]]</f>
        <v>832.27403623600719</v>
      </c>
      <c r="M459">
        <f xml:space="preserve"> (1+Table7[Inflation])^(QUOTIENT(Table9[[#This Row],[Month]]-1,12))</f>
        <v>2.080685090590018</v>
      </c>
      <c r="N459">
        <f>N458*(1+Table7[Monthly SF Inter])+Table9[[#This Row],[Monthly Payment]]-O458*(1+Table7[Monthly SF Inter])</f>
        <v>19940.574616118196</v>
      </c>
      <c r="O459">
        <f>IF(MOD(Table9[[#This Row],[Month]],12)=0,(IF(Table9[[#This Row],[Current Balance]]&lt;Table9[[#This Row],[Max Lump Sum ]],Table9[[#This Row],[Current Balance]],Table9[[#This Row],[Max Lump Sum ]])),0)</f>
        <v>0</v>
      </c>
      <c r="P459" s="21">
        <f>Table7[Max annual lump sum repayment]*SUM(C460:C471)</f>
        <v>7880.3958913442566</v>
      </c>
      <c r="Q459" s="25">
        <f>Q458*(1+Table7[Monthly SF Inter])+Table9[[#This Row],[Inflation Modifier]]-R458*(1+Table7[Monthly SF Inter])</f>
        <v>8.374365466997908</v>
      </c>
      <c r="R459" s="25">
        <f>IF(MOD(Table9[[#This Row],[Month]],12)=0,Table9[[#This Row],[Q2 ACC FACTOR]],0)</f>
        <v>0</v>
      </c>
      <c r="S459" s="25">
        <f>S458*(1+D458)+Table9[[#This Row],[ACC FACTOR PAYMENTS]]</f>
        <v>2047.5676276312965</v>
      </c>
    </row>
    <row r="460" spans="1:19" x14ac:dyDescent="0.25">
      <c r="A460" s="1">
        <v>448</v>
      </c>
      <c r="B460" s="1">
        <f t="shared" si="6"/>
        <v>0</v>
      </c>
      <c r="C460" s="7">
        <f>G$12/-PV(Table7[Monthly mortgage rate], (12*Table7[Amortization period (yrs)]),1 )</f>
        <v>4377.9977174134756</v>
      </c>
      <c r="D460" s="11">
        <f>IF(Table1[[#This Row],[Month]]&lt;=(12*Table7[mortgage term (yrs)]),Table7[Monthly mortgage rate],Table7[Monthly Exp Renewal Rate])</f>
        <v>4.9038466830562122E-3</v>
      </c>
      <c r="E460" s="21">
        <f>Table1[[#This Row],[Current mortgage rate]]*G459</f>
        <v>-8767.1833736311291</v>
      </c>
      <c r="F460" s="5">
        <f>Table1[[#This Row],[Payment amount]]-Table1[[#This Row],[Interest paid]]</f>
        <v>13145.181091044604</v>
      </c>
      <c r="G460" s="20">
        <f>G459-Table1[[#This Row],[Principal repaid]]-Table1[[#This Row],[Annual paym]]</f>
        <v>-1800962.7741498838</v>
      </c>
      <c r="H460" s="20">
        <f>H459-(Table1[[#This Row],[Payment amount]]-Table1[[#This Row],[Interest Paid W/O LSP]])</f>
        <v>-998526.2236800536</v>
      </c>
      <c r="I460">
        <f>H459*Table1[[#This Row],[Current mortgage rate]]</f>
        <v>-4851.3601539538331</v>
      </c>
      <c r="J460" s="25">
        <f>IF(Table1[[#This Row],[Month]]&gt;Table7[Amortization period (yrs)]*12,0,IF(Table1[[#This Row],[Month]]&lt;Table7[mortgage term (yrs)]*12,0,IF(Table1[[#This Row],[Month]]=Table7[mortgage term (yrs)]*12,-H$5,Table1[[#This Row],[Payment amount]]+B460)))</f>
        <v>0</v>
      </c>
      <c r="K460">
        <v>449</v>
      </c>
      <c r="L460">
        <f>Table7[Initial Monthly Deposit]*Table9[[#This Row],[Inflation Modifier]]</f>
        <v>832.27403623600719</v>
      </c>
      <c r="M460">
        <f xml:space="preserve"> (1+Table7[Inflation])^(QUOTIENT(Table9[[#This Row],[Month]]-1,12))</f>
        <v>2.080685090590018</v>
      </c>
      <c r="N460">
        <f>N459*(1+Table7[Monthly SF Inter])+Table9[[#This Row],[Monthly Payment]]-O459*(1+Table7[Monthly SF Inter])</f>
        <v>20855.081896397474</v>
      </c>
      <c r="O460">
        <f>IF(MOD(Table9[[#This Row],[Month]],12)=0,(IF(Table9[[#This Row],[Current Balance]]&lt;Table9[[#This Row],[Max Lump Sum ]],Table9[[#This Row],[Current Balance]],Table9[[#This Row],[Max Lump Sum ]])),0)</f>
        <v>0</v>
      </c>
      <c r="P460" s="21">
        <f>Table7[Max annual lump sum repayment]*SUM(C461:C472)</f>
        <v>7880.3958913442566</v>
      </c>
      <c r="Q460" s="25">
        <f>Q459*(1+Table7[Monthly SF Inter])+Table9[[#This Row],[Inflation Modifier]]-R459*(1+Table7[Monthly SF Inter])</f>
        <v>10.489585732848049</v>
      </c>
      <c r="R460" s="25">
        <f>IF(MOD(Table9[[#This Row],[Month]],12)=0,Table9[[#This Row],[Q2 ACC FACTOR]],0)</f>
        <v>0</v>
      </c>
      <c r="S460" s="25">
        <f>S459*(1+D459)+Table9[[#This Row],[ACC FACTOR PAYMENTS]]</f>
        <v>2057.6085853503896</v>
      </c>
    </row>
    <row r="461" spans="1:19" x14ac:dyDescent="0.25">
      <c r="A461" s="1">
        <v>449</v>
      </c>
      <c r="B461" s="1">
        <f t="shared" ref="B461:B524" si="7">O460</f>
        <v>0</v>
      </c>
      <c r="C461" s="7">
        <f>G$12/-PV(Table7[Monthly mortgage rate], (12*Table7[Amortization period (yrs)]),1 )</f>
        <v>4377.9977174134756</v>
      </c>
      <c r="D461" s="11">
        <f>IF(Table1[[#This Row],[Month]]&lt;=(12*Table7[mortgage term (yrs)]),Table7[Monthly mortgage rate],Table7[Monthly Exp Renewal Rate])</f>
        <v>4.9038466830562122E-3</v>
      </c>
      <c r="E461" s="21">
        <f>Table1[[#This Row],[Current mortgage rate]]*G460</f>
        <v>-8831.6453263226213</v>
      </c>
      <c r="F461" s="5">
        <f>Table1[[#This Row],[Payment amount]]-Table1[[#This Row],[Interest paid]]</f>
        <v>13209.643043736098</v>
      </c>
      <c r="G461" s="20">
        <f>G460-Table1[[#This Row],[Principal repaid]]-Table1[[#This Row],[Annual paym]]</f>
        <v>-1814172.4171936198</v>
      </c>
      <c r="H461" s="20">
        <f>H460-(Table1[[#This Row],[Payment amount]]-Table1[[#This Row],[Interest Paid W/O LSP]])</f>
        <v>-1007800.8409074051</v>
      </c>
      <c r="I461">
        <f>H460*Table1[[#This Row],[Current mortgage rate]]</f>
        <v>-4896.6195099380766</v>
      </c>
      <c r="J461" s="25">
        <f>IF(Table1[[#This Row],[Month]]&gt;Table7[Amortization period (yrs)]*12,0,IF(Table1[[#This Row],[Month]]&lt;Table7[mortgage term (yrs)]*12,0,IF(Table1[[#This Row],[Month]]=Table7[mortgage term (yrs)]*12,-H$5,Table1[[#This Row],[Payment amount]]+B461)))</f>
        <v>0</v>
      </c>
      <c r="K461">
        <v>450</v>
      </c>
      <c r="L461">
        <f>Table7[Initial Monthly Deposit]*Table9[[#This Row],[Inflation Modifier]]</f>
        <v>832.27403623600719</v>
      </c>
      <c r="M461">
        <f xml:space="preserve"> (1+Table7[Inflation])^(QUOTIENT(Table9[[#This Row],[Month]]-1,12))</f>
        <v>2.080685090590018</v>
      </c>
      <c r="N461">
        <f>N460*(1+Table7[Monthly SF Inter])+Table9[[#This Row],[Monthly Payment]]-O460*(1+Table7[Monthly SF Inter])</f>
        <v>21773.360527392884</v>
      </c>
      <c r="O461">
        <f>IF(MOD(Table9[[#This Row],[Month]],12)=0,(IF(Table9[[#This Row],[Current Balance]]&lt;Table9[[#This Row],[Max Lump Sum ]],Table9[[#This Row],[Current Balance]],Table9[[#This Row],[Max Lump Sum ]])),0)</f>
        <v>0</v>
      </c>
      <c r="P461" s="21">
        <f>Table7[Max annual lump sum repayment]*SUM(C462:C473)</f>
        <v>7880.3958913442566</v>
      </c>
      <c r="Q461" s="25">
        <f>Q460*(1+Table7[Monthly SF Inter])+Table9[[#This Row],[Inflation Modifier]]-R460*(1+Table7[Monthly SF Inter])</f>
        <v>12.613528988264715</v>
      </c>
      <c r="R461" s="25">
        <f>IF(MOD(Table9[[#This Row],[Month]],12)=0,Table9[[#This Row],[Q2 ACC FACTOR]],0)</f>
        <v>0</v>
      </c>
      <c r="S461" s="25">
        <f>S460*(1+D460)+Table9[[#This Row],[ACC FACTOR PAYMENTS]]</f>
        <v>2067.698782386688</v>
      </c>
    </row>
    <row r="462" spans="1:19" x14ac:dyDescent="0.25">
      <c r="A462" s="1">
        <v>450</v>
      </c>
      <c r="B462" s="1">
        <f t="shared" si="7"/>
        <v>0</v>
      </c>
      <c r="C462" s="7">
        <f>G$12/-PV(Table7[Monthly mortgage rate], (12*Table7[Amortization period (yrs)]),1 )</f>
        <v>4377.9977174134756</v>
      </c>
      <c r="D462" s="11">
        <f>IF(Table1[[#This Row],[Month]]&lt;=(12*Table7[mortgage term (yrs)]),Table7[Monthly mortgage rate],Table7[Monthly Exp Renewal Rate])</f>
        <v>4.9038466830562122E-3</v>
      </c>
      <c r="E462" s="21">
        <f>Table1[[#This Row],[Current mortgage rate]]*G461</f>
        <v>-8896.4233905470028</v>
      </c>
      <c r="F462" s="5">
        <f>Table1[[#This Row],[Payment amount]]-Table1[[#This Row],[Interest paid]]</f>
        <v>13274.421107960479</v>
      </c>
      <c r="G462" s="20">
        <f>G461-Table1[[#This Row],[Principal repaid]]-Table1[[#This Row],[Annual paym]]</f>
        <v>-1827446.8383015802</v>
      </c>
      <c r="H462" s="20">
        <f>H461-(Table1[[#This Row],[Payment amount]]-Table1[[#This Row],[Interest Paid W/O LSP]])</f>
        <v>-1017120.9394356837</v>
      </c>
      <c r="I462">
        <f>H461*Table1[[#This Row],[Current mortgage rate]]</f>
        <v>-4942.1008108650403</v>
      </c>
      <c r="J462" s="25">
        <f>IF(Table1[[#This Row],[Month]]&gt;Table7[Amortization period (yrs)]*12,0,IF(Table1[[#This Row],[Month]]&lt;Table7[mortgage term (yrs)]*12,0,IF(Table1[[#This Row],[Month]]=Table7[mortgage term (yrs)]*12,-H$5,Table1[[#This Row],[Payment amount]]+B462)))</f>
        <v>0</v>
      </c>
      <c r="K462">
        <v>451</v>
      </c>
      <c r="L462">
        <f>Table7[Initial Monthly Deposit]*Table9[[#This Row],[Inflation Modifier]]</f>
        <v>832.27403623600719</v>
      </c>
      <c r="M462">
        <f xml:space="preserve"> (1+Table7[Inflation])^(QUOTIENT(Table9[[#This Row],[Month]]-1,12))</f>
        <v>2.080685090590018</v>
      </c>
      <c r="N462">
        <f>N461*(1+Table7[Monthly SF Inter])+Table9[[#This Row],[Monthly Payment]]-O461*(1+Table7[Monthly SF Inter])</f>
        <v>22695.426061835966</v>
      </c>
      <c r="O462">
        <f>IF(MOD(Table9[[#This Row],[Month]],12)=0,(IF(Table9[[#This Row],[Current Balance]]&lt;Table9[[#This Row],[Max Lump Sum ]],Table9[[#This Row],[Current Balance]],Table9[[#This Row],[Max Lump Sum ]])),0)</f>
        <v>0</v>
      </c>
      <c r="P462" s="21">
        <f>Table7[Max annual lump sum repayment]*SUM(C463:C474)</f>
        <v>7880.3958913442566</v>
      </c>
      <c r="Q462" s="25">
        <f>Q461*(1+Table7[Monthly SF Inter])+Table9[[#This Row],[Inflation Modifier]]-R461*(1+Table7[Monthly SF Inter])</f>
        <v>14.746231206119482</v>
      </c>
      <c r="R462" s="25">
        <f>IF(MOD(Table9[[#This Row],[Month]],12)=0,Table9[[#This Row],[Q2 ACC FACTOR]],0)</f>
        <v>0</v>
      </c>
      <c r="S462" s="25">
        <f>S461*(1+D461)+Table9[[#This Row],[ACC FACTOR PAYMENTS]]</f>
        <v>2077.8384602022543</v>
      </c>
    </row>
    <row r="463" spans="1:19" x14ac:dyDescent="0.25">
      <c r="A463" s="1">
        <v>451</v>
      </c>
      <c r="B463" s="1">
        <f t="shared" si="7"/>
        <v>0</v>
      </c>
      <c r="C463" s="7">
        <f>G$12/-PV(Table7[Monthly mortgage rate], (12*Table7[Amortization period (yrs)]),1 )</f>
        <v>4377.9977174134756</v>
      </c>
      <c r="D463" s="11">
        <f>IF(Table1[[#This Row],[Month]]&lt;=(12*Table7[mortgage term (yrs)]),Table7[Monthly mortgage rate],Table7[Monthly Exp Renewal Rate])</f>
        <v>4.9038466830562122E-3</v>
      </c>
      <c r="E463" s="21">
        <f>Table1[[#This Row],[Current mortgage rate]]*G462</f>
        <v>-8961.5191164667667</v>
      </c>
      <c r="F463" s="5">
        <f>Table1[[#This Row],[Payment amount]]-Table1[[#This Row],[Interest paid]]</f>
        <v>13339.516833880243</v>
      </c>
      <c r="G463" s="20">
        <f>G462-Table1[[#This Row],[Principal repaid]]-Table1[[#This Row],[Annual paym]]</f>
        <v>-1840786.3551354604</v>
      </c>
      <c r="H463" s="20">
        <f>H462-(Table1[[#This Row],[Payment amount]]-Table1[[#This Row],[Interest Paid W/O LSP]])</f>
        <v>-1026486.7422982159</v>
      </c>
      <c r="I463">
        <f>H462*Table1[[#This Row],[Current mortgage rate]]</f>
        <v>-4987.8051451186957</v>
      </c>
      <c r="J463" s="25">
        <f>IF(Table1[[#This Row],[Month]]&gt;Table7[Amortization period (yrs)]*12,0,IF(Table1[[#This Row],[Month]]&lt;Table7[mortgage term (yrs)]*12,0,IF(Table1[[#This Row],[Month]]=Table7[mortgage term (yrs)]*12,-H$5,Table1[[#This Row],[Payment amount]]+B463)))</f>
        <v>0</v>
      </c>
      <c r="K463">
        <v>452</v>
      </c>
      <c r="L463">
        <f>Table7[Initial Monthly Deposit]*Table9[[#This Row],[Inflation Modifier]]</f>
        <v>832.27403623600719</v>
      </c>
      <c r="M463">
        <f xml:space="preserve"> (1+Table7[Inflation])^(QUOTIENT(Table9[[#This Row],[Month]]-1,12))</f>
        <v>2.080685090590018</v>
      </c>
      <c r="N463">
        <f>N462*(1+Table7[Monthly SF Inter])+Table9[[#This Row],[Monthly Payment]]-O462*(1+Table7[Monthly SF Inter])</f>
        <v>23621.294116596415</v>
      </c>
      <c r="O463">
        <f>IF(MOD(Table9[[#This Row],[Month]],12)=0,(IF(Table9[[#This Row],[Current Balance]]&lt;Table9[[#This Row],[Max Lump Sum ]],Table9[[#This Row],[Current Balance]],Table9[[#This Row],[Max Lump Sum ]])),0)</f>
        <v>0</v>
      </c>
      <c r="P463" s="21">
        <f>Table7[Max annual lump sum repayment]*SUM(C464:C475)</f>
        <v>7880.3958913442566</v>
      </c>
      <c r="Q463" s="25">
        <f>Q462*(1+Table7[Monthly SF Inter])+Table9[[#This Row],[Inflation Modifier]]-R462*(1+Table7[Monthly SF Inter])</f>
        <v>16.887728507633007</v>
      </c>
      <c r="R463" s="25">
        <f>IF(MOD(Table9[[#This Row],[Month]],12)=0,Table9[[#This Row],[Q2 ACC FACTOR]],0)</f>
        <v>0</v>
      </c>
      <c r="S463" s="25">
        <f>S462*(1+D462)+Table9[[#This Row],[ACC FACTOR PAYMENTS]]</f>
        <v>2088.0278614432436</v>
      </c>
    </row>
    <row r="464" spans="1:19" x14ac:dyDescent="0.25">
      <c r="A464" s="1">
        <v>452</v>
      </c>
      <c r="B464" s="1">
        <f t="shared" si="7"/>
        <v>0</v>
      </c>
      <c r="C464" s="7">
        <f>G$12/-PV(Table7[Monthly mortgage rate], (12*Table7[Amortization period (yrs)]),1 )</f>
        <v>4377.9977174134756</v>
      </c>
      <c r="D464" s="11">
        <f>IF(Table1[[#This Row],[Month]]&lt;=(12*Table7[mortgage term (yrs)]),Table7[Monthly mortgage rate],Table7[Monthly Exp Renewal Rate])</f>
        <v>4.9038466830562122E-3</v>
      </c>
      <c r="E464" s="21">
        <f>Table1[[#This Row],[Current mortgage rate]]*G463</f>
        <v>-9026.9340618461629</v>
      </c>
      <c r="F464" s="5">
        <f>Table1[[#This Row],[Payment amount]]-Table1[[#This Row],[Interest paid]]</f>
        <v>13404.931779259638</v>
      </c>
      <c r="G464" s="20">
        <f>G463-Table1[[#This Row],[Principal repaid]]-Table1[[#This Row],[Annual paym]]</f>
        <v>-1854191.28691472</v>
      </c>
      <c r="H464" s="20">
        <f>H463-(Table1[[#This Row],[Payment amount]]-Table1[[#This Row],[Interest Paid W/O LSP]])</f>
        <v>-1035898.4736220497</v>
      </c>
      <c r="I464">
        <f>H463*Table1[[#This Row],[Current mortgage rate]]</f>
        <v>-5033.7336064202827</v>
      </c>
      <c r="J464" s="25">
        <f>IF(Table1[[#This Row],[Month]]&gt;Table7[Amortization period (yrs)]*12,0,IF(Table1[[#This Row],[Month]]&lt;Table7[mortgage term (yrs)]*12,0,IF(Table1[[#This Row],[Month]]=Table7[mortgage term (yrs)]*12,-H$5,Table1[[#This Row],[Payment amount]]+B464)))</f>
        <v>0</v>
      </c>
      <c r="K464">
        <v>453</v>
      </c>
      <c r="L464">
        <f>Table7[Initial Monthly Deposit]*Table9[[#This Row],[Inflation Modifier]]</f>
        <v>832.27403623600719</v>
      </c>
      <c r="M464">
        <f xml:space="preserve"> (1+Table7[Inflation])^(QUOTIENT(Table9[[#This Row],[Month]]-1,12))</f>
        <v>2.080685090590018</v>
      </c>
      <c r="N464">
        <f>N463*(1+Table7[Monthly SF Inter])+Table9[[#This Row],[Monthly Payment]]-O463*(1+Table7[Monthly SF Inter])</f>
        <v>24550.980372946571</v>
      </c>
      <c r="O464">
        <f>IF(MOD(Table9[[#This Row],[Month]],12)=0,(IF(Table9[[#This Row],[Current Balance]]&lt;Table9[[#This Row],[Max Lump Sum ]],Table9[[#This Row],[Current Balance]],Table9[[#This Row],[Max Lump Sum ]])),0)</f>
        <v>0</v>
      </c>
      <c r="P464" s="21">
        <f>Table7[Max annual lump sum repayment]*SUM(C465:C476)</f>
        <v>7880.3958913442566</v>
      </c>
      <c r="Q464" s="25">
        <f>Q463*(1+Table7[Monthly SF Inter])+Table9[[#This Row],[Inflation Modifier]]-R463*(1+Table7[Monthly SF Inter])</f>
        <v>19.03805716298681</v>
      </c>
      <c r="R464" s="25">
        <f>IF(MOD(Table9[[#This Row],[Month]],12)=0,Table9[[#This Row],[Q2 ACC FACTOR]],0)</f>
        <v>0</v>
      </c>
      <c r="S464" s="25">
        <f>S463*(1+D463)+Table9[[#This Row],[ACC FACTOR PAYMENTS]]</f>
        <v>2098.2672299457108</v>
      </c>
    </row>
    <row r="465" spans="1:19" x14ac:dyDescent="0.25">
      <c r="A465" s="1">
        <v>453</v>
      </c>
      <c r="B465" s="1">
        <f t="shared" si="7"/>
        <v>0</v>
      </c>
      <c r="C465" s="7">
        <f>G$12/-PV(Table7[Monthly mortgage rate], (12*Table7[Amortization period (yrs)]),1 )</f>
        <v>4377.9977174134756</v>
      </c>
      <c r="D465" s="11">
        <f>IF(Table1[[#This Row],[Month]]&lt;=(12*Table7[mortgage term (yrs)]),Table7[Monthly mortgage rate],Table7[Monthly Exp Renewal Rate])</f>
        <v>4.9038466830562122E-3</v>
      </c>
      <c r="E465" s="21">
        <f>Table1[[#This Row],[Current mortgage rate]]*G464</f>
        <v>-9092.6697920884781</v>
      </c>
      <c r="F465" s="5">
        <f>Table1[[#This Row],[Payment amount]]-Table1[[#This Row],[Interest paid]]</f>
        <v>13470.667509501953</v>
      </c>
      <c r="G465" s="20">
        <f>G464-Table1[[#This Row],[Principal repaid]]-Table1[[#This Row],[Annual paym]]</f>
        <v>-1867661.954424222</v>
      </c>
      <c r="H465" s="20">
        <f>H464-(Table1[[#This Row],[Payment amount]]-Table1[[#This Row],[Interest Paid W/O LSP]])</f>
        <v>-1045356.3586333176</v>
      </c>
      <c r="I465">
        <f>H464*Table1[[#This Row],[Current mortgage rate]]</f>
        <v>-5079.887293854481</v>
      </c>
      <c r="J465" s="25">
        <f>IF(Table1[[#This Row],[Month]]&gt;Table7[Amortization period (yrs)]*12,0,IF(Table1[[#This Row],[Month]]&lt;Table7[mortgage term (yrs)]*12,0,IF(Table1[[#This Row],[Month]]=Table7[mortgage term (yrs)]*12,-H$5,Table1[[#This Row],[Payment amount]]+B465)))</f>
        <v>0</v>
      </c>
      <c r="K465">
        <v>454</v>
      </c>
      <c r="L465">
        <f>Table7[Initial Monthly Deposit]*Table9[[#This Row],[Inflation Modifier]]</f>
        <v>832.27403623600719</v>
      </c>
      <c r="M465">
        <f xml:space="preserve"> (1+Table7[Inflation])^(QUOTIENT(Table9[[#This Row],[Month]]-1,12))</f>
        <v>2.080685090590018</v>
      </c>
      <c r="N465">
        <f>N464*(1+Table7[Monthly SF Inter])+Table9[[#This Row],[Monthly Payment]]-O464*(1+Table7[Monthly SF Inter])</f>
        <v>25484.500576827024</v>
      </c>
      <c r="O465">
        <f>IF(MOD(Table9[[#This Row],[Month]],12)=0,(IF(Table9[[#This Row],[Current Balance]]&lt;Table9[[#This Row],[Max Lump Sum ]],Table9[[#This Row],[Current Balance]],Table9[[#This Row],[Max Lump Sum ]])),0)</f>
        <v>0</v>
      </c>
      <c r="P465" s="21">
        <f>Table7[Max annual lump sum repayment]*SUM(C466:C477)</f>
        <v>7880.3958913442566</v>
      </c>
      <c r="Q465" s="25">
        <f>Q464*(1+Table7[Monthly SF Inter])+Table9[[#This Row],[Inflation Modifier]]-R464*(1+Table7[Monthly SF Inter])</f>
        <v>21.197253591937567</v>
      </c>
      <c r="R465" s="25">
        <f>IF(MOD(Table9[[#This Row],[Month]],12)=0,Table9[[#This Row],[Q2 ACC FACTOR]],0)</f>
        <v>0</v>
      </c>
      <c r="S465" s="25">
        <f>S464*(1+D464)+Table9[[#This Row],[ACC FACTOR PAYMENTS]]</f>
        <v>2108.5568107414456</v>
      </c>
    </row>
    <row r="466" spans="1:19" x14ac:dyDescent="0.25">
      <c r="A466" s="1">
        <v>454</v>
      </c>
      <c r="B466" s="1">
        <f t="shared" si="7"/>
        <v>0</v>
      </c>
      <c r="C466" s="7">
        <f>G$12/-PV(Table7[Monthly mortgage rate], (12*Table7[Amortization period (yrs)]),1 )</f>
        <v>4377.9977174134756</v>
      </c>
      <c r="D466" s="11">
        <f>IF(Table1[[#This Row],[Month]]&lt;=(12*Table7[mortgage term (yrs)]),Table7[Monthly mortgage rate],Table7[Monthly Exp Renewal Rate])</f>
        <v>4.9038466830562122E-3</v>
      </c>
      <c r="E466" s="21">
        <f>Table1[[#This Row],[Current mortgage rate]]*G465</f>
        <v>-9158.7278802735036</v>
      </c>
      <c r="F466" s="5">
        <f>Table1[[#This Row],[Payment amount]]-Table1[[#This Row],[Interest paid]]</f>
        <v>13536.725597686978</v>
      </c>
      <c r="G466" s="20">
        <f>G465-Table1[[#This Row],[Principal repaid]]-Table1[[#This Row],[Annual paym]]</f>
        <v>-1881198.6800219091</v>
      </c>
      <c r="H466" s="20">
        <f>H465-(Table1[[#This Row],[Payment amount]]-Table1[[#This Row],[Interest Paid W/O LSP]])</f>
        <v>-1054860.6236626268</v>
      </c>
      <c r="I466">
        <f>H465*Table1[[#This Row],[Current mortgage rate]]</f>
        <v>-5126.2673118957146</v>
      </c>
      <c r="J466" s="25">
        <f>IF(Table1[[#This Row],[Month]]&gt;Table7[Amortization period (yrs)]*12,0,IF(Table1[[#This Row],[Month]]&lt;Table7[mortgage term (yrs)]*12,0,IF(Table1[[#This Row],[Month]]=Table7[mortgage term (yrs)]*12,-H$5,Table1[[#This Row],[Payment amount]]+B466)))</f>
        <v>0</v>
      </c>
      <c r="K466">
        <v>455</v>
      </c>
      <c r="L466">
        <f>Table7[Initial Monthly Deposit]*Table9[[#This Row],[Inflation Modifier]]</f>
        <v>832.27403623600719</v>
      </c>
      <c r="M466">
        <f xml:space="preserve"> (1+Table7[Inflation])^(QUOTIENT(Table9[[#This Row],[Month]]-1,12))</f>
        <v>2.080685090590018</v>
      </c>
      <c r="N466">
        <f>N465*(1+Table7[Monthly SF Inter])+Table9[[#This Row],[Monthly Payment]]-O465*(1+Table7[Monthly SF Inter])</f>
        <v>26421.870539113283</v>
      </c>
      <c r="O466">
        <f>IF(MOD(Table9[[#This Row],[Month]],12)=0,(IF(Table9[[#This Row],[Current Balance]]&lt;Table9[[#This Row],[Max Lump Sum ]],Table9[[#This Row],[Current Balance]],Table9[[#This Row],[Max Lump Sum ]])),0)</f>
        <v>0</v>
      </c>
      <c r="P466" s="21">
        <f>Table7[Max annual lump sum repayment]*SUM(C467:C478)</f>
        <v>7880.3958913442566</v>
      </c>
      <c r="Q466" s="25">
        <f>Q465*(1+Table7[Monthly SF Inter])+Table9[[#This Row],[Inflation Modifier]]-R465*(1+Table7[Monthly SF Inter])</f>
        <v>23.365354364433962</v>
      </c>
      <c r="R466" s="25">
        <f>IF(MOD(Table9[[#This Row],[Month]],12)=0,Table9[[#This Row],[Q2 ACC FACTOR]],0)</f>
        <v>0</v>
      </c>
      <c r="S466" s="25">
        <f>S465*(1+D465)+Table9[[#This Row],[ACC FACTOR PAYMENTS]]</f>
        <v>2118.8968500638357</v>
      </c>
    </row>
    <row r="467" spans="1:19" x14ac:dyDescent="0.25">
      <c r="A467" s="1">
        <v>455</v>
      </c>
      <c r="B467" s="1">
        <f t="shared" si="7"/>
        <v>0</v>
      </c>
      <c r="C467" s="7">
        <f>G$12/-PV(Table7[Monthly mortgage rate], (12*Table7[Amortization period (yrs)]),1 )</f>
        <v>4377.9977174134756</v>
      </c>
      <c r="D467" s="11">
        <f>IF(Table1[[#This Row],[Month]]&lt;=(12*Table7[mortgage term (yrs)]),Table7[Monthly mortgage rate],Table7[Monthly Exp Renewal Rate])</f>
        <v>4.9038466830562122E-3</v>
      </c>
      <c r="E467" s="21">
        <f>Table1[[#This Row],[Current mortgage rate]]*G466</f>
        <v>-9225.109907195163</v>
      </c>
      <c r="F467" s="5">
        <f>Table1[[#This Row],[Payment amount]]-Table1[[#This Row],[Interest paid]]</f>
        <v>13603.107624608638</v>
      </c>
      <c r="G467" s="20">
        <f>G466-Table1[[#This Row],[Principal repaid]]-Table1[[#This Row],[Annual paym]]</f>
        <v>-1894801.7876465176</v>
      </c>
      <c r="H467" s="20">
        <f>H466-(Table1[[#This Row],[Payment amount]]-Table1[[#This Row],[Interest Paid W/O LSP]])</f>
        <v>-1064411.496150475</v>
      </c>
      <c r="I467">
        <f>H466*Table1[[#This Row],[Current mortgage rate]]</f>
        <v>-5172.8747704345797</v>
      </c>
      <c r="J467" s="25">
        <f>IF(Table1[[#This Row],[Month]]&gt;Table7[Amortization period (yrs)]*12,0,IF(Table1[[#This Row],[Month]]&lt;Table7[mortgage term (yrs)]*12,0,IF(Table1[[#This Row],[Month]]=Table7[mortgage term (yrs)]*12,-H$5,Table1[[#This Row],[Payment amount]]+B467)))</f>
        <v>0</v>
      </c>
      <c r="K467">
        <v>456</v>
      </c>
      <c r="L467">
        <f>Table7[Initial Monthly Deposit]*Table9[[#This Row],[Inflation Modifier]]</f>
        <v>832.27403623600719</v>
      </c>
      <c r="M467">
        <f xml:space="preserve"> (1+Table7[Inflation])^(QUOTIENT(Table9[[#This Row],[Month]]-1,12))</f>
        <v>2.080685090590018</v>
      </c>
      <c r="N467">
        <f>N466*(1+Table7[Monthly SF Inter])+Table9[[#This Row],[Monthly Payment]]-O466*(1+Table7[Monthly SF Inter])</f>
        <v>27363.106135883576</v>
      </c>
      <c r="O467">
        <f>IF(MOD(Table9[[#This Row],[Month]],12)=0,(IF(Table9[[#This Row],[Current Balance]]&lt;Table9[[#This Row],[Max Lump Sum ]],Table9[[#This Row],[Current Balance]],Table9[[#This Row],[Max Lump Sum ]])),0)</f>
        <v>7880.3958913442566</v>
      </c>
      <c r="P467" s="21">
        <f>Table7[Max annual lump sum repayment]*SUM(C468:C479)</f>
        <v>7880.3958913442566</v>
      </c>
      <c r="Q467" s="25">
        <f>Q466*(1+Table7[Monthly SF Inter])+Table9[[#This Row],[Inflation Modifier]]-R466*(1+Table7[Monthly SF Inter])</f>
        <v>25.542396201236045</v>
      </c>
      <c r="R467" s="25">
        <f>IF(MOD(Table9[[#This Row],[Month]],12)=0,Table9[[#This Row],[Q2 ACC FACTOR]],0)</f>
        <v>25.542396201236045</v>
      </c>
      <c r="S467" s="25">
        <f>S466*(1+D466)+Table9[[#This Row],[ACC FACTOR PAYMENTS]]</f>
        <v>2154.8299915549956</v>
      </c>
    </row>
    <row r="468" spans="1:19" x14ac:dyDescent="0.25">
      <c r="A468" s="1">
        <v>456</v>
      </c>
      <c r="B468" s="1">
        <f t="shared" si="7"/>
        <v>7880.3958913442566</v>
      </c>
      <c r="C468" s="7">
        <f>G$12/-PV(Table7[Monthly mortgage rate], (12*Table7[Amortization period (yrs)]),1 )</f>
        <v>4377.9977174134756</v>
      </c>
      <c r="D468" s="11">
        <f>IF(Table1[[#This Row],[Month]]&lt;=(12*Table7[mortgage term (yrs)]),Table7[Monthly mortgage rate],Table7[Monthly Exp Renewal Rate])</f>
        <v>4.9038466830562122E-3</v>
      </c>
      <c r="E468" s="21">
        <f>Table1[[#This Row],[Current mortgage rate]]*G467</f>
        <v>-9291.817461399356</v>
      </c>
      <c r="F468" s="5">
        <f>Table1[[#This Row],[Payment amount]]-Table1[[#This Row],[Interest paid]]</f>
        <v>13669.815178812831</v>
      </c>
      <c r="G468" s="20">
        <f>G467-Table1[[#This Row],[Principal repaid]]-Table1[[#This Row],[Annual paym]]</f>
        <v>-1916351.9987166747</v>
      </c>
      <c r="H468" s="20">
        <f>H467-(Table1[[#This Row],[Payment amount]]-Table1[[#This Row],[Interest Paid W/O LSP]])</f>
        <v>-1074009.2046526929</v>
      </c>
      <c r="I468">
        <f>H467*Table1[[#This Row],[Current mortgage rate]]</f>
        <v>-5219.710784804407</v>
      </c>
      <c r="J468" s="25">
        <f>IF(Table1[[#This Row],[Month]]&gt;Table7[Amortization period (yrs)]*12,0,IF(Table1[[#This Row],[Month]]&lt;Table7[mortgage term (yrs)]*12,0,IF(Table1[[#This Row],[Month]]=Table7[mortgage term (yrs)]*12,-H$5,Table1[[#This Row],[Payment amount]]+B468)))</f>
        <v>0</v>
      </c>
      <c r="K468">
        <v>457</v>
      </c>
      <c r="L468">
        <f>Table7[Initial Monthly Deposit]*Table9[[#This Row],[Inflation Modifier]]</f>
        <v>848.91951696072749</v>
      </c>
      <c r="M468">
        <f xml:space="preserve"> (1+Table7[Inflation])^(QUOTIENT(Table9[[#This Row],[Month]]-1,12))</f>
        <v>2.1222987924018186</v>
      </c>
      <c r="N468">
        <f>N467*(1+Table7[Monthly SF Inter])+Table9[[#This Row],[Monthly Payment]]-O467*(1+Table7[Monthly SF Inter])</f>
        <v>20411.974811580425</v>
      </c>
      <c r="O468">
        <f>IF(MOD(Table9[[#This Row],[Month]],12)=0,(IF(Table9[[#This Row],[Current Balance]]&lt;Table9[[#This Row],[Max Lump Sum ]],Table9[[#This Row],[Current Balance]],Table9[[#This Row],[Max Lump Sum ]])),0)</f>
        <v>0</v>
      </c>
      <c r="P468" s="21">
        <f>Table7[Max annual lump sum repayment]*SUM(C469:C480)</f>
        <v>7880.3958913442566</v>
      </c>
      <c r="Q468" s="25">
        <f>Q467*(1+Table7[Monthly SF Inter])+Table9[[#This Row],[Inflation Modifier]]-R467*(1+Table7[Monthly SF Inter])</f>
        <v>2.1222987924018177</v>
      </c>
      <c r="R468" s="25">
        <f>IF(MOD(Table9[[#This Row],[Month]],12)=0,Table9[[#This Row],[Q2 ACC FACTOR]],0)</f>
        <v>0</v>
      </c>
      <c r="S468" s="25">
        <f>S467*(1+D467)+Table9[[#This Row],[ACC FACTOR PAYMENTS]]</f>
        <v>2165.3969474616324</v>
      </c>
    </row>
    <row r="469" spans="1:19" x14ac:dyDescent="0.25">
      <c r="A469" s="1">
        <v>457</v>
      </c>
      <c r="B469" s="1">
        <f t="shared" si="7"/>
        <v>0</v>
      </c>
      <c r="C469" s="7">
        <f>G$12/-PV(Table7[Monthly mortgage rate], (12*Table7[Amortization period (yrs)]),1 )</f>
        <v>4377.9977174134756</v>
      </c>
      <c r="D469" s="11">
        <f>IF(Table1[[#This Row],[Month]]&lt;=(12*Table7[mortgage term (yrs)]),Table7[Monthly mortgage rate],Table7[Monthly Exp Renewal Rate])</f>
        <v>4.9038466830562122E-3</v>
      </c>
      <c r="E469" s="21">
        <f>Table1[[#This Row],[Current mortgage rate]]*G468</f>
        <v>-9397.4963924749081</v>
      </c>
      <c r="F469" s="5">
        <f>Table1[[#This Row],[Payment amount]]-Table1[[#This Row],[Interest paid]]</f>
        <v>13775.494109888383</v>
      </c>
      <c r="G469" s="20">
        <f>G468-Table1[[#This Row],[Principal repaid]]-Table1[[#This Row],[Annual paym]]</f>
        <v>-1930127.4928265631</v>
      </c>
      <c r="H469" s="20">
        <f>H468-(Table1[[#This Row],[Payment amount]]-Table1[[#This Row],[Interest Paid W/O LSP]])</f>
        <v>-1083653.9788459144</v>
      </c>
      <c r="I469">
        <f>H468*Table1[[#This Row],[Current mortgage rate]]</f>
        <v>-5266.7764758079484</v>
      </c>
      <c r="J469" s="25">
        <f>IF(Table1[[#This Row],[Month]]&gt;Table7[Amortization period (yrs)]*12,0,IF(Table1[[#This Row],[Month]]&lt;Table7[mortgage term (yrs)]*12,0,IF(Table1[[#This Row],[Month]]=Table7[mortgage term (yrs)]*12,-H$5,Table1[[#This Row],[Payment amount]]+B469)))</f>
        <v>0</v>
      </c>
      <c r="K469">
        <v>458</v>
      </c>
      <c r="L469">
        <f>Table7[Initial Monthly Deposit]*Table9[[#This Row],[Inflation Modifier]]</f>
        <v>848.91951696072749</v>
      </c>
      <c r="M469">
        <f xml:space="preserve"> (1+Table7[Inflation])^(QUOTIENT(Table9[[#This Row],[Month]]-1,12))</f>
        <v>2.1222987924018186</v>
      </c>
      <c r="N469">
        <f>N468*(1+Table7[Monthly SF Inter])+Table9[[#This Row],[Monthly Payment]]-O468*(1+Table7[Monthly SF Inter])</f>
        <v>21345.071587140763</v>
      </c>
      <c r="O469">
        <f>IF(MOD(Table9[[#This Row],[Month]],12)=0,(IF(Table9[[#This Row],[Current Balance]]&lt;Table9[[#This Row],[Max Lump Sum ]],Table9[[#This Row],[Current Balance]],Table9[[#This Row],[Max Lump Sum ]])),0)</f>
        <v>0</v>
      </c>
      <c r="P469" s="21">
        <f>Table7[Max annual lump sum repayment]*SUM(C470:C481)</f>
        <v>7880.3958913442566</v>
      </c>
      <c r="Q469" s="25">
        <f>Q468*(1+Table7[Monthly SF Inter])+Table9[[#This Row],[Inflation Modifier]]-R468*(1+Table7[Monthly SF Inter])</f>
        <v>4.2533497656152797</v>
      </c>
      <c r="R469" s="25">
        <f>IF(MOD(Table9[[#This Row],[Month]],12)=0,Table9[[#This Row],[Q2 ACC FACTOR]],0)</f>
        <v>0</v>
      </c>
      <c r="S469" s="25">
        <f>S468*(1+D468)+Table9[[#This Row],[ACC FACTOR PAYMENTS]]</f>
        <v>2176.0157220999422</v>
      </c>
    </row>
    <row r="470" spans="1:19" x14ac:dyDescent="0.25">
      <c r="A470" s="1">
        <v>458</v>
      </c>
      <c r="B470" s="1">
        <f t="shared" si="7"/>
        <v>0</v>
      </c>
      <c r="C470" s="7">
        <f>G$12/-PV(Table7[Monthly mortgage rate], (12*Table7[Amortization period (yrs)]),1 )</f>
        <v>4377.9977174134756</v>
      </c>
      <c r="D470" s="11">
        <f>IF(Table1[[#This Row],[Month]]&lt;=(12*Table7[mortgage term (yrs)]),Table7[Monthly mortgage rate],Table7[Monthly Exp Renewal Rate])</f>
        <v>4.9038466830562122E-3</v>
      </c>
      <c r="E470" s="21">
        <f>Table1[[#This Row],[Current mortgage rate]]*G469</f>
        <v>-9465.0493035731452</v>
      </c>
      <c r="F470" s="5">
        <f>Table1[[#This Row],[Payment amount]]-Table1[[#This Row],[Interest paid]]</f>
        <v>13843.047020986622</v>
      </c>
      <c r="G470" s="20">
        <f>G469-Table1[[#This Row],[Principal repaid]]-Table1[[#This Row],[Annual paym]]</f>
        <v>-1943970.5398475497</v>
      </c>
      <c r="H470" s="20">
        <f>H469-(Table1[[#This Row],[Payment amount]]-Table1[[#This Row],[Interest Paid W/O LSP]])</f>
        <v>-1093346.0495330719</v>
      </c>
      <c r="I470">
        <f>H469*Table1[[#This Row],[Current mortgage rate]]</f>
        <v>-5314.0729697442039</v>
      </c>
      <c r="J470" s="25">
        <f>IF(Table1[[#This Row],[Month]]&gt;Table7[Amortization period (yrs)]*12,0,IF(Table1[[#This Row],[Month]]&lt;Table7[mortgage term (yrs)]*12,0,IF(Table1[[#This Row],[Month]]=Table7[mortgage term (yrs)]*12,-H$5,Table1[[#This Row],[Payment amount]]+B470)))</f>
        <v>0</v>
      </c>
      <c r="K470">
        <v>459</v>
      </c>
      <c r="L470">
        <f>Table7[Initial Monthly Deposit]*Table9[[#This Row],[Inflation Modifier]]</f>
        <v>848.91951696072749</v>
      </c>
      <c r="M470">
        <f xml:space="preserve"> (1+Table7[Inflation])^(QUOTIENT(Table9[[#This Row],[Month]]-1,12))</f>
        <v>2.1222987924018186</v>
      </c>
      <c r="N470">
        <f>N469*(1+Table7[Monthly SF Inter])+Table9[[#This Row],[Monthly Payment]]-O469*(1+Table7[Monthly SF Inter])</f>
        <v>22282.016374924311</v>
      </c>
      <c r="O470">
        <f>IF(MOD(Table9[[#This Row],[Month]],12)=0,(IF(Table9[[#This Row],[Current Balance]]&lt;Table9[[#This Row],[Max Lump Sum ]],Table9[[#This Row],[Current Balance]],Table9[[#This Row],[Max Lump Sum ]])),0)</f>
        <v>0</v>
      </c>
      <c r="P470" s="21">
        <f>Table7[Max annual lump sum repayment]*SUM(C471:C482)</f>
        <v>7880.3958913442566</v>
      </c>
      <c r="Q470" s="25">
        <f>Q469*(1+Table7[Monthly SF Inter])+Table9[[#This Row],[Inflation Modifier]]-R469*(1+Table7[Monthly SF Inter])</f>
        <v>6.3931890128941866</v>
      </c>
      <c r="R470" s="25">
        <f>IF(MOD(Table9[[#This Row],[Month]],12)=0,Table9[[#This Row],[Q2 ACC FACTOR]],0)</f>
        <v>0</v>
      </c>
      <c r="S470" s="25">
        <f>S469*(1+D469)+Table9[[#This Row],[ACC FACTOR PAYMENTS]]</f>
        <v>2186.6865695810402</v>
      </c>
    </row>
    <row r="471" spans="1:19" x14ac:dyDescent="0.25">
      <c r="A471" s="1">
        <v>459</v>
      </c>
      <c r="B471" s="1">
        <f t="shared" si="7"/>
        <v>0</v>
      </c>
      <c r="C471" s="7">
        <f>G$12/-PV(Table7[Monthly mortgage rate], (12*Table7[Amortization period (yrs)]),1 )</f>
        <v>4377.9977174134756</v>
      </c>
      <c r="D471" s="11">
        <f>IF(Table1[[#This Row],[Month]]&lt;=(12*Table7[mortgage term (yrs)]),Table7[Monthly mortgage rate],Table7[Monthly Exp Renewal Rate])</f>
        <v>4.9038466830562122E-3</v>
      </c>
      <c r="E471" s="21">
        <f>Table1[[#This Row],[Current mortgage rate]]*G470</f>
        <v>-9532.9334837904007</v>
      </c>
      <c r="F471" s="5">
        <f>Table1[[#This Row],[Payment amount]]-Table1[[#This Row],[Interest paid]]</f>
        <v>13910.931201203875</v>
      </c>
      <c r="G471" s="20">
        <f>G470-Table1[[#This Row],[Principal repaid]]-Table1[[#This Row],[Annual paym]]</f>
        <v>-1957881.4710487537</v>
      </c>
      <c r="H471" s="20">
        <f>H470-(Table1[[#This Row],[Payment amount]]-Table1[[#This Row],[Interest Paid W/O LSP]])</f>
        <v>-1103085.6486489207</v>
      </c>
      <c r="I471">
        <f>H470*Table1[[#This Row],[Current mortgage rate]]</f>
        <v>-5361.6013984353676</v>
      </c>
      <c r="J471" s="25">
        <f>IF(Table1[[#This Row],[Month]]&gt;Table7[Amortization period (yrs)]*12,0,IF(Table1[[#This Row],[Month]]&lt;Table7[mortgage term (yrs)]*12,0,IF(Table1[[#This Row],[Month]]=Table7[mortgage term (yrs)]*12,-H$5,Table1[[#This Row],[Payment amount]]+B471)))</f>
        <v>0</v>
      </c>
      <c r="K471">
        <v>460</v>
      </c>
      <c r="L471">
        <f>Table7[Initial Monthly Deposit]*Table9[[#This Row],[Inflation Modifier]]</f>
        <v>848.91951696072749</v>
      </c>
      <c r="M471">
        <f xml:space="preserve"> (1+Table7[Inflation])^(QUOTIENT(Table9[[#This Row],[Month]]-1,12))</f>
        <v>2.1222987924018186</v>
      </c>
      <c r="N471">
        <f>N470*(1+Table7[Monthly SF Inter])+Table9[[#This Row],[Monthly Payment]]-O470*(1+Table7[Monthly SF Inter])</f>
        <v>23222.825043808185</v>
      </c>
      <c r="O471">
        <f>IF(MOD(Table9[[#This Row],[Month]],12)=0,(IF(Table9[[#This Row],[Current Balance]]&lt;Table9[[#This Row],[Max Lump Sum ]],Table9[[#This Row],[Current Balance]],Table9[[#This Row],[Max Lump Sum ]])),0)</f>
        <v>0</v>
      </c>
      <c r="P471" s="21">
        <f>Table7[Max annual lump sum repayment]*SUM(C472:C483)</f>
        <v>7880.3958913442566</v>
      </c>
      <c r="Q471" s="25">
        <f>Q470*(1+Table7[Monthly SF Inter])+Table9[[#This Row],[Inflation Modifier]]-R470*(1+Table7[Monthly SF Inter])</f>
        <v>8.5418527763378691</v>
      </c>
      <c r="R471" s="25">
        <f>IF(MOD(Table9[[#This Row],[Month]],12)=0,Table9[[#This Row],[Q2 ACC FACTOR]],0)</f>
        <v>0</v>
      </c>
      <c r="S471" s="25">
        <f>S470*(1+D470)+Table9[[#This Row],[ACC FACTOR PAYMENTS]]</f>
        <v>2197.4097452621636</v>
      </c>
    </row>
    <row r="472" spans="1:19" x14ac:dyDescent="0.25">
      <c r="A472" s="1">
        <v>460</v>
      </c>
      <c r="B472" s="1">
        <f t="shared" si="7"/>
        <v>0</v>
      </c>
      <c r="C472" s="7">
        <f>G$12/-PV(Table7[Monthly mortgage rate], (12*Table7[Amortization period (yrs)]),1 )</f>
        <v>4377.9977174134756</v>
      </c>
      <c r="D472" s="11">
        <f>IF(Table1[[#This Row],[Month]]&lt;=(12*Table7[mortgage term (yrs)]),Table7[Monthly mortgage rate],Table7[Monthly Exp Renewal Rate])</f>
        <v>4.9038466830562122E-3</v>
      </c>
      <c r="E472" s="21">
        <f>Table1[[#This Row],[Current mortgage rate]]*G471</f>
        <v>-9601.1505576196487</v>
      </c>
      <c r="F472" s="5">
        <f>Table1[[#This Row],[Payment amount]]-Table1[[#This Row],[Interest paid]]</f>
        <v>13979.148275033123</v>
      </c>
      <c r="G472" s="20">
        <f>G471-Table1[[#This Row],[Principal repaid]]-Table1[[#This Row],[Annual paym]]</f>
        <v>-1971860.6193237868</v>
      </c>
      <c r="H472" s="20">
        <f>H471-(Table1[[#This Row],[Payment amount]]-Table1[[#This Row],[Interest Paid W/O LSP]])</f>
        <v>-1112873.0092655881</v>
      </c>
      <c r="I472">
        <f>H471*Table1[[#This Row],[Current mortgage rate]]</f>
        <v>-5409.3628992539197</v>
      </c>
      <c r="J472" s="25">
        <f>IF(Table1[[#This Row],[Month]]&gt;Table7[Amortization period (yrs)]*12,0,IF(Table1[[#This Row],[Month]]&lt;Table7[mortgage term (yrs)]*12,0,IF(Table1[[#This Row],[Month]]=Table7[mortgage term (yrs)]*12,-H$5,Table1[[#This Row],[Payment amount]]+B472)))</f>
        <v>0</v>
      </c>
      <c r="K472">
        <v>461</v>
      </c>
      <c r="L472">
        <f>Table7[Initial Monthly Deposit]*Table9[[#This Row],[Inflation Modifier]]</f>
        <v>848.91951696072749</v>
      </c>
      <c r="M472">
        <f xml:space="preserve"> (1+Table7[Inflation])^(QUOTIENT(Table9[[#This Row],[Month]]-1,12))</f>
        <v>2.1222987924018186</v>
      </c>
      <c r="N472">
        <f>N471*(1+Table7[Monthly SF Inter])+Table9[[#This Row],[Monthly Payment]]-O471*(1+Table7[Monthly SF Inter])</f>
        <v>24167.513528111413</v>
      </c>
      <c r="O472">
        <f>IF(MOD(Table9[[#This Row],[Month]],12)=0,(IF(Table9[[#This Row],[Current Balance]]&lt;Table9[[#This Row],[Max Lump Sum ]],Table9[[#This Row],[Current Balance]],Table9[[#This Row],[Max Lump Sum ]])),0)</f>
        <v>0</v>
      </c>
      <c r="P472" s="21">
        <f>Table7[Max annual lump sum repayment]*SUM(C473:C484)</f>
        <v>7880.3958913442566</v>
      </c>
      <c r="Q472" s="25">
        <f>Q471*(1+Table7[Monthly SF Inter])+Table9[[#This Row],[Inflation Modifier]]-R471*(1+Table7[Monthly SF Inter])</f>
        <v>10.699377447505011</v>
      </c>
      <c r="R472" s="25">
        <f>IF(MOD(Table9[[#This Row],[Month]],12)=0,Table9[[#This Row],[Q2 ACC FACTOR]],0)</f>
        <v>0</v>
      </c>
      <c r="S472" s="25">
        <f>S471*(1+D471)+Table9[[#This Row],[ACC FACTOR PAYMENTS]]</f>
        <v>2208.1855057527828</v>
      </c>
    </row>
    <row r="473" spans="1:19" x14ac:dyDescent="0.25">
      <c r="A473" s="1">
        <v>461</v>
      </c>
      <c r="B473" s="1">
        <f t="shared" si="7"/>
        <v>0</v>
      </c>
      <c r="C473" s="7">
        <f>G$12/-PV(Table7[Monthly mortgage rate], (12*Table7[Amortization period (yrs)]),1 )</f>
        <v>4377.9977174134756</v>
      </c>
      <c r="D473" s="11">
        <f>IF(Table1[[#This Row],[Month]]&lt;=(12*Table7[mortgage term (yrs)]),Table7[Monthly mortgage rate],Table7[Monthly Exp Renewal Rate])</f>
        <v>4.9038466830562122E-3</v>
      </c>
      <c r="E473" s="21">
        <f>Table1[[#This Row],[Current mortgage rate]]*G472</f>
        <v>-9669.7021575201197</v>
      </c>
      <c r="F473" s="5">
        <f>Table1[[#This Row],[Payment amount]]-Table1[[#This Row],[Interest paid]]</f>
        <v>14047.699874933594</v>
      </c>
      <c r="G473" s="20">
        <f>G472-Table1[[#This Row],[Principal repaid]]-Table1[[#This Row],[Annual paym]]</f>
        <v>-1985908.3191987204</v>
      </c>
      <c r="H473" s="20">
        <f>H472-(Table1[[#This Row],[Payment amount]]-Table1[[#This Row],[Interest Paid W/O LSP]])</f>
        <v>-1122708.3655981515</v>
      </c>
      <c r="I473">
        <f>H472*Table1[[#This Row],[Current mortgage rate]]</f>
        <v>-5457.3586151498394</v>
      </c>
      <c r="J473" s="25">
        <f>IF(Table1[[#This Row],[Month]]&gt;Table7[Amortization period (yrs)]*12,0,IF(Table1[[#This Row],[Month]]&lt;Table7[mortgage term (yrs)]*12,0,IF(Table1[[#This Row],[Month]]=Table7[mortgage term (yrs)]*12,-H$5,Table1[[#This Row],[Payment amount]]+B473)))</f>
        <v>0</v>
      </c>
      <c r="K473">
        <v>462</v>
      </c>
      <c r="L473">
        <f>Table7[Initial Monthly Deposit]*Table9[[#This Row],[Inflation Modifier]]</f>
        <v>848.91951696072749</v>
      </c>
      <c r="M473">
        <f xml:space="preserve"> (1+Table7[Inflation])^(QUOTIENT(Table9[[#This Row],[Month]]-1,12))</f>
        <v>2.1222987924018186</v>
      </c>
      <c r="N473">
        <f>N472*(1+Table7[Monthly SF Inter])+Table9[[#This Row],[Monthly Payment]]-O472*(1+Table7[Monthly SF Inter])</f>
        <v>25116.0978278648</v>
      </c>
      <c r="O473">
        <f>IF(MOD(Table9[[#This Row],[Month]],12)=0,(IF(Table9[[#This Row],[Current Balance]]&lt;Table9[[#This Row],[Max Lump Sum ]],Table9[[#This Row],[Current Balance]],Table9[[#This Row],[Max Lump Sum ]])),0)</f>
        <v>0</v>
      </c>
      <c r="P473" s="21">
        <f>Table7[Max annual lump sum repayment]*SUM(C474:C485)</f>
        <v>7880.3958913442566</v>
      </c>
      <c r="Q473" s="25">
        <f>Q472*(1+Table7[Monthly SF Inter])+Table9[[#This Row],[Inflation Modifier]]-R472*(1+Table7[Monthly SF Inter])</f>
        <v>12.86579956803001</v>
      </c>
      <c r="R473" s="25">
        <f>IF(MOD(Table9[[#This Row],[Month]],12)=0,Table9[[#This Row],[Q2 ACC FACTOR]],0)</f>
        <v>0</v>
      </c>
      <c r="S473" s="25">
        <f>S472*(1+D472)+Table9[[#This Row],[ACC FACTOR PAYMENTS]]</f>
        <v>2219.0141089207414</v>
      </c>
    </row>
    <row r="474" spans="1:19" x14ac:dyDescent="0.25">
      <c r="A474" s="1">
        <v>462</v>
      </c>
      <c r="B474" s="1">
        <f t="shared" si="7"/>
        <v>0</v>
      </c>
      <c r="C474" s="7">
        <f>G$12/-PV(Table7[Monthly mortgage rate], (12*Table7[Amortization period (yrs)]),1 )</f>
        <v>4377.9977174134756</v>
      </c>
      <c r="D474" s="11">
        <f>IF(Table1[[#This Row],[Month]]&lt;=(12*Table7[mortgage term (yrs)]),Table7[Monthly mortgage rate],Table7[Monthly Exp Renewal Rate])</f>
        <v>4.9038466830562122E-3</v>
      </c>
      <c r="E474" s="21">
        <f>Table1[[#This Row],[Current mortgage rate]]*G473</f>
        <v>-9738.5899239563823</v>
      </c>
      <c r="F474" s="5">
        <f>Table1[[#This Row],[Payment amount]]-Table1[[#This Row],[Interest paid]]</f>
        <v>14116.587641369857</v>
      </c>
      <c r="G474" s="20">
        <f>G473-Table1[[#This Row],[Principal repaid]]-Table1[[#This Row],[Annual paym]]</f>
        <v>-2000024.9068400902</v>
      </c>
      <c r="H474" s="20">
        <f>H473-(Table1[[#This Row],[Payment amount]]-Table1[[#This Row],[Interest Paid W/O LSP]])</f>
        <v>-1132591.9530102429</v>
      </c>
      <c r="I474">
        <f>H473*Table1[[#This Row],[Current mortgage rate]]</f>
        <v>-5505.5896946779567</v>
      </c>
      <c r="J474" s="25">
        <f>IF(Table1[[#This Row],[Month]]&gt;Table7[Amortization period (yrs)]*12,0,IF(Table1[[#This Row],[Month]]&lt;Table7[mortgage term (yrs)]*12,0,IF(Table1[[#This Row],[Month]]=Table7[mortgage term (yrs)]*12,-H$5,Table1[[#This Row],[Payment amount]]+B474)))</f>
        <v>0</v>
      </c>
      <c r="K474">
        <v>463</v>
      </c>
      <c r="L474">
        <f>Table7[Initial Monthly Deposit]*Table9[[#This Row],[Inflation Modifier]]</f>
        <v>848.91951696072749</v>
      </c>
      <c r="M474">
        <f xml:space="preserve"> (1+Table7[Inflation])^(QUOTIENT(Table9[[#This Row],[Month]]-1,12))</f>
        <v>2.1222987924018186</v>
      </c>
      <c r="N474">
        <f>N473*(1+Table7[Monthly SF Inter])+Table9[[#This Row],[Monthly Payment]]-O473*(1+Table7[Monthly SF Inter])</f>
        <v>26068.594009081935</v>
      </c>
      <c r="O474">
        <f>IF(MOD(Table9[[#This Row],[Month]],12)=0,(IF(Table9[[#This Row],[Current Balance]]&lt;Table9[[#This Row],[Max Lump Sum ]],Table9[[#This Row],[Current Balance]],Table9[[#This Row],[Max Lump Sum ]])),0)</f>
        <v>0</v>
      </c>
      <c r="P474" s="21">
        <f>Table7[Max annual lump sum repayment]*SUM(C475:C486)</f>
        <v>7880.3958913442566</v>
      </c>
      <c r="Q474" s="25">
        <f>Q473*(1+Table7[Monthly SF Inter])+Table9[[#This Row],[Inflation Modifier]]-R473*(1+Table7[Monthly SF Inter])</f>
        <v>15.041155830241873</v>
      </c>
      <c r="R474" s="25">
        <f>IF(MOD(Table9[[#This Row],[Month]],12)=0,Table9[[#This Row],[Q2 ACC FACTOR]],0)</f>
        <v>0</v>
      </c>
      <c r="S474" s="25">
        <f>S473*(1+D473)+Table9[[#This Row],[ACC FACTOR PAYMENTS]]</f>
        <v>2229.8958138984271</v>
      </c>
    </row>
    <row r="475" spans="1:19" x14ac:dyDescent="0.25">
      <c r="A475" s="1">
        <v>463</v>
      </c>
      <c r="B475" s="1">
        <f t="shared" si="7"/>
        <v>0</v>
      </c>
      <c r="C475" s="7">
        <f>G$12/-PV(Table7[Monthly mortgage rate], (12*Table7[Amortization period (yrs)]),1 )</f>
        <v>4377.9977174134756</v>
      </c>
      <c r="D475" s="11">
        <f>IF(Table1[[#This Row],[Month]]&lt;=(12*Table7[mortgage term (yrs)]),Table7[Monthly mortgage rate],Table7[Monthly Exp Renewal Rate])</f>
        <v>4.9038466830562122E-3</v>
      </c>
      <c r="E475" s="21">
        <f>Table1[[#This Row],[Current mortgage rate]]*G474</f>
        <v>-9807.8155054375857</v>
      </c>
      <c r="F475" s="5">
        <f>Table1[[#This Row],[Payment amount]]-Table1[[#This Row],[Interest paid]]</f>
        <v>14185.813222851062</v>
      </c>
      <c r="G475" s="20">
        <f>G474-Table1[[#This Row],[Principal repaid]]-Table1[[#This Row],[Annual paym]]</f>
        <v>-2014210.7200629413</v>
      </c>
      <c r="H475" s="20">
        <f>H474-(Table1[[#This Row],[Payment amount]]-Table1[[#This Row],[Interest Paid W/O LSP]])</f>
        <v>-1142524.0080196818</v>
      </c>
      <c r="I475">
        <f>H474*Table1[[#This Row],[Current mortgage rate]]</f>
        <v>-5554.0572920254372</v>
      </c>
      <c r="J475" s="25">
        <f>IF(Table1[[#This Row],[Month]]&gt;Table7[Amortization period (yrs)]*12,0,IF(Table1[[#This Row],[Month]]&lt;Table7[mortgage term (yrs)]*12,0,IF(Table1[[#This Row],[Month]]=Table7[mortgage term (yrs)]*12,-H$5,Table1[[#This Row],[Payment amount]]+B475)))</f>
        <v>0</v>
      </c>
      <c r="K475">
        <v>464</v>
      </c>
      <c r="L475">
        <f>Table7[Initial Monthly Deposit]*Table9[[#This Row],[Inflation Modifier]]</f>
        <v>848.91951696072749</v>
      </c>
      <c r="M475">
        <f xml:space="preserve"> (1+Table7[Inflation])^(QUOTIENT(Table9[[#This Row],[Month]]-1,12))</f>
        <v>2.1222987924018186</v>
      </c>
      <c r="N475">
        <f>N474*(1+Table7[Monthly SF Inter])+Table9[[#This Row],[Monthly Payment]]-O474*(1+Table7[Monthly SF Inter])</f>
        <v>27025.018204031279</v>
      </c>
      <c r="O475">
        <f>IF(MOD(Table9[[#This Row],[Month]],12)=0,(IF(Table9[[#This Row],[Current Balance]]&lt;Table9[[#This Row],[Max Lump Sum ]],Table9[[#This Row],[Current Balance]],Table9[[#This Row],[Max Lump Sum ]])),0)</f>
        <v>0</v>
      </c>
      <c r="P475" s="21">
        <f>Table7[Max annual lump sum repayment]*SUM(C476:C487)</f>
        <v>7880.3958913442566</v>
      </c>
      <c r="Q475" s="25">
        <f>Q474*(1+Table7[Monthly SF Inter])+Table9[[#This Row],[Inflation Modifier]]-R474*(1+Table7[Monthly SF Inter])</f>
        <v>17.225483077785672</v>
      </c>
      <c r="R475" s="25">
        <f>IF(MOD(Table9[[#This Row],[Month]],12)=0,Table9[[#This Row],[Q2 ACC FACTOR]],0)</f>
        <v>0</v>
      </c>
      <c r="S475" s="25">
        <f>S474*(1+D474)+Table9[[#This Row],[ACC FACTOR PAYMENTS]]</f>
        <v>2240.8308810889739</v>
      </c>
    </row>
    <row r="476" spans="1:19" x14ac:dyDescent="0.25">
      <c r="A476" s="1">
        <v>464</v>
      </c>
      <c r="B476" s="1">
        <f t="shared" si="7"/>
        <v>0</v>
      </c>
      <c r="C476" s="7">
        <f>G$12/-PV(Table7[Monthly mortgage rate], (12*Table7[Amortization period (yrs)]),1 )</f>
        <v>4377.9977174134756</v>
      </c>
      <c r="D476" s="11">
        <f>IF(Table1[[#This Row],[Month]]&lt;=(12*Table7[mortgage term (yrs)]),Table7[Monthly mortgage rate],Table7[Monthly Exp Renewal Rate])</f>
        <v>4.9038466830562122E-3</v>
      </c>
      <c r="E476" s="21">
        <f>Table1[[#This Row],[Current mortgage rate]]*G475</f>
        <v>-9877.3805585569189</v>
      </c>
      <c r="F476" s="5">
        <f>Table1[[#This Row],[Payment amount]]-Table1[[#This Row],[Interest paid]]</f>
        <v>14255.378275970394</v>
      </c>
      <c r="G476" s="20">
        <f>G475-Table1[[#This Row],[Principal repaid]]-Table1[[#This Row],[Annual paym]]</f>
        <v>-2028466.0983389118</v>
      </c>
      <c r="H476" s="20">
        <f>H475-(Table1[[#This Row],[Payment amount]]-Table1[[#This Row],[Interest Paid W/O LSP]])</f>
        <v>-1152504.7683041347</v>
      </c>
      <c r="I476">
        <f>H475*Table1[[#This Row],[Current mortgage rate]]</f>
        <v>-5602.7625670394054</v>
      </c>
      <c r="J476" s="25">
        <f>IF(Table1[[#This Row],[Month]]&gt;Table7[Amortization period (yrs)]*12,0,IF(Table1[[#This Row],[Month]]&lt;Table7[mortgage term (yrs)]*12,0,IF(Table1[[#This Row],[Month]]=Table7[mortgage term (yrs)]*12,-H$5,Table1[[#This Row],[Payment amount]]+B476)))</f>
        <v>0</v>
      </c>
      <c r="K476">
        <v>465</v>
      </c>
      <c r="L476">
        <f>Table7[Initial Monthly Deposit]*Table9[[#This Row],[Inflation Modifier]]</f>
        <v>848.91951696072749</v>
      </c>
      <c r="M476">
        <f xml:space="preserve"> (1+Table7[Inflation])^(QUOTIENT(Table9[[#This Row],[Month]]-1,12))</f>
        <v>2.1222987924018186</v>
      </c>
      <c r="N476">
        <f>N475*(1+Table7[Monthly SF Inter])+Table9[[#This Row],[Monthly Payment]]-O475*(1+Table7[Monthly SF Inter])</f>
        <v>27985.386611509413</v>
      </c>
      <c r="O476">
        <f>IF(MOD(Table9[[#This Row],[Month]],12)=0,(IF(Table9[[#This Row],[Current Balance]]&lt;Table9[[#This Row],[Max Lump Sum ]],Table9[[#This Row],[Current Balance]],Table9[[#This Row],[Max Lump Sum ]])),0)</f>
        <v>0</v>
      </c>
      <c r="P476" s="21">
        <f>Table7[Max annual lump sum repayment]*SUM(C477:C488)</f>
        <v>7880.3958913442566</v>
      </c>
      <c r="Q476" s="25">
        <f>Q475*(1+Table7[Monthly SF Inter])+Table9[[#This Row],[Inflation Modifier]]-R475*(1+Table7[Monthly SF Inter])</f>
        <v>19.41881830624655</v>
      </c>
      <c r="R476" s="25">
        <f>IF(MOD(Table9[[#This Row],[Month]],12)=0,Table9[[#This Row],[Q2 ACC FACTOR]],0)</f>
        <v>0</v>
      </c>
      <c r="S476" s="25">
        <f>S475*(1+D475)+Table9[[#This Row],[ACC FACTOR PAYMENTS]]</f>
        <v>2251.8195721724919</v>
      </c>
    </row>
    <row r="477" spans="1:19" x14ac:dyDescent="0.25">
      <c r="A477" s="1">
        <v>465</v>
      </c>
      <c r="B477" s="1">
        <f t="shared" si="7"/>
        <v>0</v>
      </c>
      <c r="C477" s="7">
        <f>G$12/-PV(Table7[Monthly mortgage rate], (12*Table7[Amortization period (yrs)]),1 )</f>
        <v>4377.9977174134756</v>
      </c>
      <c r="D477" s="11">
        <f>IF(Table1[[#This Row],[Month]]&lt;=(12*Table7[mortgage term (yrs)]),Table7[Monthly mortgage rate],Table7[Monthly Exp Renewal Rate])</f>
        <v>4.9038466830562122E-3</v>
      </c>
      <c r="E477" s="21">
        <f>Table1[[#This Row],[Current mortgage rate]]*G476</f>
        <v>-9947.2867480312489</v>
      </c>
      <c r="F477" s="5">
        <f>Table1[[#This Row],[Payment amount]]-Table1[[#This Row],[Interest paid]]</f>
        <v>14325.284465444725</v>
      </c>
      <c r="G477" s="20">
        <f>G476-Table1[[#This Row],[Principal repaid]]-Table1[[#This Row],[Annual paym]]</f>
        <v>-2042791.3828043565</v>
      </c>
      <c r="H477" s="20">
        <f>H476-(Table1[[#This Row],[Payment amount]]-Table1[[#This Row],[Interest Paid W/O LSP]])</f>
        <v>-1162534.4727068029</v>
      </c>
      <c r="I477">
        <f>H476*Table1[[#This Row],[Current mortgage rate]]</f>
        <v>-5651.7066852546996</v>
      </c>
      <c r="J477" s="25">
        <f>IF(Table1[[#This Row],[Month]]&gt;Table7[Amortization period (yrs)]*12,0,IF(Table1[[#This Row],[Month]]&lt;Table7[mortgage term (yrs)]*12,0,IF(Table1[[#This Row],[Month]]=Table7[mortgage term (yrs)]*12,-H$5,Table1[[#This Row],[Payment amount]]+B477)))</f>
        <v>0</v>
      </c>
      <c r="K477">
        <v>466</v>
      </c>
      <c r="L477">
        <f>Table7[Initial Monthly Deposit]*Table9[[#This Row],[Inflation Modifier]]</f>
        <v>848.91951696072749</v>
      </c>
      <c r="M477">
        <f xml:space="preserve"> (1+Table7[Inflation])^(QUOTIENT(Table9[[#This Row],[Month]]-1,12))</f>
        <v>2.1222987924018186</v>
      </c>
      <c r="N477">
        <f>N476*(1+Table7[Monthly SF Inter])+Table9[[#This Row],[Monthly Payment]]-O476*(1+Table7[Monthly SF Inter])</f>
        <v>28949.715497115383</v>
      </c>
      <c r="O477">
        <f>IF(MOD(Table9[[#This Row],[Month]],12)=0,(IF(Table9[[#This Row],[Current Balance]]&lt;Table9[[#This Row],[Max Lump Sum ]],Table9[[#This Row],[Current Balance]],Table9[[#This Row],[Max Lump Sum ]])),0)</f>
        <v>0</v>
      </c>
      <c r="P477" s="21">
        <f>Table7[Max annual lump sum repayment]*SUM(C478:C489)</f>
        <v>7880.3958913442566</v>
      </c>
      <c r="Q477" s="25">
        <f>Q476*(1+Table7[Monthly SF Inter])+Table9[[#This Row],[Inflation Modifier]]-R476*(1+Table7[Monthly SF Inter])</f>
        <v>21.621198663776322</v>
      </c>
      <c r="R477" s="25">
        <f>IF(MOD(Table9[[#This Row],[Month]],12)=0,Table9[[#This Row],[Q2 ACC FACTOR]],0)</f>
        <v>0</v>
      </c>
      <c r="S477" s="25">
        <f>S476*(1+D476)+Table9[[#This Row],[ACC FACTOR PAYMENTS]]</f>
        <v>2262.8621501123312</v>
      </c>
    </row>
    <row r="478" spans="1:19" x14ac:dyDescent="0.25">
      <c r="A478" s="1">
        <v>466</v>
      </c>
      <c r="B478" s="1">
        <f t="shared" si="7"/>
        <v>0</v>
      </c>
      <c r="C478" s="7">
        <f>G$12/-PV(Table7[Monthly mortgage rate], (12*Table7[Amortization period (yrs)]),1 )</f>
        <v>4377.9977174134756</v>
      </c>
      <c r="D478" s="11">
        <f>IF(Table1[[#This Row],[Month]]&lt;=(12*Table7[mortgage term (yrs)]),Table7[Monthly mortgage rate],Table7[Monthly Exp Renewal Rate])</f>
        <v>4.9038466830562122E-3</v>
      </c>
      <c r="E478" s="21">
        <f>Table1[[#This Row],[Current mortgage rate]]*G477</f>
        <v>-10017.535746740956</v>
      </c>
      <c r="F478" s="5">
        <f>Table1[[#This Row],[Payment amount]]-Table1[[#This Row],[Interest paid]]</f>
        <v>14395.533464154432</v>
      </c>
      <c r="G478" s="20">
        <f>G477-Table1[[#This Row],[Principal repaid]]-Table1[[#This Row],[Annual paym]]</f>
        <v>-2057186.916268511</v>
      </c>
      <c r="H478" s="20">
        <f>H477-(Table1[[#This Row],[Payment amount]]-Table1[[#This Row],[Interest Paid W/O LSP]])</f>
        <v>-1172613.3612421381</v>
      </c>
      <c r="I478">
        <f>H477*Table1[[#This Row],[Current mortgage rate]]</f>
        <v>-5700.8908179217578</v>
      </c>
      <c r="J478" s="25">
        <f>IF(Table1[[#This Row],[Month]]&gt;Table7[Amortization period (yrs)]*12,0,IF(Table1[[#This Row],[Month]]&lt;Table7[mortgage term (yrs)]*12,0,IF(Table1[[#This Row],[Month]]=Table7[mortgage term (yrs)]*12,-H$5,Table1[[#This Row],[Payment amount]]+B478)))</f>
        <v>0</v>
      </c>
      <c r="K478">
        <v>467</v>
      </c>
      <c r="L478">
        <f>Table7[Initial Monthly Deposit]*Table9[[#This Row],[Inflation Modifier]]</f>
        <v>848.91951696072749</v>
      </c>
      <c r="M478">
        <f xml:space="preserve"> (1+Table7[Inflation])^(QUOTIENT(Table9[[#This Row],[Month]]-1,12))</f>
        <v>2.1222987924018186</v>
      </c>
      <c r="N478">
        <f>N477*(1+Table7[Monthly SF Inter])+Table9[[#This Row],[Monthly Payment]]-O477*(1+Table7[Monthly SF Inter])</f>
        <v>29918.02119352619</v>
      </c>
      <c r="O478">
        <f>IF(MOD(Table9[[#This Row],[Month]],12)=0,(IF(Table9[[#This Row],[Current Balance]]&lt;Table9[[#This Row],[Max Lump Sum ]],Table9[[#This Row],[Current Balance]],Table9[[#This Row],[Max Lump Sum ]])),0)</f>
        <v>0</v>
      </c>
      <c r="P478" s="21">
        <f>Table7[Max annual lump sum repayment]*SUM(C479:C490)</f>
        <v>7880.3958913442566</v>
      </c>
      <c r="Q478" s="25">
        <f>Q477*(1+Table7[Monthly SF Inter])+Table9[[#This Row],[Inflation Modifier]]-R477*(1+Table7[Monthly SF Inter])</f>
        <v>23.832661451722643</v>
      </c>
      <c r="R478" s="25">
        <f>IF(MOD(Table9[[#This Row],[Month]],12)=0,Table9[[#This Row],[Q2 ACC FACTOR]],0)</f>
        <v>0</v>
      </c>
      <c r="S478" s="25">
        <f>S477*(1+D477)+Table9[[#This Row],[ACC FACTOR PAYMENTS]]</f>
        <v>2273.9588791613728</v>
      </c>
    </row>
    <row r="479" spans="1:19" x14ac:dyDescent="0.25">
      <c r="A479" s="1">
        <v>467</v>
      </c>
      <c r="B479" s="1">
        <f t="shared" si="7"/>
        <v>0</v>
      </c>
      <c r="C479" s="7">
        <f>G$12/-PV(Table7[Monthly mortgage rate], (12*Table7[Amortization period (yrs)]),1 )</f>
        <v>4377.9977174134756</v>
      </c>
      <c r="D479" s="11">
        <f>IF(Table1[[#This Row],[Month]]&lt;=(12*Table7[mortgage term (yrs)]),Table7[Monthly mortgage rate],Table7[Monthly Exp Renewal Rate])</f>
        <v>4.9038466830562122E-3</v>
      </c>
      <c r="E479" s="21">
        <f>Table1[[#This Row],[Current mortgage rate]]*G478</f>
        <v>-10088.129235769975</v>
      </c>
      <c r="F479" s="5">
        <f>Table1[[#This Row],[Payment amount]]-Table1[[#This Row],[Interest paid]]</f>
        <v>14466.126953183451</v>
      </c>
      <c r="G479" s="20">
        <f>G478-Table1[[#This Row],[Principal repaid]]-Table1[[#This Row],[Annual paym]]</f>
        <v>-2071653.0432216944</v>
      </c>
      <c r="H479" s="20">
        <f>H478-(Table1[[#This Row],[Payment amount]]-Table1[[#This Row],[Interest Paid W/O LSP]])</f>
        <v>-1182741.6751015862</v>
      </c>
      <c r="I479">
        <f>H478*Table1[[#This Row],[Current mortgage rate]]</f>
        <v>-5750.3161420346551</v>
      </c>
      <c r="J479" s="25">
        <f>IF(Table1[[#This Row],[Month]]&gt;Table7[Amortization period (yrs)]*12,0,IF(Table1[[#This Row],[Month]]&lt;Table7[mortgage term (yrs)]*12,0,IF(Table1[[#This Row],[Month]]=Table7[mortgage term (yrs)]*12,-H$5,Table1[[#This Row],[Payment amount]]+B479)))</f>
        <v>0</v>
      </c>
      <c r="K479">
        <v>468</v>
      </c>
      <c r="L479">
        <f>Table7[Initial Monthly Deposit]*Table9[[#This Row],[Inflation Modifier]]</f>
        <v>848.91951696072749</v>
      </c>
      <c r="M479">
        <f xml:space="preserve"> (1+Table7[Inflation])^(QUOTIENT(Table9[[#This Row],[Month]]-1,12))</f>
        <v>2.1222987924018186</v>
      </c>
      <c r="N479">
        <f>N478*(1+Table7[Monthly SF Inter])+Table9[[#This Row],[Monthly Payment]]-O478*(1+Table7[Monthly SF Inter])</f>
        <v>30890.320100773413</v>
      </c>
      <c r="O479">
        <f>IF(MOD(Table9[[#This Row],[Month]],12)=0,(IF(Table9[[#This Row],[Current Balance]]&lt;Table9[[#This Row],[Max Lump Sum ]],Table9[[#This Row],[Current Balance]],Table9[[#This Row],[Max Lump Sum ]])),0)</f>
        <v>7880.3958913442566</v>
      </c>
      <c r="P479" s="21">
        <f>Table7[Max annual lump sum repayment]*SUM(C480:C491)</f>
        <v>7880.3958913442566</v>
      </c>
      <c r="Q479" s="25">
        <f>Q478*(1+Table7[Monthly SF Inter])+Table9[[#This Row],[Inflation Modifier]]-R478*(1+Table7[Monthly SF Inter])</f>
        <v>26.053244125260768</v>
      </c>
      <c r="R479" s="25">
        <f>IF(MOD(Table9[[#This Row],[Month]],12)=0,Table9[[#This Row],[Q2 ACC FACTOR]],0)</f>
        <v>26.053244125260768</v>
      </c>
      <c r="S479" s="25">
        <f>S478*(1+D478)+Table9[[#This Row],[ACC FACTOR PAYMENTS]]</f>
        <v>2311.1632689936155</v>
      </c>
    </row>
    <row r="480" spans="1:19" x14ac:dyDescent="0.25">
      <c r="A480" s="1">
        <v>468</v>
      </c>
      <c r="B480" s="1">
        <f t="shared" si="7"/>
        <v>7880.3958913442566</v>
      </c>
      <c r="C480" s="7">
        <f>G$12/-PV(Table7[Monthly mortgage rate], (12*Table7[Amortization period (yrs)]),1 )</f>
        <v>4377.9977174134756</v>
      </c>
      <c r="D480" s="11">
        <f>IF(Table1[[#This Row],[Month]]&lt;=(12*Table7[mortgage term (yrs)]),Table7[Monthly mortgage rate],Table7[Monthly Exp Renewal Rate])</f>
        <v>4.9038466830562122E-3</v>
      </c>
      <c r="E480" s="21">
        <f>Table1[[#This Row],[Current mortgage rate]]*G479</f>
        <v>-10159.068904446014</v>
      </c>
      <c r="F480" s="5">
        <f>Table1[[#This Row],[Payment amount]]-Table1[[#This Row],[Interest paid]]</f>
        <v>14537.066621859489</v>
      </c>
      <c r="G480" s="20">
        <f>G479-Table1[[#This Row],[Principal repaid]]-Table1[[#This Row],[Annual paym]]</f>
        <v>-2094070.5057348981</v>
      </c>
      <c r="H480" s="20">
        <f>H479-(Table1[[#This Row],[Payment amount]]-Table1[[#This Row],[Interest Paid W/O LSP]])</f>
        <v>-1192919.6566593589</v>
      </c>
      <c r="I480">
        <f>H479*Table1[[#This Row],[Current mortgage rate]]</f>
        <v>-5799.9838403592612</v>
      </c>
      <c r="J480" s="25">
        <f>IF(Table1[[#This Row],[Month]]&gt;Table7[Amortization period (yrs)]*12,0,IF(Table1[[#This Row],[Month]]&lt;Table7[mortgage term (yrs)]*12,0,IF(Table1[[#This Row],[Month]]=Table7[mortgage term (yrs)]*12,-H$5,Table1[[#This Row],[Payment amount]]+B480)))</f>
        <v>0</v>
      </c>
      <c r="K480">
        <v>469</v>
      </c>
      <c r="L480">
        <f>Table7[Initial Monthly Deposit]*Table9[[#This Row],[Inflation Modifier]]</f>
        <v>865.89790729994172</v>
      </c>
      <c r="M480">
        <f xml:space="preserve"> (1+Table7[Inflation])^(QUOTIENT(Table9[[#This Row],[Month]]-1,12))</f>
        <v>2.1647447682498542</v>
      </c>
      <c r="N480">
        <f>N479*(1+Table7[Monthly SF Inter])+Table9[[#This Row],[Monthly Payment]]-O479*(1+Table7[Monthly SF Inter])</f>
        <v>23970.713099028162</v>
      </c>
      <c r="O480">
        <f>IF(MOD(Table9[[#This Row],[Month]],12)=0,(IF(Table9[[#This Row],[Current Balance]]&lt;Table9[[#This Row],[Max Lump Sum ]],Table9[[#This Row],[Current Balance]],Table9[[#This Row],[Max Lump Sum ]])),0)</f>
        <v>0</v>
      </c>
      <c r="P480" s="21">
        <f>Table7[Max annual lump sum repayment]*SUM(C481:C492)</f>
        <v>7880.3958913442566</v>
      </c>
      <c r="Q480" s="25">
        <f>Q479*(1+Table7[Monthly SF Inter])+Table9[[#This Row],[Inflation Modifier]]-R479*(1+Table7[Monthly SF Inter])</f>
        <v>2.1647447682498537</v>
      </c>
      <c r="R480" s="25">
        <f>IF(MOD(Table9[[#This Row],[Month]],12)=0,Table9[[#This Row],[Q2 ACC FACTOR]],0)</f>
        <v>0</v>
      </c>
      <c r="S480" s="25">
        <f>S479*(1+D479)+Table9[[#This Row],[ACC FACTOR PAYMENTS]]</f>
        <v>2322.4968593242711</v>
      </c>
    </row>
    <row r="481" spans="1:19" x14ac:dyDescent="0.25">
      <c r="A481" s="1">
        <v>469</v>
      </c>
      <c r="B481" s="1">
        <f t="shared" si="7"/>
        <v>0</v>
      </c>
      <c r="C481" s="7">
        <f>G$12/-PV(Table7[Monthly mortgage rate], (12*Table7[Amortization period (yrs)]),1 )</f>
        <v>4377.9977174134756</v>
      </c>
      <c r="D481" s="11">
        <f>IF(Table1[[#This Row],[Month]]&lt;=(12*Table7[mortgage term (yrs)]),Table7[Monthly mortgage rate],Table7[Monthly Exp Renewal Rate])</f>
        <v>4.9038466830562122E-3</v>
      </c>
      <c r="E481" s="21">
        <f>Table1[[#This Row],[Current mortgage rate]]*G480</f>
        <v>-10269.000703633925</v>
      </c>
      <c r="F481" s="5">
        <f>Table1[[#This Row],[Payment amount]]-Table1[[#This Row],[Interest paid]]</f>
        <v>14646.998421047399</v>
      </c>
      <c r="G481" s="20">
        <f>G480-Table1[[#This Row],[Principal repaid]]-Table1[[#This Row],[Annual paym]]</f>
        <v>-2108717.5041559455</v>
      </c>
      <c r="H481" s="20">
        <f>H480-(Table1[[#This Row],[Payment amount]]-Table1[[#This Row],[Interest Paid W/O LSP]])</f>
        <v>-1203147.5494782338</v>
      </c>
      <c r="I481">
        <f>H480*Table1[[#This Row],[Current mortgage rate]]</f>
        <v>-5849.8951014615523</v>
      </c>
      <c r="J481" s="25">
        <f>IF(Table1[[#This Row],[Month]]&gt;Table7[Amortization period (yrs)]*12,0,IF(Table1[[#This Row],[Month]]&lt;Table7[mortgage term (yrs)]*12,0,IF(Table1[[#This Row],[Month]]=Table7[mortgage term (yrs)]*12,-H$5,Table1[[#This Row],[Payment amount]]+B481)))</f>
        <v>0</v>
      </c>
      <c r="K481">
        <v>470</v>
      </c>
      <c r="L481">
        <f>Table7[Initial Monthly Deposit]*Table9[[#This Row],[Inflation Modifier]]</f>
        <v>865.89790729994172</v>
      </c>
      <c r="M481">
        <f xml:space="preserve"> (1+Table7[Inflation])^(QUOTIENT(Table9[[#This Row],[Month]]-1,12))</f>
        <v>2.1647447682498542</v>
      </c>
      <c r="N481">
        <f>N480*(1+Table7[Monthly SF Inter])+Table9[[#This Row],[Monthly Payment]]-O480*(1+Table7[Monthly SF Inter])</f>
        <v>24935.464200787723</v>
      </c>
      <c r="O481">
        <f>IF(MOD(Table9[[#This Row],[Month]],12)=0,(IF(Table9[[#This Row],[Current Balance]]&lt;Table9[[#This Row],[Max Lump Sum ]],Table9[[#This Row],[Current Balance]],Table9[[#This Row],[Max Lump Sum ]])),0)</f>
        <v>0</v>
      </c>
      <c r="P481" s="21">
        <f>Table7[Max annual lump sum repayment]*SUM(C482:C493)</f>
        <v>7880.3958913442566</v>
      </c>
      <c r="Q481" s="25">
        <f>Q480*(1+Table7[Monthly SF Inter])+Table9[[#This Row],[Inflation Modifier]]-R480*(1+Table7[Monthly SF Inter])</f>
        <v>4.3384167609275837</v>
      </c>
      <c r="R481" s="25">
        <f>IF(MOD(Table9[[#This Row],[Month]],12)=0,Table9[[#This Row],[Q2 ACC FACTOR]],0)</f>
        <v>0</v>
      </c>
      <c r="S481" s="25">
        <f>S480*(1+D480)+Table9[[#This Row],[ACC FACTOR PAYMENTS]]</f>
        <v>2333.8860278442771</v>
      </c>
    </row>
    <row r="482" spans="1:19" x14ac:dyDescent="0.25">
      <c r="A482" s="1">
        <v>470</v>
      </c>
      <c r="B482" s="1">
        <f t="shared" si="7"/>
        <v>0</v>
      </c>
      <c r="C482" s="7">
        <f>G$12/-PV(Table7[Monthly mortgage rate], (12*Table7[Amortization period (yrs)]),1 )</f>
        <v>4377.9977174134756</v>
      </c>
      <c r="D482" s="11">
        <f>IF(Table1[[#This Row],[Month]]&lt;=(12*Table7[mortgage term (yrs)]),Table7[Monthly mortgage rate],Table7[Monthly Exp Renewal Rate])</f>
        <v>4.9038466830562122E-3</v>
      </c>
      <c r="E482" s="21">
        <f>Table1[[#This Row],[Current mortgage rate]]*G481</f>
        <v>-10340.827338257708</v>
      </c>
      <c r="F482" s="5">
        <f>Table1[[#This Row],[Payment amount]]-Table1[[#This Row],[Interest paid]]</f>
        <v>14718.825055671183</v>
      </c>
      <c r="G482" s="20">
        <f>G481-Table1[[#This Row],[Principal repaid]]-Table1[[#This Row],[Annual paym]]</f>
        <v>-2123436.3292116169</v>
      </c>
      <c r="H482" s="20">
        <f>H481-(Table1[[#This Row],[Payment amount]]-Table1[[#This Row],[Interest Paid W/O LSP]])</f>
        <v>-1213425.5983153833</v>
      </c>
      <c r="I482">
        <f>H481*Table1[[#This Row],[Current mortgage rate]]</f>
        <v>-5900.0511197360465</v>
      </c>
      <c r="J482" s="25">
        <f>IF(Table1[[#This Row],[Month]]&gt;Table7[Amortization period (yrs)]*12,0,IF(Table1[[#This Row],[Month]]&lt;Table7[mortgage term (yrs)]*12,0,IF(Table1[[#This Row],[Month]]=Table7[mortgage term (yrs)]*12,-H$5,Table1[[#This Row],[Payment amount]]+B482)))</f>
        <v>0</v>
      </c>
      <c r="K482">
        <v>471</v>
      </c>
      <c r="L482">
        <f>Table7[Initial Monthly Deposit]*Table9[[#This Row],[Inflation Modifier]]</f>
        <v>865.89790729994172</v>
      </c>
      <c r="M482">
        <f xml:space="preserve"> (1+Table7[Inflation])^(QUOTIENT(Table9[[#This Row],[Month]]-1,12))</f>
        <v>2.1647447682498542</v>
      </c>
      <c r="N482">
        <f>N481*(1+Table7[Monthly SF Inter])+Table9[[#This Row],[Monthly Payment]]-O481*(1+Table7[Monthly SF Inter])</f>
        <v>25904.193854535846</v>
      </c>
      <c r="O482">
        <f>IF(MOD(Table9[[#This Row],[Month]],12)=0,(IF(Table9[[#This Row],[Current Balance]]&lt;Table9[[#This Row],[Max Lump Sum ]],Table9[[#This Row],[Current Balance]],Table9[[#This Row],[Max Lump Sum ]])),0)</f>
        <v>0</v>
      </c>
      <c r="P482" s="21">
        <f>Table7[Max annual lump sum repayment]*SUM(C483:C494)</f>
        <v>7880.3958913442566</v>
      </c>
      <c r="Q482" s="25">
        <f>Q481*(1+Table7[Monthly SF Inter])+Table9[[#This Row],[Inflation Modifier]]-R481*(1+Table7[Monthly SF Inter])</f>
        <v>6.5210527931520677</v>
      </c>
      <c r="R482" s="25">
        <f>IF(MOD(Table9[[#This Row],[Month]],12)=0,Table9[[#This Row],[Q2 ACC FACTOR]],0)</f>
        <v>0</v>
      </c>
      <c r="S482" s="25">
        <f>S481*(1+D481)+Table9[[#This Row],[ACC FACTOR PAYMENTS]]</f>
        <v>2345.3310471005525</v>
      </c>
    </row>
    <row r="483" spans="1:19" x14ac:dyDescent="0.25">
      <c r="A483" s="1">
        <v>471</v>
      </c>
      <c r="B483" s="1">
        <f t="shared" si="7"/>
        <v>0</v>
      </c>
      <c r="C483" s="7">
        <f>G$12/-PV(Table7[Monthly mortgage rate], (12*Table7[Amortization period (yrs)]),1 )</f>
        <v>4377.9977174134756</v>
      </c>
      <c r="D483" s="11">
        <f>IF(Table1[[#This Row],[Month]]&lt;=(12*Table7[mortgage term (yrs)]),Table7[Monthly mortgage rate],Table7[Monthly Exp Renewal Rate])</f>
        <v>4.9038466830562122E-3</v>
      </c>
      <c r="E483" s="21">
        <f>Table1[[#This Row],[Current mortgage rate]]*G482</f>
        <v>-10413.006199685446</v>
      </c>
      <c r="F483" s="5">
        <f>Table1[[#This Row],[Payment amount]]-Table1[[#This Row],[Interest paid]]</f>
        <v>14791.003917098922</v>
      </c>
      <c r="G483" s="20">
        <f>G482-Table1[[#This Row],[Principal repaid]]-Table1[[#This Row],[Annual paym]]</f>
        <v>-2138227.3331287159</v>
      </c>
      <c r="H483" s="20">
        <f>H482-(Table1[[#This Row],[Payment amount]]-Table1[[#This Row],[Interest Paid W/O LSP]])</f>
        <v>-1223754.0491282311</v>
      </c>
      <c r="I483">
        <f>H482*Table1[[#This Row],[Current mortgage rate]]</f>
        <v>-5950.4530954343918</v>
      </c>
      <c r="J483" s="25">
        <f>IF(Table1[[#This Row],[Month]]&gt;Table7[Amortization period (yrs)]*12,0,IF(Table1[[#This Row],[Month]]&lt;Table7[mortgage term (yrs)]*12,0,IF(Table1[[#This Row],[Month]]=Table7[mortgage term (yrs)]*12,-H$5,Table1[[#This Row],[Payment amount]]+B483)))</f>
        <v>0</v>
      </c>
      <c r="K483">
        <v>472</v>
      </c>
      <c r="L483">
        <f>Table7[Initial Monthly Deposit]*Table9[[#This Row],[Inflation Modifier]]</f>
        <v>865.89790729994172</v>
      </c>
      <c r="M483">
        <f xml:space="preserve"> (1+Table7[Inflation])^(QUOTIENT(Table9[[#This Row],[Month]]-1,12))</f>
        <v>2.1647447682498542</v>
      </c>
      <c r="N483">
        <f>N482*(1+Table7[Monthly SF Inter])+Table9[[#This Row],[Monthly Payment]]-O482*(1+Table7[Monthly SF Inter])</f>
        <v>26876.918467484604</v>
      </c>
      <c r="O483">
        <f>IF(MOD(Table9[[#This Row],[Month]],12)=0,(IF(Table9[[#This Row],[Current Balance]]&lt;Table9[[#This Row],[Max Lump Sum ]],Table9[[#This Row],[Current Balance]],Table9[[#This Row],[Max Lump Sum ]])),0)</f>
        <v>0</v>
      </c>
      <c r="P483" s="21">
        <f>Table7[Max annual lump sum repayment]*SUM(C484:C495)</f>
        <v>7880.3958913442566</v>
      </c>
      <c r="Q483" s="25">
        <f>Q482*(1+Table7[Monthly SF Inter])+Table9[[#This Row],[Inflation Modifier]]-R482*(1+Table7[Monthly SF Inter])</f>
        <v>8.7126898318646244</v>
      </c>
      <c r="R483" s="25">
        <f>IF(MOD(Table9[[#This Row],[Month]],12)=0,Table9[[#This Row],[Q2 ACC FACTOR]],0)</f>
        <v>0</v>
      </c>
      <c r="S483" s="25">
        <f>S482*(1+D482)+Table9[[#This Row],[ACC FACTOR PAYMENTS]]</f>
        <v>2356.8321909765455</v>
      </c>
    </row>
    <row r="484" spans="1:19" x14ac:dyDescent="0.25">
      <c r="A484" s="1">
        <v>472</v>
      </c>
      <c r="B484" s="1">
        <f t="shared" si="7"/>
        <v>0</v>
      </c>
      <c r="C484" s="7">
        <f>G$12/-PV(Table7[Monthly mortgage rate], (12*Table7[Amortization period (yrs)]),1 )</f>
        <v>4377.9977174134756</v>
      </c>
      <c r="D484" s="11">
        <f>IF(Table1[[#This Row],[Month]]&lt;=(12*Table7[mortgage term (yrs)]),Table7[Monthly mortgage rate],Table7[Monthly Exp Renewal Rate])</f>
        <v>4.9038466830562122E-3</v>
      </c>
      <c r="E484" s="21">
        <f>Table1[[#This Row],[Current mortgage rate]]*G483</f>
        <v>-10485.539015183384</v>
      </c>
      <c r="F484" s="5">
        <f>Table1[[#This Row],[Payment amount]]-Table1[[#This Row],[Interest paid]]</f>
        <v>14863.536732596858</v>
      </c>
      <c r="G484" s="20">
        <f>G483-Table1[[#This Row],[Principal repaid]]-Table1[[#This Row],[Annual paym]]</f>
        <v>-2153090.8698613127</v>
      </c>
      <c r="H484" s="20">
        <f>H483-(Table1[[#This Row],[Payment amount]]-Table1[[#This Row],[Interest Paid W/O LSP]])</f>
        <v>-1234133.1490803387</v>
      </c>
      <c r="I484">
        <f>H483*Table1[[#This Row],[Current mortgage rate]]</f>
        <v>-6001.1022346940854</v>
      </c>
      <c r="J484" s="25">
        <f>IF(Table1[[#This Row],[Month]]&gt;Table7[Amortization period (yrs)]*12,0,IF(Table1[[#This Row],[Month]]&lt;Table7[mortgage term (yrs)]*12,0,IF(Table1[[#This Row],[Month]]=Table7[mortgage term (yrs)]*12,-H$5,Table1[[#This Row],[Payment amount]]+B484)))</f>
        <v>0</v>
      </c>
      <c r="K484">
        <v>473</v>
      </c>
      <c r="L484">
        <f>Table7[Initial Monthly Deposit]*Table9[[#This Row],[Inflation Modifier]]</f>
        <v>865.89790729994172</v>
      </c>
      <c r="M484">
        <f xml:space="preserve"> (1+Table7[Inflation])^(QUOTIENT(Table9[[#This Row],[Month]]-1,12))</f>
        <v>2.1647447682498542</v>
      </c>
      <c r="N484">
        <f>N483*(1+Table7[Monthly SF Inter])+Table9[[#This Row],[Monthly Payment]]-O483*(1+Table7[Monthly SF Inter])</f>
        <v>27853.654514508027</v>
      </c>
      <c r="O484">
        <f>IF(MOD(Table9[[#This Row],[Month]],12)=0,(IF(Table9[[#This Row],[Current Balance]]&lt;Table9[[#This Row],[Max Lump Sum ]],Table9[[#This Row],[Current Balance]],Table9[[#This Row],[Max Lump Sum ]])),0)</f>
        <v>0</v>
      </c>
      <c r="P484" s="21">
        <f>Table7[Max annual lump sum repayment]*SUM(C485:C496)</f>
        <v>7880.3958913442566</v>
      </c>
      <c r="Q484" s="25">
        <f>Q483*(1+Table7[Monthly SF Inter])+Table9[[#This Row],[Inflation Modifier]]-R483*(1+Table7[Monthly SF Inter])</f>
        <v>10.91336499645511</v>
      </c>
      <c r="R484" s="25">
        <f>IF(MOD(Table9[[#This Row],[Month]],12)=0,Table9[[#This Row],[Q2 ACC FACTOR]],0)</f>
        <v>0</v>
      </c>
      <c r="S484" s="25">
        <f>S483*(1+D483)+Table9[[#This Row],[ACC FACTOR PAYMENTS]]</f>
        <v>2368.389734698786</v>
      </c>
    </row>
    <row r="485" spans="1:19" x14ac:dyDescent="0.25">
      <c r="A485" s="1">
        <v>473</v>
      </c>
      <c r="B485" s="1">
        <f t="shared" si="7"/>
        <v>0</v>
      </c>
      <c r="C485" s="7">
        <f>G$12/-PV(Table7[Monthly mortgage rate], (12*Table7[Amortization period (yrs)]),1 )</f>
        <v>4377.9977174134756</v>
      </c>
      <c r="D485" s="11">
        <f>IF(Table1[[#This Row],[Month]]&lt;=(12*Table7[mortgage term (yrs)]),Table7[Monthly mortgage rate],Table7[Monthly Exp Renewal Rate])</f>
        <v>4.9038466830562122E-3</v>
      </c>
      <c r="E485" s="21">
        <f>Table1[[#This Row],[Current mortgage rate]]*G484</f>
        <v>-10558.427520488012</v>
      </c>
      <c r="F485" s="5">
        <f>Table1[[#This Row],[Payment amount]]-Table1[[#This Row],[Interest paid]]</f>
        <v>14936.425237901487</v>
      </c>
      <c r="G485" s="20">
        <f>G484-Table1[[#This Row],[Principal repaid]]-Table1[[#This Row],[Annual paym]]</f>
        <v>-2168027.2950992142</v>
      </c>
      <c r="H485" s="20">
        <f>H484-(Table1[[#This Row],[Payment amount]]-Table1[[#This Row],[Interest Paid W/O LSP]])</f>
        <v>-1244563.1465473194</v>
      </c>
      <c r="I485">
        <f>H484*Table1[[#This Row],[Current mortgage rate]]</f>
        <v>-6051.9997495673369</v>
      </c>
      <c r="J485" s="25">
        <f>IF(Table1[[#This Row],[Month]]&gt;Table7[Amortization period (yrs)]*12,0,IF(Table1[[#This Row],[Month]]&lt;Table7[mortgage term (yrs)]*12,0,IF(Table1[[#This Row],[Month]]=Table7[mortgage term (yrs)]*12,-H$5,Table1[[#This Row],[Payment amount]]+B485)))</f>
        <v>0</v>
      </c>
      <c r="K485">
        <v>474</v>
      </c>
      <c r="L485">
        <f>Table7[Initial Monthly Deposit]*Table9[[#This Row],[Inflation Modifier]]</f>
        <v>865.89790729994172</v>
      </c>
      <c r="M485">
        <f xml:space="preserve"> (1+Table7[Inflation])^(QUOTIENT(Table9[[#This Row],[Month]]-1,12))</f>
        <v>2.1647447682498542</v>
      </c>
      <c r="N485">
        <f>N484*(1+Table7[Monthly SF Inter])+Table9[[#This Row],[Monthly Payment]]-O484*(1+Table7[Monthly SF Inter])</f>
        <v>28834.418538421134</v>
      </c>
      <c r="O485">
        <f>IF(MOD(Table9[[#This Row],[Month]],12)=0,(IF(Table9[[#This Row],[Current Balance]]&lt;Table9[[#This Row],[Max Lump Sum ]],Table9[[#This Row],[Current Balance]],Table9[[#This Row],[Max Lump Sum ]])),0)</f>
        <v>0</v>
      </c>
      <c r="P485" s="21">
        <f>Table7[Max annual lump sum repayment]*SUM(C486:C497)</f>
        <v>7880.3958913442566</v>
      </c>
      <c r="Q485" s="25">
        <f>Q484*(1+Table7[Monthly SF Inter])+Table9[[#This Row],[Inflation Modifier]]-R484*(1+Table7[Monthly SF Inter])</f>
        <v>13.123115559390609</v>
      </c>
      <c r="R485" s="25">
        <f>IF(MOD(Table9[[#This Row],[Month]],12)=0,Table9[[#This Row],[Q2 ACC FACTOR]],0)</f>
        <v>0</v>
      </c>
      <c r="S485" s="25">
        <f>S484*(1+D484)+Table9[[#This Row],[ACC FACTOR PAYMENTS]]</f>
        <v>2380.0039548434729</v>
      </c>
    </row>
    <row r="486" spans="1:19" x14ac:dyDescent="0.25">
      <c r="A486" s="1">
        <v>474</v>
      </c>
      <c r="B486" s="1">
        <f t="shared" si="7"/>
        <v>0</v>
      </c>
      <c r="C486" s="7">
        <f>G$12/-PV(Table7[Monthly mortgage rate], (12*Table7[Amortization period (yrs)]),1 )</f>
        <v>4377.9977174134756</v>
      </c>
      <c r="D486" s="11">
        <f>IF(Table1[[#This Row],[Month]]&lt;=(12*Table7[mortgage term (yrs)]),Table7[Monthly mortgage rate],Table7[Monthly Exp Renewal Rate])</f>
        <v>4.9038466830562122E-3</v>
      </c>
      <c r="E486" s="21">
        <f>Table1[[#This Row],[Current mortgage rate]]*G485</f>
        <v>-10631.673459847612</v>
      </c>
      <c r="F486" s="5">
        <f>Table1[[#This Row],[Payment amount]]-Table1[[#This Row],[Interest paid]]</f>
        <v>15009.671177261087</v>
      </c>
      <c r="G486" s="20">
        <f>G485-Table1[[#This Row],[Principal repaid]]-Table1[[#This Row],[Annual paym]]</f>
        <v>-2183036.9662764752</v>
      </c>
      <c r="H486" s="20">
        <f>H485-(Table1[[#This Row],[Payment amount]]-Table1[[#This Row],[Interest Paid W/O LSP]])</f>
        <v>-1255044.291122783</v>
      </c>
      <c r="I486">
        <f>H485*Table1[[#This Row],[Current mortgage rate]]</f>
        <v>-6103.146858050075</v>
      </c>
      <c r="J486" s="25">
        <f>IF(Table1[[#This Row],[Month]]&gt;Table7[Amortization period (yrs)]*12,0,IF(Table1[[#This Row],[Month]]&lt;Table7[mortgage term (yrs)]*12,0,IF(Table1[[#This Row],[Month]]=Table7[mortgage term (yrs)]*12,-H$5,Table1[[#This Row],[Payment amount]]+B486)))</f>
        <v>0</v>
      </c>
      <c r="K486">
        <v>475</v>
      </c>
      <c r="L486">
        <f>Table7[Initial Monthly Deposit]*Table9[[#This Row],[Inflation Modifier]]</f>
        <v>865.89790729994172</v>
      </c>
      <c r="M486">
        <f xml:space="preserve"> (1+Table7[Inflation])^(QUOTIENT(Table9[[#This Row],[Month]]-1,12))</f>
        <v>2.1647447682498542</v>
      </c>
      <c r="N486">
        <f>N485*(1+Table7[Monthly SF Inter])+Table9[[#This Row],[Monthly Payment]]-O485*(1+Table7[Monthly SF Inter])</f>
        <v>29819.227150260114</v>
      </c>
      <c r="O486">
        <f>IF(MOD(Table9[[#This Row],[Month]],12)=0,(IF(Table9[[#This Row],[Current Balance]]&lt;Table9[[#This Row],[Max Lump Sum ]],Table9[[#This Row],[Current Balance]],Table9[[#This Row],[Max Lump Sum ]])),0)</f>
        <v>0</v>
      </c>
      <c r="P486" s="21">
        <f>Table7[Max annual lump sum repayment]*SUM(C487:C498)</f>
        <v>7880.3958913442566</v>
      </c>
      <c r="Q486" s="25">
        <f>Q485*(1+Table7[Monthly SF Inter])+Table9[[#This Row],[Inflation Modifier]]-R485*(1+Table7[Monthly SF Inter])</f>
        <v>15.341978946846709</v>
      </c>
      <c r="R486" s="25">
        <f>IF(MOD(Table9[[#This Row],[Month]],12)=0,Table9[[#This Row],[Q2 ACC FACTOR]],0)</f>
        <v>0</v>
      </c>
      <c r="S486" s="25">
        <f>S485*(1+D485)+Table9[[#This Row],[ACC FACTOR PAYMENTS]]</f>
        <v>2391.6751293430925</v>
      </c>
    </row>
    <row r="487" spans="1:19" x14ac:dyDescent="0.25">
      <c r="A487" s="1">
        <v>475</v>
      </c>
      <c r="B487" s="1">
        <f t="shared" si="7"/>
        <v>0</v>
      </c>
      <c r="C487" s="7">
        <f>G$12/-PV(Table7[Monthly mortgage rate], (12*Table7[Amortization period (yrs)]),1 )</f>
        <v>4377.9977174134756</v>
      </c>
      <c r="D487" s="11">
        <f>IF(Table1[[#This Row],[Month]]&lt;=(12*Table7[mortgage term (yrs)]),Table7[Monthly mortgage rate],Table7[Monthly Exp Renewal Rate])</f>
        <v>4.9038466830562122E-3</v>
      </c>
      <c r="E487" s="21">
        <f>Table1[[#This Row],[Current mortgage rate]]*G486</f>
        <v>-10705.278586063989</v>
      </c>
      <c r="F487" s="5">
        <f>Table1[[#This Row],[Payment amount]]-Table1[[#This Row],[Interest paid]]</f>
        <v>15083.276303477465</v>
      </c>
      <c r="G487" s="20">
        <f>G486-Table1[[#This Row],[Principal repaid]]-Table1[[#This Row],[Annual paym]]</f>
        <v>-2198120.2425799528</v>
      </c>
      <c r="H487" s="20">
        <f>H486-(Table1[[#This Row],[Payment amount]]-Table1[[#This Row],[Interest Paid W/O LSP]])</f>
        <v>-1265576.8336243075</v>
      </c>
      <c r="I487">
        <f>H486*Table1[[#This Row],[Current mortgage rate]]</f>
        <v>-6154.5447841110945</v>
      </c>
      <c r="J487" s="25">
        <f>IF(Table1[[#This Row],[Month]]&gt;Table7[Amortization period (yrs)]*12,0,IF(Table1[[#This Row],[Month]]&lt;Table7[mortgage term (yrs)]*12,0,IF(Table1[[#This Row],[Month]]=Table7[mortgage term (yrs)]*12,-H$5,Table1[[#This Row],[Payment amount]]+B487)))</f>
        <v>0</v>
      </c>
      <c r="K487">
        <v>476</v>
      </c>
      <c r="L487">
        <f>Table7[Initial Monthly Deposit]*Table9[[#This Row],[Inflation Modifier]]</f>
        <v>865.89790729994172</v>
      </c>
      <c r="M487">
        <f xml:space="preserve"> (1+Table7[Inflation])^(QUOTIENT(Table9[[#This Row],[Month]]-1,12))</f>
        <v>2.1647447682498542</v>
      </c>
      <c r="N487">
        <f>N486*(1+Table7[Monthly SF Inter])+Table9[[#This Row],[Monthly Payment]]-O486*(1+Table7[Monthly SF Inter])</f>
        <v>30808.097029563665</v>
      </c>
      <c r="O487">
        <f>IF(MOD(Table9[[#This Row],[Month]],12)=0,(IF(Table9[[#This Row],[Current Balance]]&lt;Table9[[#This Row],[Max Lump Sum ]],Table9[[#This Row],[Current Balance]],Table9[[#This Row],[Max Lump Sum ]])),0)</f>
        <v>0</v>
      </c>
      <c r="P487" s="21">
        <f>Table7[Max annual lump sum repayment]*SUM(C488:C499)</f>
        <v>7880.3958913442566</v>
      </c>
      <c r="Q487" s="25">
        <f>Q486*(1+Table7[Monthly SF Inter])+Table9[[#This Row],[Inflation Modifier]]-R486*(1+Table7[Monthly SF Inter])</f>
        <v>17.56999273934138</v>
      </c>
      <c r="R487" s="25">
        <f>IF(MOD(Table9[[#This Row],[Month]],12)=0,Table9[[#This Row],[Q2 ACC FACTOR]],0)</f>
        <v>0</v>
      </c>
      <c r="S487" s="25">
        <f>S486*(1+D486)+Table9[[#This Row],[ACC FACTOR PAYMENTS]]</f>
        <v>2403.4035374930695</v>
      </c>
    </row>
    <row r="488" spans="1:19" x14ac:dyDescent="0.25">
      <c r="A488" s="1">
        <v>476</v>
      </c>
      <c r="B488" s="1">
        <f t="shared" si="7"/>
        <v>0</v>
      </c>
      <c r="C488" s="7">
        <f>G$12/-PV(Table7[Monthly mortgage rate], (12*Table7[Amortization period (yrs)]),1 )</f>
        <v>4377.9977174134756</v>
      </c>
      <c r="D488" s="11">
        <f>IF(Table1[[#This Row],[Month]]&lt;=(12*Table7[mortgage term (yrs)]),Table7[Monthly mortgage rate],Table7[Monthly Exp Renewal Rate])</f>
        <v>4.9038466830562122E-3</v>
      </c>
      <c r="E488" s="21">
        <f>Table1[[#This Row],[Current mortgage rate]]*G487</f>
        <v>-10779.244660534418</v>
      </c>
      <c r="F488" s="5">
        <f>Table1[[#This Row],[Payment amount]]-Table1[[#This Row],[Interest paid]]</f>
        <v>15157.242377947892</v>
      </c>
      <c r="G488" s="20">
        <f>G487-Table1[[#This Row],[Principal repaid]]-Table1[[#This Row],[Annual paym]]</f>
        <v>-2213277.4849579008</v>
      </c>
      <c r="H488" s="20">
        <f>H487-(Table1[[#This Row],[Payment amount]]-Table1[[#This Row],[Interest Paid W/O LSP]])</f>
        <v>-1276161.0260994423</v>
      </c>
      <c r="I488">
        <f>H487*Table1[[#This Row],[Current mortgage rate]]</f>
        <v>-6206.1947577213441</v>
      </c>
      <c r="J488" s="25">
        <f>IF(Table1[[#This Row],[Month]]&gt;Table7[Amortization period (yrs)]*12,0,IF(Table1[[#This Row],[Month]]&lt;Table7[mortgage term (yrs)]*12,0,IF(Table1[[#This Row],[Month]]=Table7[mortgage term (yrs)]*12,-H$5,Table1[[#This Row],[Payment amount]]+B488)))</f>
        <v>0</v>
      </c>
      <c r="K488">
        <v>477</v>
      </c>
      <c r="L488">
        <f>Table7[Initial Monthly Deposit]*Table9[[#This Row],[Inflation Modifier]]</f>
        <v>865.89790729994172</v>
      </c>
      <c r="M488">
        <f xml:space="preserve"> (1+Table7[Inflation])^(QUOTIENT(Table9[[#This Row],[Month]]-1,12))</f>
        <v>2.1647447682498542</v>
      </c>
      <c r="N488">
        <f>N487*(1+Table7[Monthly SF Inter])+Table9[[#This Row],[Monthly Payment]]-O487*(1+Table7[Monthly SF Inter])</f>
        <v>31801.044924655489</v>
      </c>
      <c r="O488">
        <f>IF(MOD(Table9[[#This Row],[Month]],12)=0,(IF(Table9[[#This Row],[Current Balance]]&lt;Table9[[#This Row],[Max Lump Sum ]],Table9[[#This Row],[Current Balance]],Table9[[#This Row],[Max Lump Sum ]])),0)</f>
        <v>0</v>
      </c>
      <c r="P488" s="21">
        <f>Table7[Max annual lump sum repayment]*SUM(C489:C500)</f>
        <v>7880.3958913442566</v>
      </c>
      <c r="Q488" s="25">
        <f>Q487*(1+Table7[Monthly SF Inter])+Table9[[#This Row],[Inflation Modifier]]-R487*(1+Table7[Monthly SF Inter])</f>
        <v>19.807194672371477</v>
      </c>
      <c r="R488" s="25">
        <f>IF(MOD(Table9[[#This Row],[Month]],12)=0,Table9[[#This Row],[Q2 ACC FACTOR]],0)</f>
        <v>0</v>
      </c>
      <c r="S488" s="25">
        <f>S487*(1+D487)+Table9[[#This Row],[ACC FACTOR PAYMENTS]]</f>
        <v>2415.1894599584502</v>
      </c>
    </row>
    <row r="489" spans="1:19" x14ac:dyDescent="0.25">
      <c r="A489" s="1">
        <v>477</v>
      </c>
      <c r="B489" s="1">
        <f t="shared" si="7"/>
        <v>0</v>
      </c>
      <c r="C489" s="7">
        <f>G$12/-PV(Table7[Monthly mortgage rate], (12*Table7[Amortization period (yrs)]),1 )</f>
        <v>4377.9977174134756</v>
      </c>
      <c r="D489" s="11">
        <f>IF(Table1[[#This Row],[Month]]&lt;=(12*Table7[mortgage term (yrs)]),Table7[Monthly mortgage rate],Table7[Monthly Exp Renewal Rate])</f>
        <v>4.9038466830562122E-3</v>
      </c>
      <c r="E489" s="21">
        <f>Table1[[#This Row],[Current mortgage rate]]*G488</f>
        <v>-10853.573453293797</v>
      </c>
      <c r="F489" s="5">
        <f>Table1[[#This Row],[Payment amount]]-Table1[[#This Row],[Interest paid]]</f>
        <v>15231.571170707273</v>
      </c>
      <c r="G489" s="20">
        <f>G488-Table1[[#This Row],[Principal repaid]]-Table1[[#This Row],[Annual paym]]</f>
        <v>-2228509.0561286081</v>
      </c>
      <c r="H489" s="20">
        <f>H488-(Table1[[#This Row],[Payment amount]]-Table1[[#This Row],[Interest Paid W/O LSP]])</f>
        <v>-1286797.1218317391</v>
      </c>
      <c r="I489">
        <f>H488*Table1[[#This Row],[Current mortgage rate]]</f>
        <v>-6258.0980148833623</v>
      </c>
      <c r="J489" s="25">
        <f>IF(Table1[[#This Row],[Month]]&gt;Table7[Amortization period (yrs)]*12,0,IF(Table1[[#This Row],[Month]]&lt;Table7[mortgage term (yrs)]*12,0,IF(Table1[[#This Row],[Month]]=Table7[mortgage term (yrs)]*12,-H$5,Table1[[#This Row],[Payment amount]]+B489)))</f>
        <v>0</v>
      </c>
      <c r="K489">
        <v>478</v>
      </c>
      <c r="L489">
        <f>Table7[Initial Monthly Deposit]*Table9[[#This Row],[Inflation Modifier]]</f>
        <v>865.89790729994172</v>
      </c>
      <c r="M489">
        <f xml:space="preserve"> (1+Table7[Inflation])^(QUOTIENT(Table9[[#This Row],[Month]]-1,12))</f>
        <v>2.1647447682498542</v>
      </c>
      <c r="N489">
        <f>N488*(1+Table7[Monthly SF Inter])+Table9[[#This Row],[Monthly Payment]]-O488*(1+Table7[Monthly SF Inter])</f>
        <v>32798.087652927963</v>
      </c>
      <c r="O489">
        <f>IF(MOD(Table9[[#This Row],[Month]],12)=0,(IF(Table9[[#This Row],[Current Balance]]&lt;Table9[[#This Row],[Max Lump Sum ]],Table9[[#This Row],[Current Balance]],Table9[[#This Row],[Max Lump Sum ]])),0)</f>
        <v>0</v>
      </c>
      <c r="P489" s="21">
        <f>Table7[Max annual lump sum repayment]*SUM(C490:C501)</f>
        <v>7880.3958913442566</v>
      </c>
      <c r="Q489" s="25">
        <f>Q488*(1+Table7[Monthly SF Inter])+Table9[[#This Row],[Inflation Modifier]]-R488*(1+Table7[Monthly SF Inter])</f>
        <v>22.053622637051845</v>
      </c>
      <c r="R489" s="25">
        <f>IF(MOD(Table9[[#This Row],[Month]],12)=0,Table9[[#This Row],[Q2 ACC FACTOR]],0)</f>
        <v>0</v>
      </c>
      <c r="S489" s="25">
        <f>S488*(1+D488)+Table9[[#This Row],[ACC FACTOR PAYMENTS]]</f>
        <v>2427.0331787806199</v>
      </c>
    </row>
    <row r="490" spans="1:19" x14ac:dyDescent="0.25">
      <c r="A490" s="1">
        <v>478</v>
      </c>
      <c r="B490" s="1">
        <f t="shared" si="7"/>
        <v>0</v>
      </c>
      <c r="C490" s="7">
        <f>G$12/-PV(Table7[Monthly mortgage rate], (12*Table7[Amortization period (yrs)]),1 )</f>
        <v>4377.9977174134756</v>
      </c>
      <c r="D490" s="11">
        <f>IF(Table1[[#This Row],[Month]]&lt;=(12*Table7[mortgage term (yrs)]),Table7[Monthly mortgage rate],Table7[Monthly Exp Renewal Rate])</f>
        <v>4.9038466830562122E-3</v>
      </c>
      <c r="E490" s="21">
        <f>Table1[[#This Row],[Current mortgage rate]]*G489</f>
        <v>-10928.266743057005</v>
      </c>
      <c r="F490" s="5">
        <f>Table1[[#This Row],[Payment amount]]-Table1[[#This Row],[Interest paid]]</f>
        <v>15306.26446047048</v>
      </c>
      <c r="G490" s="20">
        <f>G489-Table1[[#This Row],[Principal repaid]]-Table1[[#This Row],[Annual paym]]</f>
        <v>-2243815.3205890786</v>
      </c>
      <c r="H490" s="20">
        <f>H489-(Table1[[#This Row],[Payment amount]]-Table1[[#This Row],[Interest Paid W/O LSP]])</f>
        <v>-1297485.3753468134</v>
      </c>
      <c r="I490">
        <f>H489*Table1[[#This Row],[Current mortgage rate]]</f>
        <v>-6310.2557976608541</v>
      </c>
      <c r="J490" s="25">
        <f>IF(Table1[[#This Row],[Month]]&gt;Table7[Amortization period (yrs)]*12,0,IF(Table1[[#This Row],[Month]]&lt;Table7[mortgage term (yrs)]*12,0,IF(Table1[[#This Row],[Month]]=Table7[mortgage term (yrs)]*12,-H$5,Table1[[#This Row],[Payment amount]]+B490)))</f>
        <v>0</v>
      </c>
      <c r="K490">
        <v>479</v>
      </c>
      <c r="L490">
        <f>Table7[Initial Monthly Deposit]*Table9[[#This Row],[Inflation Modifier]]</f>
        <v>865.89790729994172</v>
      </c>
      <c r="M490">
        <f xml:space="preserve"> (1+Table7[Inflation])^(QUOTIENT(Table9[[#This Row],[Month]]-1,12))</f>
        <v>2.1647447682498542</v>
      </c>
      <c r="N490">
        <f>N489*(1+Table7[Monthly SF Inter])+Table9[[#This Row],[Monthly Payment]]-O489*(1+Table7[Monthly SF Inter])</f>
        <v>33799.242101126969</v>
      </c>
      <c r="O490">
        <f>IF(MOD(Table9[[#This Row],[Month]],12)=0,(IF(Table9[[#This Row],[Current Balance]]&lt;Table9[[#This Row],[Max Lump Sum ]],Table9[[#This Row],[Current Balance]],Table9[[#This Row],[Max Lump Sum ]])),0)</f>
        <v>0</v>
      </c>
      <c r="P490" s="21">
        <f>Table7[Max annual lump sum repayment]*SUM(C491:C502)</f>
        <v>7880.3958913442566</v>
      </c>
      <c r="Q490" s="25">
        <f>Q489*(1+Table7[Monthly SF Inter])+Table9[[#This Row],[Inflation Modifier]]-R489*(1+Table7[Monthly SF Inter])</f>
        <v>24.30931468075709</v>
      </c>
      <c r="R490" s="25">
        <f>IF(MOD(Table9[[#This Row],[Month]],12)=0,Table9[[#This Row],[Q2 ACC FACTOR]],0)</f>
        <v>0</v>
      </c>
      <c r="S490" s="25">
        <f>S489*(1+D489)+Table9[[#This Row],[ACC FACTOR PAYMENTS]]</f>
        <v>2438.9349773840504</v>
      </c>
    </row>
    <row r="491" spans="1:19" x14ac:dyDescent="0.25">
      <c r="A491" s="1">
        <v>479</v>
      </c>
      <c r="B491" s="1">
        <f t="shared" si="7"/>
        <v>0</v>
      </c>
      <c r="C491" s="7">
        <f>G$12/-PV(Table7[Monthly mortgage rate], (12*Table7[Amortization period (yrs)]),1 )</f>
        <v>4377.9977174134756</v>
      </c>
      <c r="D491" s="11">
        <f>IF(Table1[[#This Row],[Month]]&lt;=(12*Table7[mortgage term (yrs)]),Table7[Monthly mortgage rate],Table7[Monthly Exp Renewal Rate])</f>
        <v>4.9038466830562122E-3</v>
      </c>
      <c r="E491" s="21">
        <f>Table1[[#This Row],[Current mortgage rate]]*G490</f>
        <v>-11003.326317261464</v>
      </c>
      <c r="F491" s="5">
        <f>Table1[[#This Row],[Payment amount]]-Table1[[#This Row],[Interest paid]]</f>
        <v>15381.324034674941</v>
      </c>
      <c r="G491" s="20">
        <f>G490-Table1[[#This Row],[Principal repaid]]-Table1[[#This Row],[Annual paym]]</f>
        <v>-2259196.6446237536</v>
      </c>
      <c r="H491" s="20">
        <f>H490-(Table1[[#This Row],[Payment amount]]-Table1[[#This Row],[Interest Paid W/O LSP]])</f>
        <v>-1308226.0424184352</v>
      </c>
      <c r="I491">
        <f>H490*Table1[[#This Row],[Current mortgage rate]]</f>
        <v>-6362.6693542084149</v>
      </c>
      <c r="J491" s="25">
        <f>IF(Table1[[#This Row],[Month]]&gt;Table7[Amortization period (yrs)]*12,0,IF(Table1[[#This Row],[Month]]&lt;Table7[mortgage term (yrs)]*12,0,IF(Table1[[#This Row],[Month]]=Table7[mortgage term (yrs)]*12,-H$5,Table1[[#This Row],[Payment amount]]+B491)))</f>
        <v>0</v>
      </c>
      <c r="K491">
        <v>480</v>
      </c>
      <c r="L491">
        <f>Table7[Initial Monthly Deposit]*Table9[[#This Row],[Inflation Modifier]]</f>
        <v>865.89790729994172</v>
      </c>
      <c r="M491">
        <f xml:space="preserve"> (1+Table7[Inflation])^(QUOTIENT(Table9[[#This Row],[Month]]-1,12))</f>
        <v>2.1647447682498542</v>
      </c>
      <c r="N491">
        <f>N490*(1+Table7[Monthly SF Inter])+Table9[[#This Row],[Monthly Payment]]-O490*(1+Table7[Monthly SF Inter])</f>
        <v>34804.525225637903</v>
      </c>
      <c r="O491">
        <f>IF(MOD(Table9[[#This Row],[Month]],12)=0,(IF(Table9[[#This Row],[Current Balance]]&lt;Table9[[#This Row],[Max Lump Sum ]],Table9[[#This Row],[Current Balance]],Table9[[#This Row],[Max Lump Sum ]])),0)</f>
        <v>7880.3958913442566</v>
      </c>
      <c r="P491" s="21">
        <f>Table7[Max annual lump sum repayment]*SUM(C492:C503)</f>
        <v>7880.3958913442566</v>
      </c>
      <c r="Q491" s="25">
        <f>Q490*(1+Table7[Monthly SF Inter])+Table9[[#This Row],[Inflation Modifier]]-R490*(1+Table7[Monthly SF Inter])</f>
        <v>26.574309007765976</v>
      </c>
      <c r="R491" s="25">
        <f>IF(MOD(Table9[[#This Row],[Month]],12)=0,Table9[[#This Row],[Q2 ACC FACTOR]],0)</f>
        <v>26.574309007765976</v>
      </c>
      <c r="S491" s="25">
        <f>S490*(1+D490)+Table9[[#This Row],[ACC FACTOR PAYMENTS]]</f>
        <v>2477.4694495908507</v>
      </c>
    </row>
    <row r="492" spans="1:19" x14ac:dyDescent="0.25">
      <c r="A492" s="1">
        <v>480</v>
      </c>
      <c r="B492" s="1">
        <f t="shared" si="7"/>
        <v>7880.3958913442566</v>
      </c>
      <c r="C492" s="7">
        <f>G$12/-PV(Table7[Monthly mortgage rate], (12*Table7[Amortization period (yrs)]),1 )</f>
        <v>4377.9977174134756</v>
      </c>
      <c r="D492" s="11">
        <f>IF(Table1[[#This Row],[Month]]&lt;=(12*Table7[mortgage term (yrs)]),Table7[Monthly mortgage rate],Table7[Monthly Exp Renewal Rate])</f>
        <v>4.9038466830562122E-3</v>
      </c>
      <c r="E492" s="21">
        <f>Table1[[#This Row],[Current mortgage rate]]*G491</f>
        <v>-11078.753972109918</v>
      </c>
      <c r="F492" s="5">
        <f>Table1[[#This Row],[Payment amount]]-Table1[[#This Row],[Interest paid]]</f>
        <v>15456.751689523393</v>
      </c>
      <c r="G492" s="20">
        <f>G491-Table1[[#This Row],[Principal repaid]]-Table1[[#This Row],[Annual paym]]</f>
        <v>-2282533.7922046212</v>
      </c>
      <c r="H492" s="20">
        <f>H491-(Table1[[#This Row],[Payment amount]]-Table1[[#This Row],[Interest Paid W/O LSP]])</f>
        <v>-1319019.38007465</v>
      </c>
      <c r="I492">
        <f>H491*Table1[[#This Row],[Current mortgage rate]]</f>
        <v>-6415.3399388013995</v>
      </c>
      <c r="J492" s="25">
        <f>IF(Table1[[#This Row],[Month]]&gt;Table7[Amortization period (yrs)]*12,0,IF(Table1[[#This Row],[Month]]&lt;Table7[mortgage term (yrs)]*12,0,IF(Table1[[#This Row],[Month]]=Table7[mortgage term (yrs)]*12,-H$5,Table1[[#This Row],[Payment amount]]+B492)))</f>
        <v>0</v>
      </c>
      <c r="K492">
        <v>481</v>
      </c>
      <c r="L492">
        <f>Table7[Initial Monthly Deposit]*Table9[[#This Row],[Inflation Modifier]]</f>
        <v>883.21586544594072</v>
      </c>
      <c r="M492">
        <f xml:space="preserve"> (1+Table7[Inflation])^(QUOTIENT(Table9[[#This Row],[Month]]-1,12))</f>
        <v>2.2080396636148518</v>
      </c>
      <c r="N492">
        <f>N491*(1+Table7[Monthly SF Inter])+Table9[[#This Row],[Monthly Payment]]-O491*(1+Table7[Monthly SF Inter])</f>
        <v>27918.378033086821</v>
      </c>
      <c r="O492">
        <f>IF(MOD(Table9[[#This Row],[Month]],12)=0,(IF(Table9[[#This Row],[Current Balance]]&lt;Table9[[#This Row],[Max Lump Sum ]],Table9[[#This Row],[Current Balance]],Table9[[#This Row],[Max Lump Sum ]])),0)</f>
        <v>0</v>
      </c>
      <c r="P492" s="21">
        <f>Table7[Max annual lump sum repayment]*SUM(C493:C504)</f>
        <v>7880.3958913442566</v>
      </c>
      <c r="Q492" s="25">
        <f>Q491*(1+Table7[Monthly SF Inter])+Table9[[#This Row],[Inflation Modifier]]-R491*(1+Table7[Monthly SF Inter])</f>
        <v>2.2080396636148514</v>
      </c>
      <c r="R492" s="25">
        <f>IF(MOD(Table9[[#This Row],[Month]],12)=0,Table9[[#This Row],[Q2 ACC FACTOR]],0)</f>
        <v>0</v>
      </c>
      <c r="S492" s="25">
        <f>S491*(1+D491)+Table9[[#This Row],[ACC FACTOR PAYMENTS]]</f>
        <v>2489.6185799335999</v>
      </c>
    </row>
    <row r="493" spans="1:19" x14ac:dyDescent="0.25">
      <c r="A493" s="1">
        <v>481</v>
      </c>
      <c r="B493" s="1">
        <f t="shared" si="7"/>
        <v>0</v>
      </c>
      <c r="C493" s="7">
        <f>G$12/-PV(Table7[Monthly mortgage rate], (12*Table7[Amortization period (yrs)]),1 )</f>
        <v>4377.9977174134756</v>
      </c>
      <c r="D493" s="11">
        <f>IF(Table1[[#This Row],[Month]]&lt;=(12*Table7[mortgage term (yrs)]),Table7[Monthly mortgage rate],Table7[Monthly Exp Renewal Rate])</f>
        <v>4.9038466830562122E-3</v>
      </c>
      <c r="E493" s="21">
        <f>Table1[[#This Row],[Current mortgage rate]]*G492</f>
        <v>-11193.195765866349</v>
      </c>
      <c r="F493" s="5">
        <f>Table1[[#This Row],[Payment amount]]-Table1[[#This Row],[Interest paid]]</f>
        <v>15571.193483279825</v>
      </c>
      <c r="G493" s="20">
        <f>G492-Table1[[#This Row],[Principal repaid]]-Table1[[#This Row],[Annual paym]]</f>
        <v>-2298104.9856879013</v>
      </c>
      <c r="H493" s="20">
        <f>H492-(Table1[[#This Row],[Payment amount]]-Table1[[#This Row],[Interest Paid W/O LSP]])</f>
        <v>-1329865.6466039293</v>
      </c>
      <c r="I493">
        <f>H492*Table1[[#This Row],[Current mortgage rate]]</f>
        <v>-6468.2688118659335</v>
      </c>
      <c r="J493" s="25">
        <f>IF(Table1[[#This Row],[Month]]&gt;Table7[Amortization period (yrs)]*12,0,IF(Table1[[#This Row],[Month]]&lt;Table7[mortgage term (yrs)]*12,0,IF(Table1[[#This Row],[Month]]=Table7[mortgage term (yrs)]*12,-H$5,Table1[[#This Row],[Payment amount]]+B493)))</f>
        <v>0</v>
      </c>
      <c r="K493">
        <v>482</v>
      </c>
      <c r="L493">
        <f>Table7[Initial Monthly Deposit]*Table9[[#This Row],[Inflation Modifier]]</f>
        <v>883.21586544594072</v>
      </c>
      <c r="M493">
        <f xml:space="preserve"> (1+Table7[Inflation])^(QUOTIENT(Table9[[#This Row],[Month]]-1,12))</f>
        <v>2.2080396636148518</v>
      </c>
      <c r="N493">
        <f>N492*(1+Table7[Monthly SF Inter])+Table9[[#This Row],[Monthly Payment]]-O492*(1+Table7[Monthly SF Inter])</f>
        <v>28916.726929465152</v>
      </c>
      <c r="O493">
        <f>IF(MOD(Table9[[#This Row],[Month]],12)=0,(IF(Table9[[#This Row],[Current Balance]]&lt;Table9[[#This Row],[Max Lump Sum ]],Table9[[#This Row],[Current Balance]],Table9[[#This Row],[Max Lump Sum ]])),0)</f>
        <v>0</v>
      </c>
      <c r="P493" s="21">
        <f>Table7[Max annual lump sum repayment]*SUM(C494:C505)</f>
        <v>7880.3958913442566</v>
      </c>
      <c r="Q493" s="25">
        <f>Q492*(1+Table7[Monthly SF Inter])+Table9[[#This Row],[Inflation Modifier]]-R492*(1+Table7[Monthly SF Inter])</f>
        <v>4.4251850961461363</v>
      </c>
      <c r="R493" s="25">
        <f>IF(MOD(Table9[[#This Row],[Month]],12)=0,Table9[[#This Row],[Q2 ACC FACTOR]],0)</f>
        <v>0</v>
      </c>
      <c r="S493" s="25">
        <f>S492*(1+D492)+Table9[[#This Row],[ACC FACTOR PAYMENTS]]</f>
        <v>2501.8272877488826</v>
      </c>
    </row>
    <row r="494" spans="1:19" x14ac:dyDescent="0.25">
      <c r="A494" s="1">
        <v>482</v>
      </c>
      <c r="B494" s="1">
        <f t="shared" si="7"/>
        <v>0</v>
      </c>
      <c r="C494" s="7">
        <f>G$12/-PV(Table7[Monthly mortgage rate], (12*Table7[Amortization period (yrs)]),1 )</f>
        <v>4377.9977174134756</v>
      </c>
      <c r="D494" s="11">
        <f>IF(Table1[[#This Row],[Month]]&lt;=(12*Table7[mortgage term (yrs)]),Table7[Monthly mortgage rate],Table7[Monthly Exp Renewal Rate])</f>
        <v>4.9038466830562122E-3</v>
      </c>
      <c r="E494" s="21">
        <f>Table1[[#This Row],[Current mortgage rate]]*G493</f>
        <v>-11269.554511380558</v>
      </c>
      <c r="F494" s="5">
        <f>Table1[[#This Row],[Payment amount]]-Table1[[#This Row],[Interest paid]]</f>
        <v>15647.552228794033</v>
      </c>
      <c r="G494" s="20">
        <f>G493-Table1[[#This Row],[Principal repaid]]-Table1[[#This Row],[Annual paym]]</f>
        <v>-2313752.5379166952</v>
      </c>
      <c r="H494" s="20">
        <f>H493-(Table1[[#This Row],[Payment amount]]-Table1[[#This Row],[Interest Paid W/O LSP]])</f>
        <v>-1340765.1015613519</v>
      </c>
      <c r="I494">
        <f>H493*Table1[[#This Row],[Current mortgage rate]]</f>
        <v>-6521.4572400090838</v>
      </c>
      <c r="J494" s="25">
        <f>IF(Table1[[#This Row],[Month]]&gt;Table7[Amortization period (yrs)]*12,0,IF(Table1[[#This Row],[Month]]&lt;Table7[mortgage term (yrs)]*12,0,IF(Table1[[#This Row],[Month]]=Table7[mortgage term (yrs)]*12,-H$5,Table1[[#This Row],[Payment amount]]+B494)))</f>
        <v>0</v>
      </c>
      <c r="K494">
        <v>483</v>
      </c>
      <c r="L494">
        <f>Table7[Initial Monthly Deposit]*Table9[[#This Row],[Inflation Modifier]]</f>
        <v>883.21586544594072</v>
      </c>
      <c r="M494">
        <f xml:space="preserve"> (1+Table7[Inflation])^(QUOTIENT(Table9[[#This Row],[Month]]-1,12))</f>
        <v>2.2080396636148518</v>
      </c>
      <c r="N494">
        <f>N493*(1+Table7[Monthly SF Inter])+Table9[[#This Row],[Monthly Payment]]-O493*(1+Table7[Monthly SF Inter])</f>
        <v>29919.192932296868</v>
      </c>
      <c r="O494">
        <f>IF(MOD(Table9[[#This Row],[Month]],12)=0,(IF(Table9[[#This Row],[Current Balance]]&lt;Table9[[#This Row],[Max Lump Sum ]],Table9[[#This Row],[Current Balance]],Table9[[#This Row],[Max Lump Sum ]])),0)</f>
        <v>0</v>
      </c>
      <c r="P494" s="21">
        <f>Table7[Max annual lump sum repayment]*SUM(C495:C506)</f>
        <v>7880.3958913442566</v>
      </c>
      <c r="Q494" s="25">
        <f>Q493*(1+Table7[Monthly SF Inter])+Table9[[#This Row],[Inflation Modifier]]-R493*(1+Table7[Monthly SF Inter])</f>
        <v>6.6514738490151117</v>
      </c>
      <c r="R494" s="25">
        <f>IF(MOD(Table9[[#This Row],[Month]],12)=0,Table9[[#This Row],[Q2 ACC FACTOR]],0)</f>
        <v>0</v>
      </c>
      <c r="S494" s="25">
        <f>S493*(1+D493)+Table9[[#This Row],[ACC FACTOR PAYMENTS]]</f>
        <v>2514.0958651954893</v>
      </c>
    </row>
    <row r="495" spans="1:19" x14ac:dyDescent="0.25">
      <c r="A495" s="1">
        <v>483</v>
      </c>
      <c r="B495" s="1">
        <f t="shared" si="7"/>
        <v>0</v>
      </c>
      <c r="C495" s="7">
        <f>G$12/-PV(Table7[Monthly mortgage rate], (12*Table7[Amortization period (yrs)]),1 )</f>
        <v>4377.9977174134756</v>
      </c>
      <c r="D495" s="11">
        <f>IF(Table1[[#This Row],[Month]]&lt;=(12*Table7[mortgage term (yrs)]),Table7[Monthly mortgage rate],Table7[Monthly Exp Renewal Rate])</f>
        <v>4.9038466830562122E-3</v>
      </c>
      <c r="E495" s="21">
        <f>Table1[[#This Row],[Current mortgage rate]]*G494</f>
        <v>-11346.287708475678</v>
      </c>
      <c r="F495" s="5">
        <f>Table1[[#This Row],[Payment amount]]-Table1[[#This Row],[Interest paid]]</f>
        <v>15724.285425889153</v>
      </c>
      <c r="G495" s="20">
        <f>G494-Table1[[#This Row],[Principal repaid]]-Table1[[#This Row],[Annual paym]]</f>
        <v>-2329476.8233425845</v>
      </c>
      <c r="H495" s="20">
        <f>H494-(Table1[[#This Row],[Payment amount]]-Table1[[#This Row],[Interest Paid W/O LSP]])</f>
        <v>-1351718.0057748146</v>
      </c>
      <c r="I495">
        <f>H494*Table1[[#This Row],[Current mortgage rate]]</f>
        <v>-6574.9064960491614</v>
      </c>
      <c r="J495" s="25">
        <f>IF(Table1[[#This Row],[Month]]&gt;Table7[Amortization period (yrs)]*12,0,IF(Table1[[#This Row],[Month]]&lt;Table7[mortgage term (yrs)]*12,0,IF(Table1[[#This Row],[Month]]=Table7[mortgage term (yrs)]*12,-H$5,Table1[[#This Row],[Payment amount]]+B495)))</f>
        <v>0</v>
      </c>
      <c r="K495">
        <v>484</v>
      </c>
      <c r="L495">
        <f>Table7[Initial Monthly Deposit]*Table9[[#This Row],[Inflation Modifier]]</f>
        <v>883.21586544594072</v>
      </c>
      <c r="M495">
        <f xml:space="preserve"> (1+Table7[Inflation])^(QUOTIENT(Table9[[#This Row],[Month]]-1,12))</f>
        <v>2.2080396636148518</v>
      </c>
      <c r="N495">
        <f>N494*(1+Table7[Monthly SF Inter])+Table9[[#This Row],[Monthly Payment]]-O494*(1+Table7[Monthly SF Inter])</f>
        <v>30925.793020180943</v>
      </c>
      <c r="O495">
        <f>IF(MOD(Table9[[#This Row],[Month]],12)=0,(IF(Table9[[#This Row],[Current Balance]]&lt;Table9[[#This Row],[Max Lump Sum ]],Table9[[#This Row],[Current Balance]],Table9[[#This Row],[Max Lump Sum ]])),0)</f>
        <v>0</v>
      </c>
      <c r="P495" s="21">
        <f>Table7[Max annual lump sum repayment]*SUM(C496:C507)</f>
        <v>7880.3958913442566</v>
      </c>
      <c r="Q495" s="25">
        <f>Q494*(1+Table7[Monthly SF Inter])+Table9[[#This Row],[Inflation Modifier]]-R494*(1+Table7[Monthly SF Inter])</f>
        <v>8.8869436285019194</v>
      </c>
      <c r="R495" s="25">
        <f>IF(MOD(Table9[[#This Row],[Month]],12)=0,Table9[[#This Row],[Q2 ACC FACTOR]],0)</f>
        <v>0</v>
      </c>
      <c r="S495" s="25">
        <f>S494*(1+D494)+Table9[[#This Row],[ACC FACTOR PAYMENTS]]</f>
        <v>2526.4246058649137</v>
      </c>
    </row>
    <row r="496" spans="1:19" x14ac:dyDescent="0.25">
      <c r="A496" s="1">
        <v>484</v>
      </c>
      <c r="B496" s="1">
        <f t="shared" si="7"/>
        <v>0</v>
      </c>
      <c r="C496" s="7">
        <f>G$12/-PV(Table7[Monthly mortgage rate], (12*Table7[Amortization period (yrs)]),1 )</f>
        <v>4377.9977174134756</v>
      </c>
      <c r="D496" s="11">
        <f>IF(Table1[[#This Row],[Month]]&lt;=(12*Table7[mortgage term (yrs)]),Table7[Monthly mortgage rate],Table7[Monthly Exp Renewal Rate])</f>
        <v>4.9038466830562122E-3</v>
      </c>
      <c r="E496" s="21">
        <f>Table1[[#This Row],[Current mortgage rate]]*G495</f>
        <v>-11423.397193404855</v>
      </c>
      <c r="F496" s="5">
        <f>Table1[[#This Row],[Payment amount]]-Table1[[#This Row],[Interest paid]]</f>
        <v>15801.39491081833</v>
      </c>
      <c r="G496" s="20">
        <f>G495-Table1[[#This Row],[Principal repaid]]-Table1[[#This Row],[Annual paym]]</f>
        <v>-2345278.218253403</v>
      </c>
      <c r="H496" s="20">
        <f>H495-(Table1[[#This Row],[Payment amount]]-Table1[[#This Row],[Interest Paid W/O LSP]])</f>
        <v>-1362724.6213512742</v>
      </c>
      <c r="I496">
        <f>H495*Table1[[#This Row],[Current mortgage rate]]</f>
        <v>-6628.6178590461823</v>
      </c>
      <c r="J496" s="25">
        <f>IF(Table1[[#This Row],[Month]]&gt;Table7[Amortization period (yrs)]*12,0,IF(Table1[[#This Row],[Month]]&lt;Table7[mortgage term (yrs)]*12,0,IF(Table1[[#This Row],[Month]]=Table7[mortgage term (yrs)]*12,-H$5,Table1[[#This Row],[Payment amount]]+B496)))</f>
        <v>0</v>
      </c>
      <c r="K496">
        <v>485</v>
      </c>
      <c r="L496">
        <f>Table7[Initial Monthly Deposit]*Table9[[#This Row],[Inflation Modifier]]</f>
        <v>883.21586544594072</v>
      </c>
      <c r="M496">
        <f xml:space="preserve"> (1+Table7[Inflation])^(QUOTIENT(Table9[[#This Row],[Month]]-1,12))</f>
        <v>2.2080396636148518</v>
      </c>
      <c r="N496">
        <f>N495*(1+Table7[Monthly SF Inter])+Table9[[#This Row],[Monthly Payment]]-O495*(1+Table7[Monthly SF Inter])</f>
        <v>31936.54424173466</v>
      </c>
      <c r="O496">
        <f>IF(MOD(Table9[[#This Row],[Month]],12)=0,(IF(Table9[[#This Row],[Current Balance]]&lt;Table9[[#This Row],[Max Lump Sum ]],Table9[[#This Row],[Current Balance]],Table9[[#This Row],[Max Lump Sum ]])),0)</f>
        <v>0</v>
      </c>
      <c r="P496" s="21">
        <f>Table7[Max annual lump sum repayment]*SUM(C497:C508)</f>
        <v>7880.3958913442566</v>
      </c>
      <c r="Q496" s="25">
        <f>Q495*(1+Table7[Monthly SF Inter])+Table9[[#This Row],[Inflation Modifier]]-R495*(1+Table7[Monthly SF Inter])</f>
        <v>11.131632296384215</v>
      </c>
      <c r="R496" s="25">
        <f>IF(MOD(Table9[[#This Row],[Month]],12)=0,Table9[[#This Row],[Q2 ACC FACTOR]],0)</f>
        <v>0</v>
      </c>
      <c r="S496" s="25">
        <f>S495*(1+D495)+Table9[[#This Row],[ACC FACTOR PAYMENTS]]</f>
        <v>2538.8138047883758</v>
      </c>
    </row>
    <row r="497" spans="1:19" x14ac:dyDescent="0.25">
      <c r="A497" s="1">
        <v>485</v>
      </c>
      <c r="B497" s="1">
        <f t="shared" si="7"/>
        <v>0</v>
      </c>
      <c r="C497" s="7">
        <f>G$12/-PV(Table7[Monthly mortgage rate], (12*Table7[Amortization period (yrs)]),1 )</f>
        <v>4377.9977174134756</v>
      </c>
      <c r="D497" s="11">
        <f>IF(Table1[[#This Row],[Month]]&lt;=(12*Table7[mortgage term (yrs)]),Table7[Monthly mortgage rate],Table7[Monthly Exp Renewal Rate])</f>
        <v>4.9038466830562122E-3</v>
      </c>
      <c r="E497" s="21">
        <f>Table1[[#This Row],[Current mortgage rate]]*G496</f>
        <v>-11500.884811425933</v>
      </c>
      <c r="F497" s="5">
        <f>Table1[[#This Row],[Payment amount]]-Table1[[#This Row],[Interest paid]]</f>
        <v>15878.882528839407</v>
      </c>
      <c r="G497" s="20">
        <f>G496-Table1[[#This Row],[Principal repaid]]-Table1[[#This Row],[Annual paym]]</f>
        <v>-2361157.1007822426</v>
      </c>
      <c r="H497" s="20">
        <f>H496-(Table1[[#This Row],[Payment amount]]-Table1[[#This Row],[Interest Paid W/O LSP]])</f>
        <v>-1373785.2116830202</v>
      </c>
      <c r="I497">
        <f>H496*Table1[[#This Row],[Current mortgage rate]]</f>
        <v>-6682.5926143324787</v>
      </c>
      <c r="J497" s="25">
        <f>IF(Table1[[#This Row],[Month]]&gt;Table7[Amortization period (yrs)]*12,0,IF(Table1[[#This Row],[Month]]&lt;Table7[mortgage term (yrs)]*12,0,IF(Table1[[#This Row],[Month]]=Table7[mortgage term (yrs)]*12,-H$5,Table1[[#This Row],[Payment amount]]+B497)))</f>
        <v>0</v>
      </c>
      <c r="K497">
        <v>486</v>
      </c>
      <c r="L497">
        <f>Table7[Initial Monthly Deposit]*Table9[[#This Row],[Inflation Modifier]]</f>
        <v>883.21586544594072</v>
      </c>
      <c r="M497">
        <f xml:space="preserve"> (1+Table7[Inflation])^(QUOTIENT(Table9[[#This Row],[Month]]-1,12))</f>
        <v>2.2080396636148518</v>
      </c>
      <c r="N497">
        <f>N496*(1+Table7[Monthly SF Inter])+Table9[[#This Row],[Monthly Payment]]-O496*(1+Table7[Monthly SF Inter])</f>
        <v>32951.463715882353</v>
      </c>
      <c r="O497">
        <f>IF(MOD(Table9[[#This Row],[Month]],12)=0,(IF(Table9[[#This Row],[Current Balance]]&lt;Table9[[#This Row],[Max Lump Sum ]],Table9[[#This Row],[Current Balance]],Table9[[#This Row],[Max Lump Sum ]])),0)</f>
        <v>0</v>
      </c>
      <c r="P497" s="21">
        <f>Table7[Max annual lump sum repayment]*SUM(C498:C509)</f>
        <v>7880.3958913442566</v>
      </c>
      <c r="Q497" s="25">
        <f>Q496*(1+Table7[Monthly SF Inter])+Table9[[#This Row],[Inflation Modifier]]-R496*(1+Table7[Monthly SF Inter])</f>
        <v>13.385577870578423</v>
      </c>
      <c r="R497" s="25">
        <f>IF(MOD(Table9[[#This Row],[Month]],12)=0,Table9[[#This Row],[Q2 ACC FACTOR]],0)</f>
        <v>0</v>
      </c>
      <c r="S497" s="25">
        <f>S496*(1+D496)+Table9[[#This Row],[ACC FACTOR PAYMENTS]]</f>
        <v>2551.2637584438844</v>
      </c>
    </row>
    <row r="498" spans="1:19" x14ac:dyDescent="0.25">
      <c r="A498" s="1">
        <v>486</v>
      </c>
      <c r="B498" s="1">
        <f t="shared" si="7"/>
        <v>0</v>
      </c>
      <c r="C498" s="7">
        <f>G$12/-PV(Table7[Monthly mortgage rate], (12*Table7[Amortization period (yrs)]),1 )</f>
        <v>4377.9977174134756</v>
      </c>
      <c r="D498" s="11">
        <f>IF(Table1[[#This Row],[Month]]&lt;=(12*Table7[mortgage term (yrs)]),Table7[Monthly mortgage rate],Table7[Monthly Exp Renewal Rate])</f>
        <v>4.9038466830562122E-3</v>
      </c>
      <c r="E498" s="21">
        <f>Table1[[#This Row],[Current mortgage rate]]*G497</f>
        <v>-11578.752416845622</v>
      </c>
      <c r="F498" s="5">
        <f>Table1[[#This Row],[Payment amount]]-Table1[[#This Row],[Interest paid]]</f>
        <v>15956.750134259099</v>
      </c>
      <c r="G498" s="20">
        <f>G497-Table1[[#This Row],[Principal repaid]]-Table1[[#This Row],[Annual paym]]</f>
        <v>-2377113.8509165016</v>
      </c>
      <c r="H498" s="20">
        <f>H497-(Table1[[#This Row],[Payment amount]]-Table1[[#This Row],[Interest Paid W/O LSP]])</f>
        <v>-1384900.0414539771</v>
      </c>
      <c r="I498">
        <f>H497*Table1[[#This Row],[Current mortgage rate]]</f>
        <v>-6736.832053543455</v>
      </c>
      <c r="J498" s="25">
        <f>IF(Table1[[#This Row],[Month]]&gt;Table7[Amortization period (yrs)]*12,0,IF(Table1[[#This Row],[Month]]&lt;Table7[mortgage term (yrs)]*12,0,IF(Table1[[#This Row],[Month]]=Table7[mortgage term (yrs)]*12,-H$5,Table1[[#This Row],[Payment amount]]+B498)))</f>
        <v>0</v>
      </c>
      <c r="K498">
        <v>487</v>
      </c>
      <c r="L498">
        <f>Table7[Initial Monthly Deposit]*Table9[[#This Row],[Inflation Modifier]]</f>
        <v>883.21586544594072</v>
      </c>
      <c r="M498">
        <f xml:space="preserve"> (1+Table7[Inflation])^(QUOTIENT(Table9[[#This Row],[Month]]-1,12))</f>
        <v>2.2080396636148518</v>
      </c>
      <c r="N498">
        <f>N497*(1+Table7[Monthly SF Inter])+Table9[[#This Row],[Monthly Payment]]-O497*(1+Table7[Monthly SF Inter])</f>
        <v>33970.568632145361</v>
      </c>
      <c r="O498">
        <f>IF(MOD(Table9[[#This Row],[Month]],12)=0,(IF(Table9[[#This Row],[Current Balance]]&lt;Table9[[#This Row],[Max Lump Sum ]],Table9[[#This Row],[Current Balance]],Table9[[#This Row],[Max Lump Sum ]])),0)</f>
        <v>0</v>
      </c>
      <c r="P498" s="21">
        <f>Table7[Max annual lump sum repayment]*SUM(C499:C510)</f>
        <v>7880.3958913442566</v>
      </c>
      <c r="Q498" s="25">
        <f>Q497*(1+Table7[Monthly SF Inter])+Table9[[#This Row],[Inflation Modifier]]-R497*(1+Table7[Monthly SF Inter])</f>
        <v>15.648818525783645</v>
      </c>
      <c r="R498" s="25">
        <f>IF(MOD(Table9[[#This Row],[Month]],12)=0,Table9[[#This Row],[Q2 ACC FACTOR]],0)</f>
        <v>0</v>
      </c>
      <c r="S498" s="25">
        <f>S497*(1+D497)+Table9[[#This Row],[ACC FACTOR PAYMENTS]]</f>
        <v>2563.7747647633309</v>
      </c>
    </row>
    <row r="499" spans="1:19" x14ac:dyDescent="0.25">
      <c r="A499" s="1">
        <v>487</v>
      </c>
      <c r="B499" s="1">
        <f t="shared" si="7"/>
        <v>0</v>
      </c>
      <c r="C499" s="7">
        <f>G$12/-PV(Table7[Monthly mortgage rate], (12*Table7[Amortization period (yrs)]),1 )</f>
        <v>4377.9977174134756</v>
      </c>
      <c r="D499" s="11">
        <f>IF(Table1[[#This Row],[Month]]&lt;=(12*Table7[mortgage term (yrs)]),Table7[Monthly mortgage rate],Table7[Monthly Exp Renewal Rate])</f>
        <v>4.9038466830562122E-3</v>
      </c>
      <c r="E499" s="21">
        <f>Table1[[#This Row],[Current mortgage rate]]*G498</f>
        <v>-11657.001873063866</v>
      </c>
      <c r="F499" s="5">
        <f>Table1[[#This Row],[Payment amount]]-Table1[[#This Row],[Interest paid]]</f>
        <v>16034.999590477342</v>
      </c>
      <c r="G499" s="20">
        <f>G498-Table1[[#This Row],[Principal repaid]]-Table1[[#This Row],[Annual paym]]</f>
        <v>-2393148.850506979</v>
      </c>
      <c r="H499" s="20">
        <f>H498-(Table1[[#This Row],[Payment amount]]-Table1[[#This Row],[Interest Paid W/O LSP]])</f>
        <v>-1396069.3766460391</v>
      </c>
      <c r="I499">
        <f>H498*Table1[[#This Row],[Current mortgage rate]]</f>
        <v>-6791.337474648496</v>
      </c>
      <c r="J499" s="25">
        <f>IF(Table1[[#This Row],[Month]]&gt;Table7[Amortization period (yrs)]*12,0,IF(Table1[[#This Row],[Month]]&lt;Table7[mortgage term (yrs)]*12,0,IF(Table1[[#This Row],[Month]]=Table7[mortgage term (yrs)]*12,-H$5,Table1[[#This Row],[Payment amount]]+B499)))</f>
        <v>0</v>
      </c>
      <c r="K499">
        <v>488</v>
      </c>
      <c r="L499">
        <f>Table7[Initial Monthly Deposit]*Table9[[#This Row],[Inflation Modifier]]</f>
        <v>883.21586544594072</v>
      </c>
      <c r="M499">
        <f xml:space="preserve"> (1+Table7[Inflation])^(QUOTIENT(Table9[[#This Row],[Month]]-1,12))</f>
        <v>2.2080396636148518</v>
      </c>
      <c r="N499">
        <f>N498*(1+Table7[Monthly SF Inter])+Table9[[#This Row],[Monthly Payment]]-O498*(1+Table7[Monthly SF Inter])</f>
        <v>34993.87625093315</v>
      </c>
      <c r="O499">
        <f>IF(MOD(Table9[[#This Row],[Month]],12)=0,(IF(Table9[[#This Row],[Current Balance]]&lt;Table9[[#This Row],[Max Lump Sum ]],Table9[[#This Row],[Current Balance]],Table9[[#This Row],[Max Lump Sum ]])),0)</f>
        <v>0</v>
      </c>
      <c r="P499" s="21">
        <f>Table7[Max annual lump sum repayment]*SUM(C500:C511)</f>
        <v>7880.3958913442566</v>
      </c>
      <c r="Q499" s="25">
        <f>Q498*(1+Table7[Monthly SF Inter])+Table9[[#This Row],[Inflation Modifier]]-R498*(1+Table7[Monthly SF Inter])</f>
        <v>17.921392594128211</v>
      </c>
      <c r="R499" s="25">
        <f>IF(MOD(Table9[[#This Row],[Month]],12)=0,Table9[[#This Row],[Q2 ACC FACTOR]],0)</f>
        <v>0</v>
      </c>
      <c r="S499" s="25">
        <f>S498*(1+D498)+Table9[[#This Row],[ACC FACTOR PAYMENTS]]</f>
        <v>2576.3471231396188</v>
      </c>
    </row>
    <row r="500" spans="1:19" x14ac:dyDescent="0.25">
      <c r="A500" s="1">
        <v>488</v>
      </c>
      <c r="B500" s="1">
        <f t="shared" si="7"/>
        <v>0</v>
      </c>
      <c r="C500" s="7">
        <f>G$12/-PV(Table7[Monthly mortgage rate], (12*Table7[Amortization period (yrs)]),1 )</f>
        <v>4377.9977174134756</v>
      </c>
      <c r="D500" s="11">
        <f>IF(Table1[[#This Row],[Month]]&lt;=(12*Table7[mortgage term (yrs)]),Table7[Monthly mortgage rate],Table7[Monthly Exp Renewal Rate])</f>
        <v>4.9038466830562122E-3</v>
      </c>
      <c r="E500" s="21">
        <f>Table1[[#This Row],[Current mortgage rate]]*G499</f>
        <v>-11735.635052618436</v>
      </c>
      <c r="F500" s="5">
        <f>Table1[[#This Row],[Payment amount]]-Table1[[#This Row],[Interest paid]]</f>
        <v>16113.632770031913</v>
      </c>
      <c r="G500" s="20">
        <f>G499-Table1[[#This Row],[Principal repaid]]-Table1[[#This Row],[Annual paym]]</f>
        <v>-2409262.4832770107</v>
      </c>
      <c r="H500" s="20">
        <f>H499-(Table1[[#This Row],[Payment amount]]-Table1[[#This Row],[Interest Paid W/O LSP]])</f>
        <v>-1407293.4845454346</v>
      </c>
      <c r="I500">
        <f>H499*Table1[[#This Row],[Current mortgage rate]]</f>
        <v>-6846.1101819820324</v>
      </c>
      <c r="J500" s="25">
        <f>IF(Table1[[#This Row],[Month]]&gt;Table7[Amortization period (yrs)]*12,0,IF(Table1[[#This Row],[Month]]&lt;Table7[mortgage term (yrs)]*12,0,IF(Table1[[#This Row],[Month]]=Table7[mortgage term (yrs)]*12,-H$5,Table1[[#This Row],[Payment amount]]+B500)))</f>
        <v>0</v>
      </c>
      <c r="K500">
        <v>489</v>
      </c>
      <c r="L500">
        <f>Table7[Initial Monthly Deposit]*Table9[[#This Row],[Inflation Modifier]]</f>
        <v>883.21586544594072</v>
      </c>
      <c r="M500">
        <f xml:space="preserve"> (1+Table7[Inflation])^(QUOTIENT(Table9[[#This Row],[Month]]-1,12))</f>
        <v>2.2080396636148518</v>
      </c>
      <c r="N500">
        <f>N499*(1+Table7[Monthly SF Inter])+Table9[[#This Row],[Monthly Payment]]-O499*(1+Table7[Monthly SF Inter])</f>
        <v>36021.403903835657</v>
      </c>
      <c r="O500">
        <f>IF(MOD(Table9[[#This Row],[Month]],12)=0,(IF(Table9[[#This Row],[Current Balance]]&lt;Table9[[#This Row],[Max Lump Sum ]],Table9[[#This Row],[Current Balance]],Table9[[#This Row],[Max Lump Sum ]])),0)</f>
        <v>0</v>
      </c>
      <c r="P500" s="21">
        <f>Table7[Max annual lump sum repayment]*SUM(C501:C512)</f>
        <v>7880.3958913442566</v>
      </c>
      <c r="Q500" s="25">
        <f>Q499*(1+Table7[Monthly SF Inter])+Table9[[#This Row],[Inflation Modifier]]-R499*(1+Table7[Monthly SF Inter])</f>
        <v>20.20333856581891</v>
      </c>
      <c r="R500" s="25">
        <f>IF(MOD(Table9[[#This Row],[Month]],12)=0,Table9[[#This Row],[Q2 ACC FACTOR]],0)</f>
        <v>0</v>
      </c>
      <c r="S500" s="25">
        <f>S499*(1+D499)+Table9[[#This Row],[ACC FACTOR PAYMENTS]]</f>
        <v>2588.9811344338286</v>
      </c>
    </row>
    <row r="501" spans="1:19" x14ac:dyDescent="0.25">
      <c r="A501" s="1">
        <v>489</v>
      </c>
      <c r="B501" s="1">
        <f t="shared" si="7"/>
        <v>0</v>
      </c>
      <c r="C501" s="7">
        <f>G$12/-PV(Table7[Monthly mortgage rate], (12*Table7[Amortization period (yrs)]),1 )</f>
        <v>4377.9977174134756</v>
      </c>
      <c r="D501" s="11">
        <f>IF(Table1[[#This Row],[Month]]&lt;=(12*Table7[mortgage term (yrs)]),Table7[Monthly mortgage rate],Table7[Monthly Exp Renewal Rate])</f>
        <v>4.9038466830562122E-3</v>
      </c>
      <c r="E501" s="21">
        <f>Table1[[#This Row],[Current mortgage rate]]*G500</f>
        <v>-11814.653837229742</v>
      </c>
      <c r="F501" s="5">
        <f>Table1[[#This Row],[Payment amount]]-Table1[[#This Row],[Interest paid]]</f>
        <v>16192.651554643217</v>
      </c>
      <c r="G501" s="20">
        <f>G500-Table1[[#This Row],[Principal repaid]]-Table1[[#This Row],[Annual paym]]</f>
        <v>-2425455.1348316539</v>
      </c>
      <c r="H501" s="20">
        <f>H500-(Table1[[#This Row],[Payment amount]]-Table1[[#This Row],[Interest Paid W/O LSP]])</f>
        <v>-1418572.6337491227</v>
      </c>
      <c r="I501">
        <f>H500*Table1[[#This Row],[Current mortgage rate]]</f>
        <v>-6901.1514862747481</v>
      </c>
      <c r="J501" s="25">
        <f>IF(Table1[[#This Row],[Month]]&gt;Table7[Amortization period (yrs)]*12,0,IF(Table1[[#This Row],[Month]]&lt;Table7[mortgage term (yrs)]*12,0,IF(Table1[[#This Row],[Month]]=Table7[mortgage term (yrs)]*12,-H$5,Table1[[#This Row],[Payment amount]]+B501)))</f>
        <v>0</v>
      </c>
      <c r="K501">
        <v>490</v>
      </c>
      <c r="L501">
        <f>Table7[Initial Monthly Deposit]*Table9[[#This Row],[Inflation Modifier]]</f>
        <v>883.21586544594072</v>
      </c>
      <c r="M501">
        <f xml:space="preserve"> (1+Table7[Inflation])^(QUOTIENT(Table9[[#This Row],[Month]]-1,12))</f>
        <v>2.2080396636148518</v>
      </c>
      <c r="N501">
        <f>N500*(1+Table7[Monthly SF Inter])+Table9[[#This Row],[Monthly Payment]]-O500*(1+Table7[Monthly SF Inter])</f>
        <v>37053.168993916835</v>
      </c>
      <c r="O501">
        <f>IF(MOD(Table9[[#This Row],[Month]],12)=0,(IF(Table9[[#This Row],[Current Balance]]&lt;Table9[[#This Row],[Max Lump Sum ]],Table9[[#This Row],[Current Balance]],Table9[[#This Row],[Max Lump Sum ]])),0)</f>
        <v>0</v>
      </c>
      <c r="P501" s="21">
        <f>Table7[Max annual lump sum repayment]*SUM(C502:C513)</f>
        <v>7880.3958913442566</v>
      </c>
      <c r="Q501" s="25">
        <f>Q500*(1+Table7[Monthly SF Inter])+Table9[[#This Row],[Inflation Modifier]]-R500*(1+Table7[Monthly SF Inter])</f>
        <v>22.494695089792888</v>
      </c>
      <c r="R501" s="25">
        <f>IF(MOD(Table9[[#This Row],[Month]],12)=0,Table9[[#This Row],[Q2 ACC FACTOR]],0)</f>
        <v>0</v>
      </c>
      <c r="S501" s="25">
        <f>S500*(1+D500)+Table9[[#This Row],[ACC FACTOR PAYMENTS]]</f>
        <v>2601.677100982417</v>
      </c>
    </row>
    <row r="502" spans="1:19" x14ac:dyDescent="0.25">
      <c r="A502" s="1">
        <v>490</v>
      </c>
      <c r="B502" s="1">
        <f t="shared" si="7"/>
        <v>0</v>
      </c>
      <c r="C502" s="7">
        <f>G$12/-PV(Table7[Monthly mortgage rate], (12*Table7[Amortization period (yrs)]),1 )</f>
        <v>4377.9977174134756</v>
      </c>
      <c r="D502" s="11">
        <f>IF(Table1[[#This Row],[Month]]&lt;=(12*Table7[mortgage term (yrs)]),Table7[Monthly mortgage rate],Table7[Monthly Exp Renewal Rate])</f>
        <v>4.9038466830562122E-3</v>
      </c>
      <c r="E502" s="21">
        <f>Table1[[#This Row],[Current mortgage rate]]*G501</f>
        <v>-11894.060117845864</v>
      </c>
      <c r="F502" s="5">
        <f>Table1[[#This Row],[Payment amount]]-Table1[[#This Row],[Interest paid]]</f>
        <v>16272.05783525934</v>
      </c>
      <c r="G502" s="20">
        <f>G501-Table1[[#This Row],[Principal repaid]]-Table1[[#This Row],[Annual paym]]</f>
        <v>-2441727.1926669134</v>
      </c>
      <c r="H502" s="20">
        <f>H501-(Table1[[#This Row],[Payment amount]]-Table1[[#This Row],[Interest Paid W/O LSP]])</f>
        <v>-1429907.0941712211</v>
      </c>
      <c r="I502">
        <f>H501*Table1[[#This Row],[Current mortgage rate]]</f>
        <v>-6956.46270468495</v>
      </c>
      <c r="J502" s="25">
        <f>IF(Table1[[#This Row],[Month]]&gt;Table7[Amortization period (yrs)]*12,0,IF(Table1[[#This Row],[Month]]&lt;Table7[mortgage term (yrs)]*12,0,IF(Table1[[#This Row],[Month]]=Table7[mortgage term (yrs)]*12,-H$5,Table1[[#This Row],[Payment amount]]+B502)))</f>
        <v>0</v>
      </c>
      <c r="K502">
        <v>491</v>
      </c>
      <c r="L502">
        <f>Table7[Initial Monthly Deposit]*Table9[[#This Row],[Inflation Modifier]]</f>
        <v>883.21586544594072</v>
      </c>
      <c r="M502">
        <f xml:space="preserve"> (1+Table7[Inflation])^(QUOTIENT(Table9[[#This Row],[Month]]-1,12))</f>
        <v>2.2080396636148518</v>
      </c>
      <c r="N502">
        <f>N501*(1+Table7[Monthly SF Inter])+Table9[[#This Row],[Monthly Payment]]-O501*(1+Table7[Monthly SF Inter])</f>
        <v>38089.18899600939</v>
      </c>
      <c r="O502">
        <f>IF(MOD(Table9[[#This Row],[Month]],12)=0,(IF(Table9[[#This Row],[Current Balance]]&lt;Table9[[#This Row],[Max Lump Sum ]],Table9[[#This Row],[Current Balance]],Table9[[#This Row],[Max Lump Sum ]])),0)</f>
        <v>0</v>
      </c>
      <c r="P502" s="21">
        <f>Table7[Max annual lump sum repayment]*SUM(C503:C514)</f>
        <v>7880.3958913442566</v>
      </c>
      <c r="Q502" s="25">
        <f>Q501*(1+Table7[Monthly SF Inter])+Table9[[#This Row],[Inflation Modifier]]-R501*(1+Table7[Monthly SF Inter])</f>
        <v>24.795500974372239</v>
      </c>
      <c r="R502" s="25">
        <f>IF(MOD(Table9[[#This Row],[Month]],12)=0,Table9[[#This Row],[Q2 ACC FACTOR]],0)</f>
        <v>0</v>
      </c>
      <c r="S502" s="25">
        <f>S501*(1+D501)+Table9[[#This Row],[ACC FACTOR PAYMENTS]]</f>
        <v>2614.4353266044527</v>
      </c>
    </row>
    <row r="503" spans="1:19" x14ac:dyDescent="0.25">
      <c r="A503" s="1">
        <v>491</v>
      </c>
      <c r="B503" s="1">
        <f t="shared" si="7"/>
        <v>0</v>
      </c>
      <c r="C503" s="7">
        <f>G$12/-PV(Table7[Monthly mortgage rate], (12*Table7[Amortization period (yrs)]),1 )</f>
        <v>4377.9977174134756</v>
      </c>
      <c r="D503" s="11">
        <f>IF(Table1[[#This Row],[Month]]&lt;=(12*Table7[mortgage term (yrs)]),Table7[Monthly mortgage rate],Table7[Monthly Exp Renewal Rate])</f>
        <v>4.9038466830562122E-3</v>
      </c>
      <c r="E503" s="21">
        <f>Table1[[#This Row],[Current mortgage rate]]*G502</f>
        <v>-11973.855794687799</v>
      </c>
      <c r="F503" s="5">
        <f>Table1[[#This Row],[Payment amount]]-Table1[[#This Row],[Interest paid]]</f>
        <v>16351.853512101276</v>
      </c>
      <c r="G503" s="20">
        <f>G502-Table1[[#This Row],[Principal repaid]]-Table1[[#This Row],[Annual paym]]</f>
        <v>-2458079.0461790147</v>
      </c>
      <c r="H503" s="20">
        <f>H502-(Table1[[#This Row],[Payment amount]]-Table1[[#This Row],[Interest Paid W/O LSP]])</f>
        <v>-1441297.1370494647</v>
      </c>
      <c r="I503">
        <f>H502*Table1[[#This Row],[Current mortgage rate]]</f>
        <v>-7012.04516083009</v>
      </c>
      <c r="J503" s="25">
        <f>IF(Table1[[#This Row],[Month]]&gt;Table7[Amortization period (yrs)]*12,0,IF(Table1[[#This Row],[Month]]&lt;Table7[mortgage term (yrs)]*12,0,IF(Table1[[#This Row],[Month]]=Table7[mortgage term (yrs)]*12,-H$5,Table1[[#This Row],[Payment amount]]+B503)))</f>
        <v>0</v>
      </c>
      <c r="K503">
        <v>492</v>
      </c>
      <c r="L503">
        <f>Table7[Initial Monthly Deposit]*Table9[[#This Row],[Inflation Modifier]]</f>
        <v>883.21586544594072</v>
      </c>
      <c r="M503">
        <f xml:space="preserve"> (1+Table7[Inflation])^(QUOTIENT(Table9[[#This Row],[Month]]-1,12))</f>
        <v>2.2080396636148518</v>
      </c>
      <c r="N503">
        <f>N502*(1+Table7[Monthly SF Inter])+Table9[[#This Row],[Monthly Payment]]-O502*(1+Table7[Monthly SF Inter])</f>
        <v>39129.481457010777</v>
      </c>
      <c r="O503">
        <f>IF(MOD(Table9[[#This Row],[Month]],12)=0,(IF(Table9[[#This Row],[Current Balance]]&lt;Table9[[#This Row],[Max Lump Sum ]],Table9[[#This Row],[Current Balance]],Table9[[#This Row],[Max Lump Sum ]])),0)</f>
        <v>7880.3958913442566</v>
      </c>
      <c r="P503" s="21">
        <f>Table7[Max annual lump sum repayment]*SUM(C504:C515)</f>
        <v>7880.3958913442566</v>
      </c>
      <c r="Q503" s="25">
        <f>Q502*(1+Table7[Monthly SF Inter])+Table9[[#This Row],[Inflation Modifier]]-R502*(1+Table7[Monthly SF Inter])</f>
        <v>27.105795187921302</v>
      </c>
      <c r="R503" s="25">
        <f>IF(MOD(Table9[[#This Row],[Month]],12)=0,Table9[[#This Row],[Q2 ACC FACTOR]],0)</f>
        <v>27.105795187921302</v>
      </c>
      <c r="S503" s="25">
        <f>S502*(1+D502)+Table9[[#This Row],[ACC FACTOR PAYMENTS]]</f>
        <v>2654.3619117968083</v>
      </c>
    </row>
    <row r="504" spans="1:19" x14ac:dyDescent="0.25">
      <c r="A504" s="1">
        <v>492</v>
      </c>
      <c r="B504" s="1">
        <f t="shared" si="7"/>
        <v>7880.3958913442566</v>
      </c>
      <c r="C504" s="7">
        <f>G$12/-PV(Table7[Monthly mortgage rate], (12*Table7[Amortization period (yrs)]),1 )</f>
        <v>4377.9977174134756</v>
      </c>
      <c r="D504" s="11">
        <f>IF(Table1[[#This Row],[Month]]&lt;=(12*Table7[mortgage term (yrs)]),Table7[Monthly mortgage rate],Table7[Monthly Exp Renewal Rate])</f>
        <v>4.9038466830562122E-3</v>
      </c>
      <c r="E504" s="21">
        <f>Table1[[#This Row],[Current mortgage rate]]*G503</f>
        <v>-12054.042777294939</v>
      </c>
      <c r="F504" s="5">
        <f>Table1[[#This Row],[Payment amount]]-Table1[[#This Row],[Interest paid]]</f>
        <v>16432.040494708413</v>
      </c>
      <c r="G504" s="20">
        <f>G503-Table1[[#This Row],[Principal repaid]]-Table1[[#This Row],[Annual paym]]</f>
        <v>-2482391.4825650672</v>
      </c>
      <c r="H504" s="20">
        <f>H503-(Table1[[#This Row],[Payment amount]]-Table1[[#This Row],[Interest Paid W/O LSP]])</f>
        <v>-1452743.0349516966</v>
      </c>
      <c r="I504">
        <f>H503*Table1[[#This Row],[Current mortgage rate]]</f>
        <v>-7067.9001848184325</v>
      </c>
      <c r="J504" s="25">
        <f>IF(Table1[[#This Row],[Month]]&gt;Table7[Amortization period (yrs)]*12,0,IF(Table1[[#This Row],[Month]]&lt;Table7[mortgage term (yrs)]*12,0,IF(Table1[[#This Row],[Month]]=Table7[mortgage term (yrs)]*12,-H$5,Table1[[#This Row],[Payment amount]]+B504)))</f>
        <v>0</v>
      </c>
      <c r="K504">
        <v>493</v>
      </c>
      <c r="L504">
        <f>Table7[Initial Monthly Deposit]*Table9[[#This Row],[Inflation Modifier]]</f>
        <v>900.88018275485956</v>
      </c>
      <c r="M504">
        <f xml:space="preserve"> (1+Table7[Inflation])^(QUOTIENT(Table9[[#This Row],[Month]]-1,12))</f>
        <v>2.2522004568871488</v>
      </c>
      <c r="N504">
        <f>N503*(1+Table7[Monthly SF Inter])+Table9[[#This Row],[Monthly Payment]]-O503*(1+Table7[Monthly SF Inter])</f>
        <v>32278.834335657248</v>
      </c>
      <c r="O504">
        <f>IF(MOD(Table9[[#This Row],[Month]],12)=0,(IF(Table9[[#This Row],[Current Balance]]&lt;Table9[[#This Row],[Max Lump Sum ]],Table9[[#This Row],[Current Balance]],Table9[[#This Row],[Max Lump Sum ]])),0)</f>
        <v>0</v>
      </c>
      <c r="P504" s="21">
        <f>Table7[Max annual lump sum repayment]*SUM(C505:C516)</f>
        <v>7880.3958913442566</v>
      </c>
      <c r="Q504" s="25">
        <f>Q503*(1+Table7[Monthly SF Inter])+Table9[[#This Row],[Inflation Modifier]]-R503*(1+Table7[Monthly SF Inter])</f>
        <v>2.2522004568871488</v>
      </c>
      <c r="R504" s="25">
        <f>IF(MOD(Table9[[#This Row],[Month]],12)=0,Table9[[#This Row],[Q2 ACC FACTOR]],0)</f>
        <v>0</v>
      </c>
      <c r="S504" s="25">
        <f>S503*(1+D503)+Table9[[#This Row],[ACC FACTOR PAYMENTS]]</f>
        <v>2667.3784956536037</v>
      </c>
    </row>
    <row r="505" spans="1:19" x14ac:dyDescent="0.25">
      <c r="A505" s="1">
        <v>493</v>
      </c>
      <c r="B505" s="1">
        <f t="shared" si="7"/>
        <v>0</v>
      </c>
      <c r="C505" s="7">
        <f>G$12/-PV(Table7[Monthly mortgage rate], (12*Table7[Amortization period (yrs)]),1 )</f>
        <v>4377.9977174134756</v>
      </c>
      <c r="D505" s="11">
        <f>IF(Table1[[#This Row],[Month]]&lt;=(12*Table7[mortgage term (yrs)]),Table7[Monthly mortgage rate],Table7[Monthly Exp Renewal Rate])</f>
        <v>4.9038466830562122E-3</v>
      </c>
      <c r="E505" s="21">
        <f>Table1[[#This Row],[Current mortgage rate]]*G504</f>
        <v>-12173.267237823698</v>
      </c>
      <c r="F505" s="5">
        <f>Table1[[#This Row],[Payment amount]]-Table1[[#This Row],[Interest paid]]</f>
        <v>16551.264955237173</v>
      </c>
      <c r="G505" s="20">
        <f>G504-Table1[[#This Row],[Principal repaid]]-Table1[[#This Row],[Annual paym]]</f>
        <v>-2498942.7475203043</v>
      </c>
      <c r="H505" s="20">
        <f>H504-(Table1[[#This Row],[Payment amount]]-Table1[[#This Row],[Interest Paid W/O LSP]])</f>
        <v>-1464245.061782391</v>
      </c>
      <c r="I505">
        <f>H504*Table1[[#This Row],[Current mortgage rate]]</f>
        <v>-7124.0291132808925</v>
      </c>
      <c r="J505" s="25">
        <f>IF(Table1[[#This Row],[Month]]&gt;Table7[Amortization period (yrs)]*12,0,IF(Table1[[#This Row],[Month]]&lt;Table7[mortgage term (yrs)]*12,0,IF(Table1[[#This Row],[Month]]=Table7[mortgage term (yrs)]*12,-H$5,Table1[[#This Row],[Payment amount]]+B505)))</f>
        <v>0</v>
      </c>
      <c r="K505">
        <v>494</v>
      </c>
      <c r="L505">
        <f>Table7[Initial Monthly Deposit]*Table9[[#This Row],[Inflation Modifier]]</f>
        <v>900.88018275485956</v>
      </c>
      <c r="M505">
        <f xml:space="preserve"> (1+Table7[Inflation])^(QUOTIENT(Table9[[#This Row],[Month]]-1,12))</f>
        <v>2.2522004568871488</v>
      </c>
      <c r="N505">
        <f>N504*(1+Table7[Monthly SF Inter])+Table9[[#This Row],[Monthly Payment]]-O504*(1+Table7[Monthly SF Inter])</f>
        <v>33312.829702525749</v>
      </c>
      <c r="O505">
        <f>IF(MOD(Table9[[#This Row],[Month]],12)=0,(IF(Table9[[#This Row],[Current Balance]]&lt;Table9[[#This Row],[Max Lump Sum ]],Table9[[#This Row],[Current Balance]],Table9[[#This Row],[Max Lump Sum ]])),0)</f>
        <v>0</v>
      </c>
      <c r="P505" s="21">
        <f>Table7[Max annual lump sum repayment]*SUM(C506:C517)</f>
        <v>7880.3958913442566</v>
      </c>
      <c r="Q505" s="25">
        <f>Q504*(1+Table7[Monthly SF Inter])+Table9[[#This Row],[Inflation Modifier]]-R504*(1+Table7[Monthly SF Inter])</f>
        <v>4.5136887980690599</v>
      </c>
      <c r="R505" s="25">
        <f>IF(MOD(Table9[[#This Row],[Month]],12)=0,Table9[[#This Row],[Q2 ACC FACTOR]],0)</f>
        <v>0</v>
      </c>
      <c r="S505" s="25">
        <f>S504*(1+D504)+Table9[[#This Row],[ACC FACTOR PAYMENTS]]</f>
        <v>2680.45891084197</v>
      </c>
    </row>
    <row r="506" spans="1:19" x14ac:dyDescent="0.25">
      <c r="A506" s="1">
        <v>494</v>
      </c>
      <c r="B506" s="1">
        <f t="shared" si="7"/>
        <v>0</v>
      </c>
      <c r="C506" s="7">
        <f>G$12/-PV(Table7[Monthly mortgage rate], (12*Table7[Amortization period (yrs)]),1 )</f>
        <v>4377.9977174134756</v>
      </c>
      <c r="D506" s="11">
        <f>IF(Table1[[#This Row],[Month]]&lt;=(12*Table7[mortgage term (yrs)]),Table7[Monthly mortgage rate],Table7[Monthly Exp Renewal Rate])</f>
        <v>4.9038466830562122E-3</v>
      </c>
      <c r="E506" s="21">
        <f>Table1[[#This Row],[Current mortgage rate]]*G505</f>
        <v>-12254.432103574822</v>
      </c>
      <c r="F506" s="5">
        <f>Table1[[#This Row],[Payment amount]]-Table1[[#This Row],[Interest paid]]</f>
        <v>16632.429820988298</v>
      </c>
      <c r="G506" s="20">
        <f>G505-Table1[[#This Row],[Principal repaid]]-Table1[[#This Row],[Annual paym]]</f>
        <v>-2515575.1773412926</v>
      </c>
      <c r="H506" s="20">
        <f>H505-(Table1[[#This Row],[Payment amount]]-Table1[[#This Row],[Interest Paid W/O LSP]])</f>
        <v>-1475803.4927892075</v>
      </c>
      <c r="I506">
        <f>H505*Table1[[#This Row],[Current mortgage rate]]</f>
        <v>-7180.4332894030167</v>
      </c>
      <c r="J506" s="25">
        <f>IF(Table1[[#This Row],[Month]]&gt;Table7[Amortization period (yrs)]*12,0,IF(Table1[[#This Row],[Month]]&lt;Table7[mortgage term (yrs)]*12,0,IF(Table1[[#This Row],[Month]]=Table7[mortgage term (yrs)]*12,-H$5,Table1[[#This Row],[Payment amount]]+B506)))</f>
        <v>0</v>
      </c>
      <c r="K506">
        <v>495</v>
      </c>
      <c r="L506">
        <f>Table7[Initial Monthly Deposit]*Table9[[#This Row],[Inflation Modifier]]</f>
        <v>900.88018275485956</v>
      </c>
      <c r="M506">
        <f xml:space="preserve"> (1+Table7[Inflation])^(QUOTIENT(Table9[[#This Row],[Month]]-1,12))</f>
        <v>2.2522004568871488</v>
      </c>
      <c r="N506">
        <f>N505*(1+Table7[Monthly SF Inter])+Table9[[#This Row],[Monthly Payment]]-O505*(1+Table7[Monthly SF Inter])</f>
        <v>34351.089178878574</v>
      </c>
      <c r="O506">
        <f>IF(MOD(Table9[[#This Row],[Month]],12)=0,(IF(Table9[[#This Row],[Current Balance]]&lt;Table9[[#This Row],[Max Lump Sum ]],Table9[[#This Row],[Current Balance]],Table9[[#This Row],[Max Lump Sum ]])),0)</f>
        <v>0</v>
      </c>
      <c r="P506" s="21">
        <f>Table7[Max annual lump sum repayment]*SUM(C507:C518)</f>
        <v>7880.3958913442566</v>
      </c>
      <c r="Q506" s="25">
        <f>Q505*(1+Table7[Monthly SF Inter])+Table9[[#This Row],[Inflation Modifier]]-R505*(1+Table7[Monthly SF Inter])</f>
        <v>6.7845033259954137</v>
      </c>
      <c r="R506" s="25">
        <f>IF(MOD(Table9[[#This Row],[Month]],12)=0,Table9[[#This Row],[Q2 ACC FACTOR]],0)</f>
        <v>0</v>
      </c>
      <c r="S506" s="25">
        <f>S505*(1+D505)+Table9[[#This Row],[ACC FACTOR PAYMENTS]]</f>
        <v>2693.603470380971</v>
      </c>
    </row>
    <row r="507" spans="1:19" x14ac:dyDescent="0.25">
      <c r="A507" s="1">
        <v>495</v>
      </c>
      <c r="B507" s="1">
        <f t="shared" si="7"/>
        <v>0</v>
      </c>
      <c r="C507" s="7">
        <f>G$12/-PV(Table7[Monthly mortgage rate], (12*Table7[Amortization period (yrs)]),1 )</f>
        <v>4377.9977174134756</v>
      </c>
      <c r="D507" s="11">
        <f>IF(Table1[[#This Row],[Month]]&lt;=(12*Table7[mortgage term (yrs)]),Table7[Monthly mortgage rate],Table7[Monthly Exp Renewal Rate])</f>
        <v>4.9038466830562122E-3</v>
      </c>
      <c r="E507" s="21">
        <f>Table1[[#This Row],[Current mortgage rate]]*G506</f>
        <v>-12335.99498938364</v>
      </c>
      <c r="F507" s="5">
        <f>Table1[[#This Row],[Payment amount]]-Table1[[#This Row],[Interest paid]]</f>
        <v>16713.992706797115</v>
      </c>
      <c r="G507" s="20">
        <f>G506-Table1[[#This Row],[Principal repaid]]-Table1[[#This Row],[Annual paym]]</f>
        <v>-2532289.1700480897</v>
      </c>
      <c r="H507" s="20">
        <f>H506-(Table1[[#This Row],[Payment amount]]-Table1[[#This Row],[Interest Paid W/O LSP]])</f>
        <v>-1487418.6045695781</v>
      </c>
      <c r="I507">
        <f>H506*Table1[[#This Row],[Current mortgage rate]]</f>
        <v>-7237.1140629571273</v>
      </c>
      <c r="J507" s="25">
        <f>IF(Table1[[#This Row],[Month]]&gt;Table7[Amortization period (yrs)]*12,0,IF(Table1[[#This Row],[Month]]&lt;Table7[mortgage term (yrs)]*12,0,IF(Table1[[#This Row],[Month]]=Table7[mortgage term (yrs)]*12,-H$5,Table1[[#This Row],[Payment amount]]+B507)))</f>
        <v>0</v>
      </c>
      <c r="K507">
        <v>496</v>
      </c>
      <c r="L507">
        <f>Table7[Initial Monthly Deposit]*Table9[[#This Row],[Inflation Modifier]]</f>
        <v>900.88018275485956</v>
      </c>
      <c r="M507">
        <f xml:space="preserve"> (1+Table7[Inflation])^(QUOTIENT(Table9[[#This Row],[Month]]-1,12))</f>
        <v>2.2522004568871488</v>
      </c>
      <c r="N507">
        <f>N506*(1+Table7[Monthly SF Inter])+Table9[[#This Row],[Monthly Payment]]-O506*(1+Table7[Monthly SF Inter])</f>
        <v>35393.630349542756</v>
      </c>
      <c r="O507">
        <f>IF(MOD(Table9[[#This Row],[Month]],12)=0,(IF(Table9[[#This Row],[Current Balance]]&lt;Table9[[#This Row],[Max Lump Sum ]],Table9[[#This Row],[Current Balance]],Table9[[#This Row],[Max Lump Sum ]])),0)</f>
        <v>0</v>
      </c>
      <c r="P507" s="21">
        <f>Table7[Max annual lump sum repayment]*SUM(C508:C519)</f>
        <v>7880.3958913442566</v>
      </c>
      <c r="Q507" s="25">
        <f>Q506*(1+Table7[Monthly SF Inter])+Table9[[#This Row],[Inflation Modifier]]-R506*(1+Table7[Monthly SF Inter])</f>
        <v>9.0646825010719567</v>
      </c>
      <c r="R507" s="25">
        <f>IF(MOD(Table9[[#This Row],[Month]],12)=0,Table9[[#This Row],[Q2 ACC FACTOR]],0)</f>
        <v>0</v>
      </c>
      <c r="S507" s="25">
        <f>S506*(1+D506)+Table9[[#This Row],[ACC FACTOR PAYMENTS]]</f>
        <v>2706.8124888246675</v>
      </c>
    </row>
    <row r="508" spans="1:19" x14ac:dyDescent="0.25">
      <c r="A508" s="1">
        <v>496</v>
      </c>
      <c r="B508" s="1">
        <f t="shared" si="7"/>
        <v>0</v>
      </c>
      <c r="C508" s="7">
        <f>G$12/-PV(Table7[Monthly mortgage rate], (12*Table7[Amortization period (yrs)]),1 )</f>
        <v>4377.9977174134756</v>
      </c>
      <c r="D508" s="11">
        <f>IF(Table1[[#This Row],[Month]]&lt;=(12*Table7[mortgage term (yrs)]),Table7[Monthly mortgage rate],Table7[Monthly Exp Renewal Rate])</f>
        <v>4.9038466830562122E-3</v>
      </c>
      <c r="E508" s="21">
        <f>Table1[[#This Row],[Current mortgage rate]]*G507</f>
        <v>-12417.957847079493</v>
      </c>
      <c r="F508" s="5">
        <f>Table1[[#This Row],[Payment amount]]-Table1[[#This Row],[Interest paid]]</f>
        <v>16795.955564492968</v>
      </c>
      <c r="G508" s="20">
        <f>G507-Table1[[#This Row],[Principal repaid]]-Table1[[#This Row],[Annual paym]]</f>
        <v>-2549085.1256125825</v>
      </c>
      <c r="H508" s="20">
        <f>H507-(Table1[[#This Row],[Payment amount]]-Table1[[#This Row],[Interest Paid W/O LSP]])</f>
        <v>-1499090.6750773261</v>
      </c>
      <c r="I508">
        <f>H507*Table1[[#This Row],[Current mortgage rate]]</f>
        <v>-7294.0727903346251</v>
      </c>
      <c r="J508" s="25">
        <f>IF(Table1[[#This Row],[Month]]&gt;Table7[Amortization period (yrs)]*12,0,IF(Table1[[#This Row],[Month]]&lt;Table7[mortgage term (yrs)]*12,0,IF(Table1[[#This Row],[Month]]=Table7[mortgage term (yrs)]*12,-H$5,Table1[[#This Row],[Payment amount]]+B508)))</f>
        <v>0</v>
      </c>
      <c r="K508">
        <v>497</v>
      </c>
      <c r="L508">
        <f>Table7[Initial Monthly Deposit]*Table9[[#This Row],[Inflation Modifier]]</f>
        <v>900.88018275485956</v>
      </c>
      <c r="M508">
        <f xml:space="preserve"> (1+Table7[Inflation])^(QUOTIENT(Table9[[#This Row],[Month]]-1,12))</f>
        <v>2.2522004568871488</v>
      </c>
      <c r="N508">
        <f>N507*(1+Table7[Monthly SF Inter])+Table9[[#This Row],[Monthly Payment]]-O507*(1+Table7[Monthly SF Inter])</f>
        <v>36440.47087186369</v>
      </c>
      <c r="O508">
        <f>IF(MOD(Table9[[#This Row],[Month]],12)=0,(IF(Table9[[#This Row],[Current Balance]]&lt;Table9[[#This Row],[Max Lump Sum ]],Table9[[#This Row],[Current Balance]],Table9[[#This Row],[Max Lump Sum ]])),0)</f>
        <v>0</v>
      </c>
      <c r="P508" s="21">
        <f>Table7[Max annual lump sum repayment]*SUM(C509:C520)</f>
        <v>7880.3958913442566</v>
      </c>
      <c r="Q508" s="25">
        <f>Q507*(1+Table7[Monthly SF Inter])+Table9[[#This Row],[Inflation Modifier]]-R507*(1+Table7[Monthly SF Inter])</f>
        <v>11.354264942311898</v>
      </c>
      <c r="R508" s="25">
        <f>IF(MOD(Table9[[#This Row],[Month]],12)=0,Table9[[#This Row],[Q2 ACC FACTOR]],0)</f>
        <v>0</v>
      </c>
      <c r="S508" s="25">
        <f>S507*(1+D507)+Table9[[#This Row],[ACC FACTOR PAYMENTS]]</f>
        <v>2720.0862822696454</v>
      </c>
    </row>
    <row r="509" spans="1:19" x14ac:dyDescent="0.25">
      <c r="A509" s="1">
        <v>497</v>
      </c>
      <c r="B509" s="1">
        <f t="shared" si="7"/>
        <v>0</v>
      </c>
      <c r="C509" s="7">
        <f>G$12/-PV(Table7[Monthly mortgage rate], (12*Table7[Amortization period (yrs)]),1 )</f>
        <v>4377.9977174134756</v>
      </c>
      <c r="D509" s="11">
        <f>IF(Table1[[#This Row],[Month]]&lt;=(12*Table7[mortgage term (yrs)]),Table7[Monthly mortgage rate],Table7[Monthly Exp Renewal Rate])</f>
        <v>4.9038466830562122E-3</v>
      </c>
      <c r="E509" s="21">
        <f>Table1[[#This Row],[Current mortgage rate]]*G508</f>
        <v>-12500.322638063191</v>
      </c>
      <c r="F509" s="5">
        <f>Table1[[#This Row],[Payment amount]]-Table1[[#This Row],[Interest paid]]</f>
        <v>16878.320355476666</v>
      </c>
      <c r="G509" s="20">
        <f>G508-Table1[[#This Row],[Principal repaid]]-Table1[[#This Row],[Annual paym]]</f>
        <v>-2565963.4459680594</v>
      </c>
      <c r="H509" s="20">
        <f>H508-(Table1[[#This Row],[Payment amount]]-Table1[[#This Row],[Interest Paid W/O LSP]])</f>
        <v>-1510819.983629318</v>
      </c>
      <c r="I509">
        <f>H508*Table1[[#This Row],[Current mortgage rate]]</f>
        <v>-7351.310834578444</v>
      </c>
      <c r="J509" s="25">
        <f>IF(Table1[[#This Row],[Month]]&gt;Table7[Amortization period (yrs)]*12,0,IF(Table1[[#This Row],[Month]]&lt;Table7[mortgage term (yrs)]*12,0,IF(Table1[[#This Row],[Month]]=Table7[mortgage term (yrs)]*12,-H$5,Table1[[#This Row],[Payment amount]]+B509)))</f>
        <v>0</v>
      </c>
      <c r="K509">
        <v>498</v>
      </c>
      <c r="L509">
        <f>Table7[Initial Monthly Deposit]*Table9[[#This Row],[Inflation Modifier]]</f>
        <v>900.88018275485956</v>
      </c>
      <c r="M509">
        <f xml:space="preserve"> (1+Table7[Inflation])^(QUOTIENT(Table9[[#This Row],[Month]]-1,12))</f>
        <v>2.2522004568871488</v>
      </c>
      <c r="N509">
        <f>N508*(1+Table7[Monthly SF Inter])+Table9[[#This Row],[Monthly Payment]]-O508*(1+Table7[Monthly SF Inter])</f>
        <v>37491.628476004167</v>
      </c>
      <c r="O509">
        <f>IF(MOD(Table9[[#This Row],[Month]],12)=0,(IF(Table9[[#This Row],[Current Balance]]&lt;Table9[[#This Row],[Max Lump Sum ]],Table9[[#This Row],[Current Balance]],Table9[[#This Row],[Max Lump Sum ]])),0)</f>
        <v>0</v>
      </c>
      <c r="P509" s="21">
        <f>Table7[Max annual lump sum repayment]*SUM(C510:C521)</f>
        <v>7880.3958913442566</v>
      </c>
      <c r="Q509" s="25">
        <f>Q508*(1+Table7[Monthly SF Inter])+Table9[[#This Row],[Inflation Modifier]]-R508*(1+Table7[Monthly SF Inter])</f>
        <v>13.653289427989993</v>
      </c>
      <c r="R509" s="25">
        <f>IF(MOD(Table9[[#This Row],[Month]],12)=0,Table9[[#This Row],[Q2 ACC FACTOR]],0)</f>
        <v>0</v>
      </c>
      <c r="S509" s="25">
        <f>S508*(1+D508)+Table9[[#This Row],[ACC FACTOR PAYMENTS]]</f>
        <v>2733.4251683625803</v>
      </c>
    </row>
    <row r="510" spans="1:19" x14ac:dyDescent="0.25">
      <c r="A510" s="1">
        <v>498</v>
      </c>
      <c r="B510" s="1">
        <f t="shared" si="7"/>
        <v>0</v>
      </c>
      <c r="C510" s="7">
        <f>G$12/-PV(Table7[Monthly mortgage rate], (12*Table7[Amortization period (yrs)]),1 )</f>
        <v>4377.9977174134756</v>
      </c>
      <c r="D510" s="11">
        <f>IF(Table1[[#This Row],[Month]]&lt;=(12*Table7[mortgage term (yrs)]),Table7[Monthly mortgage rate],Table7[Monthly Exp Renewal Rate])</f>
        <v>4.9038466830562122E-3</v>
      </c>
      <c r="E510" s="21">
        <f>Table1[[#This Row],[Current mortgage rate]]*G509</f>
        <v>-12583.091333353956</v>
      </c>
      <c r="F510" s="5">
        <f>Table1[[#This Row],[Payment amount]]-Table1[[#This Row],[Interest paid]]</f>
        <v>16961.08905076743</v>
      </c>
      <c r="G510" s="20">
        <f>G509-Table1[[#This Row],[Principal repaid]]-Table1[[#This Row],[Annual paym]]</f>
        <v>-2582924.5350188268</v>
      </c>
      <c r="H510" s="20">
        <f>H509-(Table1[[#This Row],[Payment amount]]-Table1[[#This Row],[Interest Paid W/O LSP]])</f>
        <v>-1522606.8109121472</v>
      </c>
      <c r="I510">
        <f>H509*Table1[[#This Row],[Current mortgage rate]]</f>
        <v>-7408.8295654156718</v>
      </c>
      <c r="J510" s="25">
        <f>IF(Table1[[#This Row],[Month]]&gt;Table7[Amortization period (yrs)]*12,0,IF(Table1[[#This Row],[Month]]&lt;Table7[mortgage term (yrs)]*12,0,IF(Table1[[#This Row],[Month]]=Table7[mortgage term (yrs)]*12,-H$5,Table1[[#This Row],[Payment amount]]+B510)))</f>
        <v>0</v>
      </c>
      <c r="K510">
        <v>499</v>
      </c>
      <c r="L510">
        <f>Table7[Initial Monthly Deposit]*Table9[[#This Row],[Inflation Modifier]]</f>
        <v>900.88018275485956</v>
      </c>
      <c r="M510">
        <f xml:space="preserve"> (1+Table7[Inflation])^(QUOTIENT(Table9[[#This Row],[Month]]-1,12))</f>
        <v>2.2522004568871488</v>
      </c>
      <c r="N510">
        <f>N509*(1+Table7[Monthly SF Inter])+Table9[[#This Row],[Monthly Payment]]-O509*(1+Table7[Monthly SF Inter])</f>
        <v>38547.120965244663</v>
      </c>
      <c r="O510">
        <f>IF(MOD(Table9[[#This Row],[Month]],12)=0,(IF(Table9[[#This Row],[Current Balance]]&lt;Table9[[#This Row],[Max Lump Sum ]],Table9[[#This Row],[Current Balance]],Table9[[#This Row],[Max Lump Sum ]])),0)</f>
        <v>0</v>
      </c>
      <c r="P510" s="21">
        <f>Table7[Max annual lump sum repayment]*SUM(C511:C522)</f>
        <v>7880.3958913442566</v>
      </c>
      <c r="Q510" s="25">
        <f>Q509*(1+Table7[Monthly SF Inter])+Table9[[#This Row],[Inflation Modifier]]-R509*(1+Table7[Monthly SF Inter])</f>
        <v>15.96179489629932</v>
      </c>
      <c r="R510" s="25">
        <f>IF(MOD(Table9[[#This Row],[Month]],12)=0,Table9[[#This Row],[Q2 ACC FACTOR]],0)</f>
        <v>0</v>
      </c>
      <c r="S510" s="25">
        <f>S509*(1+D509)+Table9[[#This Row],[ACC FACTOR PAYMENTS]]</f>
        <v>2746.8294663078373</v>
      </c>
    </row>
    <row r="511" spans="1:19" x14ac:dyDescent="0.25">
      <c r="A511" s="1">
        <v>499</v>
      </c>
      <c r="B511" s="1">
        <f t="shared" si="7"/>
        <v>0</v>
      </c>
      <c r="C511" s="7">
        <f>G$12/-PV(Table7[Monthly mortgage rate], (12*Table7[Amortization period (yrs)]),1 )</f>
        <v>4377.9977174134756</v>
      </c>
      <c r="D511" s="11">
        <f>IF(Table1[[#This Row],[Month]]&lt;=(12*Table7[mortgage term (yrs)]),Table7[Monthly mortgage rate],Table7[Monthly Exp Renewal Rate])</f>
        <v>4.9038466830562122E-3</v>
      </c>
      <c r="E511" s="21">
        <f>Table1[[#This Row],[Current mortgage rate]]*G510</f>
        <v>-12666.265913636584</v>
      </c>
      <c r="F511" s="5">
        <f>Table1[[#This Row],[Payment amount]]-Table1[[#This Row],[Interest paid]]</f>
        <v>17044.26363105006</v>
      </c>
      <c r="G511" s="20">
        <f>G510-Table1[[#This Row],[Principal repaid]]-Table1[[#This Row],[Annual paym]]</f>
        <v>-2599968.7986498768</v>
      </c>
      <c r="H511" s="20">
        <f>H510-(Table1[[#This Row],[Payment amount]]-Table1[[#This Row],[Interest Paid W/O LSP]])</f>
        <v>-1534451.4389888509</v>
      </c>
      <c r="I511">
        <f>H510*Table1[[#This Row],[Current mortgage rate]]</f>
        <v>-7466.6303592903305</v>
      </c>
      <c r="J511" s="25">
        <f>IF(Table1[[#This Row],[Month]]&gt;Table7[Amortization period (yrs)]*12,0,IF(Table1[[#This Row],[Month]]&lt;Table7[mortgage term (yrs)]*12,0,IF(Table1[[#This Row],[Month]]=Table7[mortgage term (yrs)]*12,-H$5,Table1[[#This Row],[Payment amount]]+B511)))</f>
        <v>0</v>
      </c>
      <c r="K511">
        <v>500</v>
      </c>
      <c r="L511">
        <f>Table7[Initial Monthly Deposit]*Table9[[#This Row],[Inflation Modifier]]</f>
        <v>900.88018275485956</v>
      </c>
      <c r="M511">
        <f xml:space="preserve"> (1+Table7[Inflation])^(QUOTIENT(Table9[[#This Row],[Month]]-1,12))</f>
        <v>2.2522004568871488</v>
      </c>
      <c r="N511">
        <f>N510*(1+Table7[Monthly SF Inter])+Table9[[#This Row],[Monthly Payment]]-O510*(1+Table7[Monthly SF Inter])</f>
        <v>39606.966216284884</v>
      </c>
      <c r="O511">
        <f>IF(MOD(Table9[[#This Row],[Month]],12)=0,(IF(Table9[[#This Row],[Current Balance]]&lt;Table9[[#This Row],[Max Lump Sum ]],Table9[[#This Row],[Current Balance]],Table9[[#This Row],[Max Lump Sum ]])),0)</f>
        <v>0</v>
      </c>
      <c r="P511" s="21">
        <f>Table7[Max annual lump sum repayment]*SUM(C512:C523)</f>
        <v>7880.3958913442566</v>
      </c>
      <c r="Q511" s="25">
        <f>Q510*(1+Table7[Monthly SF Inter])+Table9[[#This Row],[Inflation Modifier]]-R510*(1+Table7[Monthly SF Inter])</f>
        <v>18.279820446010778</v>
      </c>
      <c r="R511" s="25">
        <f>IF(MOD(Table9[[#This Row],[Month]],12)=0,Table9[[#This Row],[Q2 ACC FACTOR]],0)</f>
        <v>0</v>
      </c>
      <c r="S511" s="25">
        <f>S510*(1+D510)+Table9[[#This Row],[ACC FACTOR PAYMENTS]]</f>
        <v>2760.2994968751118</v>
      </c>
    </row>
    <row r="512" spans="1:19" x14ac:dyDescent="0.25">
      <c r="A512" s="1">
        <v>500</v>
      </c>
      <c r="B512" s="1">
        <f t="shared" si="7"/>
        <v>0</v>
      </c>
      <c r="C512" s="7">
        <f>G$12/-PV(Table7[Monthly mortgage rate], (12*Table7[Amortization period (yrs)]),1 )</f>
        <v>4377.9977174134756</v>
      </c>
      <c r="D512" s="11">
        <f>IF(Table1[[#This Row],[Month]]&lt;=(12*Table7[mortgage term (yrs)]),Table7[Monthly mortgage rate],Table7[Monthly Exp Renewal Rate])</f>
        <v>4.9038466830562122E-3</v>
      </c>
      <c r="E512" s="21">
        <f>Table1[[#This Row],[Current mortgage rate]]*G511</f>
        <v>-12749.848369308844</v>
      </c>
      <c r="F512" s="5">
        <f>Table1[[#This Row],[Payment amount]]-Table1[[#This Row],[Interest paid]]</f>
        <v>17127.846086722318</v>
      </c>
      <c r="G512" s="20">
        <f>G511-Table1[[#This Row],[Principal repaid]]-Table1[[#This Row],[Annual paym]]</f>
        <v>-2617096.6447365992</v>
      </c>
      <c r="H512" s="20">
        <f>H511-(Table1[[#This Row],[Payment amount]]-Table1[[#This Row],[Interest Paid W/O LSP]])</f>
        <v>-1546354.1513056606</v>
      </c>
      <c r="I512">
        <f>H511*Table1[[#This Row],[Current mortgage rate]]</f>
        <v>-7524.7145993963086</v>
      </c>
      <c r="J512" s="25">
        <f>IF(Table1[[#This Row],[Month]]&gt;Table7[Amortization period (yrs)]*12,0,IF(Table1[[#This Row],[Month]]&lt;Table7[mortgage term (yrs)]*12,0,IF(Table1[[#This Row],[Month]]=Table7[mortgage term (yrs)]*12,-H$5,Table1[[#This Row],[Payment amount]]+B512)))</f>
        <v>0</v>
      </c>
      <c r="K512">
        <v>501</v>
      </c>
      <c r="L512">
        <f>Table7[Initial Monthly Deposit]*Table9[[#This Row],[Inflation Modifier]]</f>
        <v>900.88018275485956</v>
      </c>
      <c r="M512">
        <f xml:space="preserve"> (1+Table7[Inflation])^(QUOTIENT(Table9[[#This Row],[Month]]-1,12))</f>
        <v>2.2522004568871488</v>
      </c>
      <c r="N512">
        <f>N511*(1+Table7[Monthly SF Inter])+Table9[[#This Row],[Monthly Payment]]-O511*(1+Table7[Monthly SF Inter])</f>
        <v>40671.182179546522</v>
      </c>
      <c r="O512">
        <f>IF(MOD(Table9[[#This Row],[Month]],12)=0,(IF(Table9[[#This Row],[Current Balance]]&lt;Table9[[#This Row],[Max Lump Sum ]],Table9[[#This Row],[Current Balance]],Table9[[#This Row],[Max Lump Sum ]])),0)</f>
        <v>0</v>
      </c>
      <c r="P512" s="21">
        <f>Table7[Max annual lump sum repayment]*SUM(C513:C524)</f>
        <v>7880.3958913442566</v>
      </c>
      <c r="Q512" s="25">
        <f>Q511*(1+Table7[Monthly SF Inter])+Table9[[#This Row],[Inflation Modifier]]-R511*(1+Table7[Monthly SF Inter])</f>
        <v>20.60740533713529</v>
      </c>
      <c r="R512" s="25">
        <f>IF(MOD(Table9[[#This Row],[Month]],12)=0,Table9[[#This Row],[Q2 ACC FACTOR]],0)</f>
        <v>0</v>
      </c>
      <c r="S512" s="25">
        <f>S511*(1+D511)+Table9[[#This Row],[ACC FACTOR PAYMENTS]]</f>
        <v>2773.8355824071045</v>
      </c>
    </row>
    <row r="513" spans="1:19" x14ac:dyDescent="0.25">
      <c r="A513" s="1">
        <v>501</v>
      </c>
      <c r="B513" s="1">
        <f t="shared" si="7"/>
        <v>0</v>
      </c>
      <c r="C513" s="7">
        <f>G$12/-PV(Table7[Monthly mortgage rate], (12*Table7[Amortization period (yrs)]),1 )</f>
        <v>4377.9977174134756</v>
      </c>
      <c r="D513" s="11">
        <f>IF(Table1[[#This Row],[Month]]&lt;=(12*Table7[mortgage term (yrs)]),Table7[Monthly mortgage rate],Table7[Monthly Exp Renewal Rate])</f>
        <v>4.9038466830562122E-3</v>
      </c>
      <c r="E513" s="21">
        <f>Table1[[#This Row],[Current mortgage rate]]*G512</f>
        <v>-12833.840700529114</v>
      </c>
      <c r="F513" s="5">
        <f>Table1[[#This Row],[Payment amount]]-Table1[[#This Row],[Interest paid]]</f>
        <v>17211.838417942588</v>
      </c>
      <c r="G513" s="20">
        <f>G512-Table1[[#This Row],[Principal repaid]]-Table1[[#This Row],[Annual paym]]</f>
        <v>-2634308.4831545418</v>
      </c>
      <c r="H513" s="20">
        <f>H512-(Table1[[#This Row],[Payment amount]]-Table1[[#This Row],[Interest Paid W/O LSP]])</f>
        <v>-1558315.2326987844</v>
      </c>
      <c r="I513">
        <f>H512*Table1[[#This Row],[Current mortgage rate]]</f>
        <v>-7583.083675710468</v>
      </c>
      <c r="J513" s="25">
        <f>IF(Table1[[#This Row],[Month]]&gt;Table7[Amortization period (yrs)]*12,0,IF(Table1[[#This Row],[Month]]&lt;Table7[mortgage term (yrs)]*12,0,IF(Table1[[#This Row],[Month]]=Table7[mortgage term (yrs)]*12,-H$5,Table1[[#This Row],[Payment amount]]+B513)))</f>
        <v>0</v>
      </c>
      <c r="K513">
        <v>502</v>
      </c>
      <c r="L513">
        <f>Table7[Initial Monthly Deposit]*Table9[[#This Row],[Inflation Modifier]]</f>
        <v>900.88018275485956</v>
      </c>
      <c r="M513">
        <f xml:space="preserve"> (1+Table7[Inflation])^(QUOTIENT(Table9[[#This Row],[Month]]-1,12))</f>
        <v>2.2522004568871488</v>
      </c>
      <c r="N513">
        <f>N512*(1+Table7[Monthly SF Inter])+Table9[[#This Row],[Monthly Payment]]-O512*(1+Table7[Monthly SF Inter])</f>
        <v>41739.786879477309</v>
      </c>
      <c r="O513">
        <f>IF(MOD(Table9[[#This Row],[Month]],12)=0,(IF(Table9[[#This Row],[Current Balance]]&lt;Table9[[#This Row],[Max Lump Sum ]],Table9[[#This Row],[Current Balance]],Table9[[#This Row],[Max Lump Sum ]])),0)</f>
        <v>0</v>
      </c>
      <c r="P513" s="21">
        <f>Table7[Max annual lump sum repayment]*SUM(C514:C525)</f>
        <v>7880.3958913442566</v>
      </c>
      <c r="Q513" s="25">
        <f>Q512*(1+Table7[Monthly SF Inter])+Table9[[#This Row],[Inflation Modifier]]-R512*(1+Table7[Monthly SF Inter])</f>
        <v>22.944588991588748</v>
      </c>
      <c r="R513" s="25">
        <f>IF(MOD(Table9[[#This Row],[Month]],12)=0,Table9[[#This Row],[Q2 ACC FACTOR]],0)</f>
        <v>0</v>
      </c>
      <c r="S513" s="25">
        <f>S512*(1+D512)+Table9[[#This Row],[ACC FACTOR PAYMENTS]]</f>
        <v>2787.4380468272348</v>
      </c>
    </row>
    <row r="514" spans="1:19" x14ac:dyDescent="0.25">
      <c r="A514" s="1">
        <v>502</v>
      </c>
      <c r="B514" s="1">
        <f t="shared" si="7"/>
        <v>0</v>
      </c>
      <c r="C514" s="7">
        <f>G$12/-PV(Table7[Monthly mortgage rate], (12*Table7[Amortization period (yrs)]),1 )</f>
        <v>4377.9977174134756</v>
      </c>
      <c r="D514" s="11">
        <f>IF(Table1[[#This Row],[Month]]&lt;=(12*Table7[mortgage term (yrs)]),Table7[Monthly mortgage rate],Table7[Monthly Exp Renewal Rate])</f>
        <v>4.9038466830562122E-3</v>
      </c>
      <c r="E514" s="21">
        <f>Table1[[#This Row],[Current mortgage rate]]*G513</f>
        <v>-12918.244917264241</v>
      </c>
      <c r="F514" s="5">
        <f>Table1[[#This Row],[Payment amount]]-Table1[[#This Row],[Interest paid]]</f>
        <v>17296.242634677717</v>
      </c>
      <c r="G514" s="20">
        <f>G513-Table1[[#This Row],[Principal repaid]]-Table1[[#This Row],[Annual paym]]</f>
        <v>-2651604.7257892196</v>
      </c>
      <c r="H514" s="20">
        <f>H513-(Table1[[#This Row],[Payment amount]]-Table1[[#This Row],[Interest Paid W/O LSP]])</f>
        <v>-1570334.9694012238</v>
      </c>
      <c r="I514">
        <f>H513*Table1[[#This Row],[Current mortgage rate]]</f>
        <v>-7641.7389850259033</v>
      </c>
      <c r="J514" s="25">
        <f>IF(Table1[[#This Row],[Month]]&gt;Table7[Amortization period (yrs)]*12,0,IF(Table1[[#This Row],[Month]]&lt;Table7[mortgage term (yrs)]*12,0,IF(Table1[[#This Row],[Month]]=Table7[mortgage term (yrs)]*12,-H$5,Table1[[#This Row],[Payment amount]]+B514)))</f>
        <v>0</v>
      </c>
      <c r="K514">
        <v>503</v>
      </c>
      <c r="L514">
        <f>Table7[Initial Monthly Deposit]*Table9[[#This Row],[Inflation Modifier]]</f>
        <v>900.88018275485956</v>
      </c>
      <c r="M514">
        <f xml:space="preserve"> (1+Table7[Inflation])^(QUOTIENT(Table9[[#This Row],[Month]]-1,12))</f>
        <v>2.2522004568871488</v>
      </c>
      <c r="N514">
        <f>N513*(1+Table7[Monthly SF Inter])+Table9[[#This Row],[Monthly Payment]]-O513*(1+Table7[Monthly SF Inter])</f>
        <v>42812.798414856268</v>
      </c>
      <c r="O514">
        <f>IF(MOD(Table9[[#This Row],[Month]],12)=0,(IF(Table9[[#This Row],[Current Balance]]&lt;Table9[[#This Row],[Max Lump Sum ]],Table9[[#This Row],[Current Balance]],Table9[[#This Row],[Max Lump Sum ]])),0)</f>
        <v>0</v>
      </c>
      <c r="P514" s="21">
        <f>Table7[Max annual lump sum repayment]*SUM(C515:C526)</f>
        <v>7880.3958913442566</v>
      </c>
      <c r="Q514" s="25">
        <f>Q513*(1+Table7[Monthly SF Inter])+Table9[[#This Row],[Inflation Modifier]]-R513*(1+Table7[Monthly SF Inter])</f>
        <v>25.291410993859689</v>
      </c>
      <c r="R514" s="25">
        <f>IF(MOD(Table9[[#This Row],[Month]],12)=0,Table9[[#This Row],[Q2 ACC FACTOR]],0)</f>
        <v>0</v>
      </c>
      <c r="S514" s="25">
        <f>S513*(1+D513)+Table9[[#This Row],[ACC FACTOR PAYMENTS]]</f>
        <v>2801.1072156473933</v>
      </c>
    </row>
    <row r="515" spans="1:19" x14ac:dyDescent="0.25">
      <c r="A515" s="1">
        <v>503</v>
      </c>
      <c r="B515" s="1">
        <f t="shared" si="7"/>
        <v>0</v>
      </c>
      <c r="C515" s="7">
        <f>G$12/-PV(Table7[Monthly mortgage rate], (12*Table7[Amortization period (yrs)]),1 )</f>
        <v>4377.9977174134756</v>
      </c>
      <c r="D515" s="11">
        <f>IF(Table1[[#This Row],[Month]]&lt;=(12*Table7[mortgage term (yrs)]),Table7[Monthly mortgage rate],Table7[Monthly Exp Renewal Rate])</f>
        <v>4.9038466830562122E-3</v>
      </c>
      <c r="E515" s="21">
        <f>Table1[[#This Row],[Current mortgage rate]]*G514</f>
        <v>-13003.063039337641</v>
      </c>
      <c r="F515" s="5">
        <f>Table1[[#This Row],[Payment amount]]-Table1[[#This Row],[Interest paid]]</f>
        <v>17381.060756751118</v>
      </c>
      <c r="G515" s="20">
        <f>G514-Table1[[#This Row],[Principal repaid]]-Table1[[#This Row],[Annual paym]]</f>
        <v>-2668985.7865459709</v>
      </c>
      <c r="H515" s="20">
        <f>H514-(Table1[[#This Row],[Payment amount]]-Table1[[#This Row],[Interest Paid W/O LSP]])</f>
        <v>-1582413.6490496227</v>
      </c>
      <c r="I515">
        <f>H514*Table1[[#This Row],[Current mortgage rate]]</f>
        <v>-7700.6819309853699</v>
      </c>
      <c r="J515" s="25">
        <f>IF(Table1[[#This Row],[Month]]&gt;Table7[Amortization period (yrs)]*12,0,IF(Table1[[#This Row],[Month]]&lt;Table7[mortgage term (yrs)]*12,0,IF(Table1[[#This Row],[Month]]=Table7[mortgage term (yrs)]*12,-H$5,Table1[[#This Row],[Payment amount]]+B515)))</f>
        <v>0</v>
      </c>
      <c r="K515">
        <v>504</v>
      </c>
      <c r="L515">
        <f>Table7[Initial Monthly Deposit]*Table9[[#This Row],[Inflation Modifier]]</f>
        <v>900.88018275485956</v>
      </c>
      <c r="M515">
        <f xml:space="preserve"> (1+Table7[Inflation])^(QUOTIENT(Table9[[#This Row],[Month]]-1,12))</f>
        <v>2.2522004568871488</v>
      </c>
      <c r="N515">
        <f>N514*(1+Table7[Monthly SF Inter])+Table9[[#This Row],[Monthly Payment]]-O514*(1+Table7[Monthly SF Inter])</f>
        <v>43890.234959100257</v>
      </c>
      <c r="O515">
        <f>IF(MOD(Table9[[#This Row],[Month]],12)=0,(IF(Table9[[#This Row],[Current Balance]]&lt;Table9[[#This Row],[Max Lump Sum ]],Table9[[#This Row],[Current Balance]],Table9[[#This Row],[Max Lump Sum ]])),0)</f>
        <v>7880.3958913442566</v>
      </c>
      <c r="P515" s="21">
        <f>Table7[Max annual lump sum repayment]*SUM(C516:C527)</f>
        <v>7880.3958913442566</v>
      </c>
      <c r="Q515" s="25">
        <f>Q514*(1+Table7[Monthly SF Inter])+Table9[[#This Row],[Inflation Modifier]]-R514*(1+Table7[Monthly SF Inter])</f>
        <v>27.647911091679735</v>
      </c>
      <c r="R515" s="25">
        <f>IF(MOD(Table9[[#This Row],[Month]],12)=0,Table9[[#This Row],[Q2 ACC FACTOR]],0)</f>
        <v>27.647911091679735</v>
      </c>
      <c r="S515" s="25">
        <f>S514*(1+D514)+Table9[[#This Row],[ACC FACTOR PAYMENTS]]</f>
        <v>2842.4913270674106</v>
      </c>
    </row>
    <row r="516" spans="1:19" x14ac:dyDescent="0.25">
      <c r="A516" s="1">
        <v>504</v>
      </c>
      <c r="B516" s="1">
        <f t="shared" si="7"/>
        <v>7880.3958913442566</v>
      </c>
      <c r="C516" s="7">
        <f>G$12/-PV(Table7[Monthly mortgage rate], (12*Table7[Amortization period (yrs)]),1 )</f>
        <v>4377.9977174134756</v>
      </c>
      <c r="D516" s="11">
        <f>IF(Table1[[#This Row],[Month]]&lt;=(12*Table7[mortgage term (yrs)]),Table7[Monthly mortgage rate],Table7[Monthly Exp Renewal Rate])</f>
        <v>4.9038466830562122E-3</v>
      </c>
      <c r="E516" s="21">
        <f>Table1[[#This Row],[Current mortgage rate]]*G515</f>
        <v>-13088.297096477636</v>
      </c>
      <c r="F516" s="5">
        <f>Table1[[#This Row],[Payment amount]]-Table1[[#This Row],[Interest paid]]</f>
        <v>17466.294813891112</v>
      </c>
      <c r="G516" s="20">
        <f>G515-Table1[[#This Row],[Principal repaid]]-Table1[[#This Row],[Annual paym]]</f>
        <v>-2694332.4772512061</v>
      </c>
      <c r="H516" s="20">
        <f>H515-(Table1[[#This Row],[Payment amount]]-Table1[[#This Row],[Interest Paid W/O LSP]])</f>
        <v>-1594551.5606911511</v>
      </c>
      <c r="I516">
        <f>H515*Table1[[#This Row],[Current mortgage rate]]</f>
        <v>-7759.9139241148696</v>
      </c>
      <c r="J516" s="25">
        <f>IF(Table1[[#This Row],[Month]]&gt;Table7[Amortization period (yrs)]*12,0,IF(Table1[[#This Row],[Month]]&lt;Table7[mortgage term (yrs)]*12,0,IF(Table1[[#This Row],[Month]]=Table7[mortgage term (yrs)]*12,-H$5,Table1[[#This Row],[Payment amount]]+B516)))</f>
        <v>0</v>
      </c>
      <c r="K516">
        <v>505</v>
      </c>
      <c r="L516">
        <f>Table7[Initial Monthly Deposit]*Table9[[#This Row],[Inflation Modifier]]</f>
        <v>918.89778640995667</v>
      </c>
      <c r="M516">
        <f xml:space="preserve"> (1+Table7[Inflation])^(QUOTIENT(Table9[[#This Row],[Month]]-1,12))</f>
        <v>2.2972444660248916</v>
      </c>
      <c r="N516">
        <f>N515*(1+Table7[Monthly SF Inter])+Table9[[#This Row],[Monthly Payment]]-O515*(1+Table7[Monthly SF Inter])</f>
        <v>37077.238386394834</v>
      </c>
      <c r="O516">
        <f>IF(MOD(Table9[[#This Row],[Month]],12)=0,(IF(Table9[[#This Row],[Current Balance]]&lt;Table9[[#This Row],[Max Lump Sum ]],Table9[[#This Row],[Current Balance]],Table9[[#This Row],[Max Lump Sum ]])),0)</f>
        <v>0</v>
      </c>
      <c r="P516" s="21">
        <f>Table7[Max annual lump sum repayment]*SUM(C517:C528)</f>
        <v>7880.3958913442566</v>
      </c>
      <c r="Q516" s="25">
        <f>Q515*(1+Table7[Monthly SF Inter])+Table9[[#This Row],[Inflation Modifier]]-R515*(1+Table7[Monthly SF Inter])</f>
        <v>2.2972444660248925</v>
      </c>
      <c r="R516" s="25">
        <f>IF(MOD(Table9[[#This Row],[Month]],12)=0,Table9[[#This Row],[Q2 ACC FACTOR]],0)</f>
        <v>0</v>
      </c>
      <c r="S516" s="25">
        <f>S515*(1+D515)+Table9[[#This Row],[ACC FACTOR PAYMENTS]]</f>
        <v>2856.430468733266</v>
      </c>
    </row>
    <row r="517" spans="1:19" x14ac:dyDescent="0.25">
      <c r="A517" s="1">
        <v>505</v>
      </c>
      <c r="B517" s="1">
        <f t="shared" si="7"/>
        <v>0</v>
      </c>
      <c r="C517" s="7">
        <f>G$12/-PV(Table7[Monthly mortgage rate], (12*Table7[Amortization period (yrs)]),1 )</f>
        <v>4377.9977174134756</v>
      </c>
      <c r="D517" s="11">
        <f>IF(Table1[[#This Row],[Month]]&lt;=(12*Table7[mortgage term (yrs)]),Table7[Monthly mortgage rate],Table7[Monthly Exp Renewal Rate])</f>
        <v>4.9038466830562122E-3</v>
      </c>
      <c r="E517" s="21">
        <f>Table1[[#This Row],[Current mortgage rate]]*G516</f>
        <v>-13212.593381618954</v>
      </c>
      <c r="F517" s="5">
        <f>Table1[[#This Row],[Payment amount]]-Table1[[#This Row],[Interest paid]]</f>
        <v>17590.59109903243</v>
      </c>
      <c r="G517" s="20">
        <f>G516-Table1[[#This Row],[Principal repaid]]-Table1[[#This Row],[Annual paym]]</f>
        <v>-2711923.0683502383</v>
      </c>
      <c r="H517" s="20">
        <f>H516-(Table1[[#This Row],[Payment amount]]-Table1[[#This Row],[Interest Paid W/O LSP]])</f>
        <v>-1606748.994790422</v>
      </c>
      <c r="I517">
        <f>H516*Table1[[#This Row],[Current mortgage rate]]</f>
        <v>-7819.4363818574075</v>
      </c>
      <c r="J517" s="25">
        <f>IF(Table1[[#This Row],[Month]]&gt;Table7[Amortization period (yrs)]*12,0,IF(Table1[[#This Row],[Month]]&lt;Table7[mortgage term (yrs)]*12,0,IF(Table1[[#This Row],[Month]]=Table7[mortgage term (yrs)]*12,-H$5,Table1[[#This Row],[Payment amount]]+B517)))</f>
        <v>0</v>
      </c>
      <c r="K517">
        <v>506</v>
      </c>
      <c r="L517">
        <f>Table7[Initial Monthly Deposit]*Table9[[#This Row],[Inflation Modifier]]</f>
        <v>918.89778640995667</v>
      </c>
      <c r="M517">
        <f xml:space="preserve"> (1+Table7[Inflation])^(QUOTIENT(Table9[[#This Row],[Month]]-1,12))</f>
        <v>2.2972444660248916</v>
      </c>
      <c r="N517">
        <f>N516*(1+Table7[Monthly SF Inter])+Table9[[#This Row],[Monthly Payment]]-O516*(1+Table7[Monthly SF Inter])</f>
        <v>38149.039569591288</v>
      </c>
      <c r="O517">
        <f>IF(MOD(Table9[[#This Row],[Month]],12)=0,(IF(Table9[[#This Row],[Current Balance]]&lt;Table9[[#This Row],[Max Lump Sum ]],Table9[[#This Row],[Current Balance]],Table9[[#This Row],[Max Lump Sum ]])),0)</f>
        <v>0</v>
      </c>
      <c r="P517" s="21">
        <f>Table7[Max annual lump sum repayment]*SUM(C518:C529)</f>
        <v>7880.3958913442566</v>
      </c>
      <c r="Q517" s="25">
        <f>Q516*(1+Table7[Monthly SF Inter])+Table9[[#This Row],[Inflation Modifier]]-R516*(1+Table7[Monthly SF Inter])</f>
        <v>4.6039625740304411</v>
      </c>
      <c r="R517" s="25">
        <f>IF(MOD(Table9[[#This Row],[Month]],12)=0,Table9[[#This Row],[Q2 ACC FACTOR]],0)</f>
        <v>0</v>
      </c>
      <c r="S517" s="25">
        <f>S516*(1+D516)+Table9[[#This Row],[ACC FACTOR PAYMENTS]]</f>
        <v>2870.4379658127446</v>
      </c>
    </row>
    <row r="518" spans="1:19" x14ac:dyDescent="0.25">
      <c r="A518" s="1">
        <v>506</v>
      </c>
      <c r="B518" s="1">
        <f t="shared" si="7"/>
        <v>0</v>
      </c>
      <c r="C518" s="7">
        <f>G$12/-PV(Table7[Monthly mortgage rate], (12*Table7[Amortization period (yrs)]),1 )</f>
        <v>4377.9977174134756</v>
      </c>
      <c r="D518" s="11">
        <f>IF(Table1[[#This Row],[Month]]&lt;=(12*Table7[mortgage term (yrs)]),Table7[Monthly mortgage rate],Table7[Monthly Exp Renewal Rate])</f>
        <v>4.9038466830562122E-3</v>
      </c>
      <c r="E518" s="21">
        <f>Table1[[#This Row],[Current mortgage rate]]*G517</f>
        <v>-13298.854943432942</v>
      </c>
      <c r="F518" s="5">
        <f>Table1[[#This Row],[Payment amount]]-Table1[[#This Row],[Interest paid]]</f>
        <v>17676.852660846416</v>
      </c>
      <c r="G518" s="20">
        <f>G517-Table1[[#This Row],[Principal repaid]]-Table1[[#This Row],[Annual paym]]</f>
        <v>-2729599.9210110847</v>
      </c>
      <c r="H518" s="20">
        <f>H517-(Table1[[#This Row],[Payment amount]]-Table1[[#This Row],[Interest Paid W/O LSP]])</f>
        <v>-1619006.2432364423</v>
      </c>
      <c r="I518">
        <f>H517*Table1[[#This Row],[Current mortgage rate]]</f>
        <v>-7879.250728606914</v>
      </c>
      <c r="J518" s="25">
        <f>IF(Table1[[#This Row],[Month]]&gt;Table7[Amortization period (yrs)]*12,0,IF(Table1[[#This Row],[Month]]&lt;Table7[mortgage term (yrs)]*12,0,IF(Table1[[#This Row],[Month]]=Table7[mortgage term (yrs)]*12,-H$5,Table1[[#This Row],[Payment amount]]+B518)))</f>
        <v>0</v>
      </c>
      <c r="K518">
        <v>507</v>
      </c>
      <c r="L518">
        <f>Table7[Initial Monthly Deposit]*Table9[[#This Row],[Inflation Modifier]]</f>
        <v>918.89778640995667</v>
      </c>
      <c r="M518">
        <f xml:space="preserve"> (1+Table7[Inflation])^(QUOTIENT(Table9[[#This Row],[Month]]-1,12))</f>
        <v>2.2972444660248916</v>
      </c>
      <c r="N518">
        <f>N517*(1+Table7[Monthly SF Inter])+Table9[[#This Row],[Monthly Payment]]-O517*(1+Table7[Monthly SF Inter])</f>
        <v>39225.260770262685</v>
      </c>
      <c r="O518">
        <f>IF(MOD(Table9[[#This Row],[Month]],12)=0,(IF(Table9[[#This Row],[Current Balance]]&lt;Table9[[#This Row],[Max Lump Sum ]],Table9[[#This Row],[Current Balance]],Table9[[#This Row],[Max Lump Sum ]])),0)</f>
        <v>0</v>
      </c>
      <c r="P518" s="21">
        <f>Table7[Max annual lump sum repayment]*SUM(C519:C530)</f>
        <v>7880.3958913442566</v>
      </c>
      <c r="Q518" s="25">
        <f>Q517*(1+Table7[Monthly SF Inter])+Table9[[#This Row],[Inflation Modifier]]-R517*(1+Table7[Monthly SF Inter])</f>
        <v>6.9201933925153218</v>
      </c>
      <c r="R518" s="25">
        <f>IF(MOD(Table9[[#This Row],[Month]],12)=0,Table9[[#This Row],[Q2 ACC FACTOR]],0)</f>
        <v>0</v>
      </c>
      <c r="S518" s="25">
        <f>S517*(1+D517)+Table9[[#This Row],[ACC FACTOR PAYMENTS]]</f>
        <v>2884.5141535103139</v>
      </c>
    </row>
    <row r="519" spans="1:19" x14ac:dyDescent="0.25">
      <c r="A519" s="1">
        <v>507</v>
      </c>
      <c r="B519" s="1">
        <f t="shared" si="7"/>
        <v>0</v>
      </c>
      <c r="C519" s="7">
        <f>G$12/-PV(Table7[Monthly mortgage rate], (12*Table7[Amortization period (yrs)]),1 )</f>
        <v>4377.9977174134756</v>
      </c>
      <c r="D519" s="11">
        <f>IF(Table1[[#This Row],[Month]]&lt;=(12*Table7[mortgage term (yrs)]),Table7[Monthly mortgage rate],Table7[Monthly Exp Renewal Rate])</f>
        <v>4.9038466830562122E-3</v>
      </c>
      <c r="E519" s="21">
        <f>Table1[[#This Row],[Current mortgage rate]]*G518</f>
        <v>-13385.539518720707</v>
      </c>
      <c r="F519" s="5">
        <f>Table1[[#This Row],[Payment amount]]-Table1[[#This Row],[Interest paid]]</f>
        <v>17763.537236134183</v>
      </c>
      <c r="G519" s="20">
        <f>G518-Table1[[#This Row],[Principal repaid]]-Table1[[#This Row],[Annual paym]]</f>
        <v>-2747363.4582472187</v>
      </c>
      <c r="H519" s="20">
        <f>H518-(Table1[[#This Row],[Payment amount]]-Table1[[#This Row],[Interest Paid W/O LSP]])</f>
        <v>-1631323.5993495982</v>
      </c>
      <c r="I519">
        <f>H518*Table1[[#This Row],[Current mortgage rate]]</f>
        <v>-7939.358395742327</v>
      </c>
      <c r="J519" s="25">
        <f>IF(Table1[[#This Row],[Month]]&gt;Table7[Amortization period (yrs)]*12,0,IF(Table1[[#This Row],[Month]]&lt;Table7[mortgage term (yrs)]*12,0,IF(Table1[[#This Row],[Month]]=Table7[mortgage term (yrs)]*12,-H$5,Table1[[#This Row],[Payment amount]]+B519)))</f>
        <v>0</v>
      </c>
      <c r="K519">
        <v>508</v>
      </c>
      <c r="L519">
        <f>Table7[Initial Monthly Deposit]*Table9[[#This Row],[Inflation Modifier]]</f>
        <v>918.89778640995667</v>
      </c>
      <c r="M519">
        <f xml:space="preserve"> (1+Table7[Inflation])^(QUOTIENT(Table9[[#This Row],[Month]]-1,12))</f>
        <v>2.2972444660248916</v>
      </c>
      <c r="N519">
        <f>N518*(1+Table7[Monthly SF Inter])+Table9[[#This Row],[Monthly Payment]]-O518*(1+Table7[Monthly SF Inter])</f>
        <v>40305.920216187442</v>
      </c>
      <c r="O519">
        <f>IF(MOD(Table9[[#This Row],[Month]],12)=0,(IF(Table9[[#This Row],[Current Balance]]&lt;Table9[[#This Row],[Max Lump Sum ]],Table9[[#This Row],[Current Balance]],Table9[[#This Row],[Max Lump Sum ]])),0)</f>
        <v>0</v>
      </c>
      <c r="P519" s="21">
        <f>Table7[Max annual lump sum repayment]*SUM(C520:C531)</f>
        <v>7880.3958913442566</v>
      </c>
      <c r="Q519" s="25">
        <f>Q518*(1+Table7[Monthly SF Inter])+Table9[[#This Row],[Inflation Modifier]]-R518*(1+Table7[Monthly SF Inter])</f>
        <v>9.2459761510933962</v>
      </c>
      <c r="R519" s="25">
        <f>IF(MOD(Table9[[#This Row],[Month]],12)=0,Table9[[#This Row],[Q2 ACC FACTOR]],0)</f>
        <v>0</v>
      </c>
      <c r="S519" s="25">
        <f>S518*(1+D518)+Table9[[#This Row],[ACC FACTOR PAYMENTS]]</f>
        <v>2898.659368674234</v>
      </c>
    </row>
    <row r="520" spans="1:19" x14ac:dyDescent="0.25">
      <c r="A520" s="1">
        <v>508</v>
      </c>
      <c r="B520" s="1">
        <f t="shared" si="7"/>
        <v>0</v>
      </c>
      <c r="C520" s="7">
        <f>G$12/-PV(Table7[Monthly mortgage rate], (12*Table7[Amortization period (yrs)]),1 )</f>
        <v>4377.9977174134756</v>
      </c>
      <c r="D520" s="11">
        <f>IF(Table1[[#This Row],[Month]]&lt;=(12*Table7[mortgage term (yrs)]),Table7[Monthly mortgage rate],Table7[Monthly Exp Renewal Rate])</f>
        <v>4.9038466830562122E-3</v>
      </c>
      <c r="E520" s="21">
        <f>Table1[[#This Row],[Current mortgage rate]]*G519</f>
        <v>-13472.649181875468</v>
      </c>
      <c r="F520" s="5">
        <f>Table1[[#This Row],[Payment amount]]-Table1[[#This Row],[Interest paid]]</f>
        <v>17850.646899288942</v>
      </c>
      <c r="G520" s="20">
        <f>G519-Table1[[#This Row],[Principal repaid]]-Table1[[#This Row],[Annual paym]]</f>
        <v>-2765214.1051465077</v>
      </c>
      <c r="H520" s="20">
        <f>H519-(Table1[[#This Row],[Payment amount]]-Table1[[#This Row],[Interest Paid W/O LSP]])</f>
        <v>-1643701.3578886734</v>
      </c>
      <c r="I520">
        <f>H519*Table1[[#This Row],[Current mortgage rate]]</f>
        <v>-7999.7608216618482</v>
      </c>
      <c r="J520" s="25">
        <f>IF(Table1[[#This Row],[Month]]&gt;Table7[Amortization period (yrs)]*12,0,IF(Table1[[#This Row],[Month]]&lt;Table7[mortgage term (yrs)]*12,0,IF(Table1[[#This Row],[Month]]=Table7[mortgage term (yrs)]*12,-H$5,Table1[[#This Row],[Payment amount]]+B520)))</f>
        <v>0</v>
      </c>
      <c r="K520">
        <v>509</v>
      </c>
      <c r="L520">
        <f>Table7[Initial Monthly Deposit]*Table9[[#This Row],[Inflation Modifier]]</f>
        <v>918.89778640995667</v>
      </c>
      <c r="M520">
        <f xml:space="preserve"> (1+Table7[Inflation])^(QUOTIENT(Table9[[#This Row],[Month]]-1,12))</f>
        <v>2.2972444660248916</v>
      </c>
      <c r="N520">
        <f>N519*(1+Table7[Monthly SF Inter])+Table9[[#This Row],[Monthly Payment]]-O519*(1+Table7[Monthly SF Inter])</f>
        <v>41391.036210313803</v>
      </c>
      <c r="O520">
        <f>IF(MOD(Table9[[#This Row],[Month]],12)=0,(IF(Table9[[#This Row],[Current Balance]]&lt;Table9[[#This Row],[Max Lump Sum ]],Table9[[#This Row],[Current Balance]],Table9[[#This Row],[Max Lump Sum ]])),0)</f>
        <v>0</v>
      </c>
      <c r="P520" s="21">
        <f>Table7[Max annual lump sum repayment]*SUM(C521:C532)</f>
        <v>7880.3958913442566</v>
      </c>
      <c r="Q520" s="25">
        <f>Q519*(1+Table7[Monthly SF Inter])+Table9[[#This Row],[Inflation Modifier]]-R519*(1+Table7[Monthly SF Inter])</f>
        <v>11.581350241158137</v>
      </c>
      <c r="R520" s="25">
        <f>IF(MOD(Table9[[#This Row],[Month]],12)=0,Table9[[#This Row],[Q2 ACC FACTOR]],0)</f>
        <v>0</v>
      </c>
      <c r="S520" s="25">
        <f>S519*(1+D519)+Table9[[#This Row],[ACC FACTOR PAYMENTS]]</f>
        <v>2912.873949804617</v>
      </c>
    </row>
    <row r="521" spans="1:19" x14ac:dyDescent="0.25">
      <c r="A521" s="1">
        <v>509</v>
      </c>
      <c r="B521" s="1">
        <f t="shared" si="7"/>
        <v>0</v>
      </c>
      <c r="C521" s="7">
        <f>G$12/-PV(Table7[Monthly mortgage rate], (12*Table7[Amortization period (yrs)]),1 )</f>
        <v>4377.9977174134756</v>
      </c>
      <c r="D521" s="11">
        <f>IF(Table1[[#This Row],[Month]]&lt;=(12*Table7[mortgage term (yrs)]),Table7[Monthly mortgage rate],Table7[Monthly Exp Renewal Rate])</f>
        <v>4.9038466830562122E-3</v>
      </c>
      <c r="E521" s="21">
        <f>Table1[[#This Row],[Current mortgage rate]]*G520</f>
        <v>-13560.186017462955</v>
      </c>
      <c r="F521" s="5">
        <f>Table1[[#This Row],[Payment amount]]-Table1[[#This Row],[Interest paid]]</f>
        <v>17938.183734876431</v>
      </c>
      <c r="G521" s="20">
        <f>G520-Table1[[#This Row],[Principal repaid]]-Table1[[#This Row],[Annual paym]]</f>
        <v>-2783152.2888813843</v>
      </c>
      <c r="H521" s="20">
        <f>H520-(Table1[[#This Row],[Payment amount]]-Table1[[#This Row],[Interest Paid W/O LSP]])</f>
        <v>-1656139.8150579042</v>
      </c>
      <c r="I521">
        <f>H520*Table1[[#This Row],[Current mortgage rate]]</f>
        <v>-8060.4594518173635</v>
      </c>
      <c r="J521" s="25">
        <f>IF(Table1[[#This Row],[Month]]&gt;Table7[Amortization period (yrs)]*12,0,IF(Table1[[#This Row],[Month]]&lt;Table7[mortgage term (yrs)]*12,0,IF(Table1[[#This Row],[Month]]=Table7[mortgage term (yrs)]*12,-H$5,Table1[[#This Row],[Payment amount]]+B521)))</f>
        <v>0</v>
      </c>
      <c r="K521">
        <v>510</v>
      </c>
      <c r="L521">
        <f>Table7[Initial Monthly Deposit]*Table9[[#This Row],[Inflation Modifier]]</f>
        <v>918.89778640995667</v>
      </c>
      <c r="M521">
        <f xml:space="preserve"> (1+Table7[Inflation])^(QUOTIENT(Table9[[#This Row],[Month]]-1,12))</f>
        <v>2.2972444660248916</v>
      </c>
      <c r="N521">
        <f>N520*(1+Table7[Monthly SF Inter])+Table9[[#This Row],[Monthly Payment]]-O520*(1+Table7[Monthly SF Inter])</f>
        <v>42480.627131069821</v>
      </c>
      <c r="O521">
        <f>IF(MOD(Table9[[#This Row],[Month]],12)=0,(IF(Table9[[#This Row],[Current Balance]]&lt;Table9[[#This Row],[Max Lump Sum ]],Table9[[#This Row],[Current Balance]],Table9[[#This Row],[Max Lump Sum ]])),0)</f>
        <v>0</v>
      </c>
      <c r="P521" s="21">
        <f>Table7[Max annual lump sum repayment]*SUM(C522:C533)</f>
        <v>7880.3958913442566</v>
      </c>
      <c r="Q521" s="25">
        <f>Q520*(1+Table7[Monthly SF Inter])+Table9[[#This Row],[Inflation Modifier]]-R520*(1+Table7[Monthly SF Inter])</f>
        <v>13.926355216549794</v>
      </c>
      <c r="R521" s="25">
        <f>IF(MOD(Table9[[#This Row],[Month]],12)=0,Table9[[#This Row],[Q2 ACC FACTOR]],0)</f>
        <v>0</v>
      </c>
      <c r="S521" s="25">
        <f>S520*(1+D520)+Table9[[#This Row],[ACC FACTOR PAYMENTS]]</f>
        <v>2927.1582370615274</v>
      </c>
    </row>
    <row r="522" spans="1:19" x14ac:dyDescent="0.25">
      <c r="A522" s="1">
        <v>510</v>
      </c>
      <c r="B522" s="1">
        <f t="shared" si="7"/>
        <v>0</v>
      </c>
      <c r="C522" s="7">
        <f>G$12/-PV(Table7[Monthly mortgage rate], (12*Table7[Amortization period (yrs)]),1 )</f>
        <v>4377.9977174134756</v>
      </c>
      <c r="D522" s="11">
        <f>IF(Table1[[#This Row],[Month]]&lt;=(12*Table7[mortgage term (yrs)]),Table7[Monthly mortgage rate],Table7[Monthly Exp Renewal Rate])</f>
        <v>4.9038466830562122E-3</v>
      </c>
      <c r="E522" s="21">
        <f>Table1[[#This Row],[Current mortgage rate]]*G521</f>
        <v>-13648.152120271281</v>
      </c>
      <c r="F522" s="5">
        <f>Table1[[#This Row],[Payment amount]]-Table1[[#This Row],[Interest paid]]</f>
        <v>18026.149837684756</v>
      </c>
      <c r="G522" s="20">
        <f>G521-Table1[[#This Row],[Principal repaid]]-Table1[[#This Row],[Annual paym]]</f>
        <v>-2801178.4387190691</v>
      </c>
      <c r="H522" s="20">
        <f>H521-(Table1[[#This Row],[Payment amount]]-Table1[[#This Row],[Interest Paid W/O LSP]])</f>
        <v>-1668639.2685140667</v>
      </c>
      <c r="I522">
        <f>H521*Table1[[#This Row],[Current mortgage rate]]</f>
        <v>-8121.4557387490322</v>
      </c>
      <c r="J522" s="25">
        <f>IF(Table1[[#This Row],[Month]]&gt;Table7[Amortization period (yrs)]*12,0,IF(Table1[[#This Row],[Month]]&lt;Table7[mortgage term (yrs)]*12,0,IF(Table1[[#This Row],[Month]]=Table7[mortgage term (yrs)]*12,-H$5,Table1[[#This Row],[Payment amount]]+B522)))</f>
        <v>0</v>
      </c>
      <c r="K522">
        <v>511</v>
      </c>
      <c r="L522">
        <f>Table7[Initial Monthly Deposit]*Table9[[#This Row],[Inflation Modifier]]</f>
        <v>918.89778640995667</v>
      </c>
      <c r="M522">
        <f xml:space="preserve"> (1+Table7[Inflation])^(QUOTIENT(Table9[[#This Row],[Month]]-1,12))</f>
        <v>2.2972444660248916</v>
      </c>
      <c r="N522">
        <f>N521*(1+Table7[Monthly SF Inter])+Table9[[#This Row],[Monthly Payment]]-O521*(1+Table7[Monthly SF Inter])</f>
        <v>43574.711432674623</v>
      </c>
      <c r="O522">
        <f>IF(MOD(Table9[[#This Row],[Month]],12)=0,(IF(Table9[[#This Row],[Current Balance]]&lt;Table9[[#This Row],[Max Lump Sum ]],Table9[[#This Row],[Current Balance]],Table9[[#This Row],[Max Lump Sum ]])),0)</f>
        <v>0</v>
      </c>
      <c r="P522" s="21">
        <f>Table7[Max annual lump sum repayment]*SUM(C523:C534)</f>
        <v>7880.3958913442566</v>
      </c>
      <c r="Q522" s="25">
        <f>Q521*(1+Table7[Monthly SF Inter])+Table9[[#This Row],[Inflation Modifier]]-R521*(1+Table7[Monthly SF Inter])</f>
        <v>16.281030794225309</v>
      </c>
      <c r="R522" s="25">
        <f>IF(MOD(Table9[[#This Row],[Month]],12)=0,Table9[[#This Row],[Q2 ACC FACTOR]],0)</f>
        <v>0</v>
      </c>
      <c r="S522" s="25">
        <f>S521*(1+D521)+Table9[[#This Row],[ACC FACTOR PAYMENTS]]</f>
        <v>2941.5125722731223</v>
      </c>
    </row>
    <row r="523" spans="1:19" x14ac:dyDescent="0.25">
      <c r="A523" s="1">
        <v>511</v>
      </c>
      <c r="B523" s="1">
        <f t="shared" si="7"/>
        <v>0</v>
      </c>
      <c r="C523" s="7">
        <f>G$12/-PV(Table7[Monthly mortgage rate], (12*Table7[Amortization period (yrs)]),1 )</f>
        <v>4377.9977174134756</v>
      </c>
      <c r="D523" s="11">
        <f>IF(Table1[[#This Row],[Month]]&lt;=(12*Table7[mortgage term (yrs)]),Table7[Monthly mortgage rate],Table7[Monthly Exp Renewal Rate])</f>
        <v>4.9038466830562122E-3</v>
      </c>
      <c r="E523" s="21">
        <f>Table1[[#This Row],[Current mortgage rate]]*G522</f>
        <v>-13736.549595361086</v>
      </c>
      <c r="F523" s="5">
        <f>Table1[[#This Row],[Payment amount]]-Table1[[#This Row],[Interest paid]]</f>
        <v>18114.547312774561</v>
      </c>
      <c r="G523" s="20">
        <f>G522-Table1[[#This Row],[Principal repaid]]-Table1[[#This Row],[Annual paym]]</f>
        <v>-2819292.9860318438</v>
      </c>
      <c r="H523" s="20">
        <f>H522-(Table1[[#This Row],[Payment amount]]-Table1[[#This Row],[Interest Paid W/O LSP]])</f>
        <v>-1681200.0173736003</v>
      </c>
      <c r="I523">
        <f>H522*Table1[[#This Row],[Current mortgage rate]]</f>
        <v>-8182.7511421200506</v>
      </c>
      <c r="J523" s="25">
        <f>IF(Table1[[#This Row],[Month]]&gt;Table7[Amortization period (yrs)]*12,0,IF(Table1[[#This Row],[Month]]&lt;Table7[mortgage term (yrs)]*12,0,IF(Table1[[#This Row],[Month]]=Table7[mortgage term (yrs)]*12,-H$5,Table1[[#This Row],[Payment amount]]+B523)))</f>
        <v>0</v>
      </c>
      <c r="K523">
        <v>512</v>
      </c>
      <c r="L523">
        <f>Table7[Initial Monthly Deposit]*Table9[[#This Row],[Inflation Modifier]]</f>
        <v>918.89778640995667</v>
      </c>
      <c r="M523">
        <f xml:space="preserve"> (1+Table7[Inflation])^(QUOTIENT(Table9[[#This Row],[Month]]-1,12))</f>
        <v>2.2972444660248916</v>
      </c>
      <c r="N523">
        <f>N522*(1+Table7[Monthly SF Inter])+Table9[[#This Row],[Monthly Payment]]-O522*(1+Table7[Monthly SF Inter])</f>
        <v>44673.307645450986</v>
      </c>
      <c r="O523">
        <f>IF(MOD(Table9[[#This Row],[Month]],12)=0,(IF(Table9[[#This Row],[Current Balance]]&lt;Table9[[#This Row],[Max Lump Sum ]],Table9[[#This Row],[Current Balance]],Table9[[#This Row],[Max Lump Sum ]])),0)</f>
        <v>0</v>
      </c>
      <c r="P523" s="21">
        <f>Table7[Max annual lump sum repayment]*SUM(C524:C535)</f>
        <v>7880.3958913442566</v>
      </c>
      <c r="Q523" s="25">
        <f>Q522*(1+Table7[Monthly SF Inter])+Table9[[#This Row],[Inflation Modifier]]-R522*(1+Table7[Monthly SF Inter])</f>
        <v>18.645416854930996</v>
      </c>
      <c r="R523" s="25">
        <f>IF(MOD(Table9[[#This Row],[Month]],12)=0,Table9[[#This Row],[Q2 ACC FACTOR]],0)</f>
        <v>0</v>
      </c>
      <c r="S523" s="25">
        <f>S522*(1+D522)+Table9[[#This Row],[ACC FACTOR PAYMENTS]]</f>
        <v>2955.937298943832</v>
      </c>
    </row>
    <row r="524" spans="1:19" x14ac:dyDescent="0.25">
      <c r="A524" s="1">
        <v>512</v>
      </c>
      <c r="B524" s="1">
        <f t="shared" si="7"/>
        <v>0</v>
      </c>
      <c r="C524" s="7">
        <f>G$12/-PV(Table7[Monthly mortgage rate], (12*Table7[Amortization period (yrs)]),1 )</f>
        <v>4377.9977174134756</v>
      </c>
      <c r="D524" s="11">
        <f>IF(Table1[[#This Row],[Month]]&lt;=(12*Table7[mortgage term (yrs)]),Table7[Monthly mortgage rate],Table7[Monthly Exp Renewal Rate])</f>
        <v>4.9038466830562122E-3</v>
      </c>
      <c r="E524" s="21">
        <f>Table1[[#This Row],[Current mortgage rate]]*G523</f>
        <v>-13825.380558115901</v>
      </c>
      <c r="F524" s="5">
        <f>Table1[[#This Row],[Payment amount]]-Table1[[#This Row],[Interest paid]]</f>
        <v>18203.378275529376</v>
      </c>
      <c r="G524" s="20">
        <f>G523-Table1[[#This Row],[Principal repaid]]-Table1[[#This Row],[Annual paym]]</f>
        <v>-2837496.3643073733</v>
      </c>
      <c r="H524" s="20">
        <f>H523-(Table1[[#This Row],[Payment amount]]-Table1[[#This Row],[Interest Paid W/O LSP]])</f>
        <v>-1693822.3622197653</v>
      </c>
      <c r="I524">
        <f>H523*Table1[[#This Row],[Current mortgage rate]]</f>
        <v>-8244.3471287515767</v>
      </c>
      <c r="J524" s="25">
        <f>IF(Table1[[#This Row],[Month]]&gt;Table7[Amortization period (yrs)]*12,0,IF(Table1[[#This Row],[Month]]&lt;Table7[mortgage term (yrs)]*12,0,IF(Table1[[#This Row],[Month]]=Table7[mortgage term (yrs)]*12,-H$5,Table1[[#This Row],[Payment amount]]+B524)))</f>
        <v>0</v>
      </c>
      <c r="K524">
        <v>513</v>
      </c>
      <c r="L524">
        <f>Table7[Initial Monthly Deposit]*Table9[[#This Row],[Inflation Modifier]]</f>
        <v>918.89778640995667</v>
      </c>
      <c r="M524">
        <f xml:space="preserve"> (1+Table7[Inflation])^(QUOTIENT(Table9[[#This Row],[Month]]-1,12))</f>
        <v>2.2972444660248916</v>
      </c>
      <c r="N524">
        <f>N523*(1+Table7[Monthly SF Inter])+Table9[[#This Row],[Monthly Payment]]-O523*(1+Table7[Monthly SF Inter])</f>
        <v>45776.434376139165</v>
      </c>
      <c r="O524">
        <f>IF(MOD(Table9[[#This Row],[Month]],12)=0,(IF(Table9[[#This Row],[Current Balance]]&lt;Table9[[#This Row],[Max Lump Sum ]],Table9[[#This Row],[Current Balance]],Table9[[#This Row],[Max Lump Sum ]])),0)</f>
        <v>0</v>
      </c>
      <c r="P524" s="21">
        <f>Table7[Max annual lump sum repayment]*SUM(C525:C536)</f>
        <v>7880.3958913442566</v>
      </c>
      <c r="Q524" s="25">
        <f>Q523*(1+Table7[Monthly SF Inter])+Table9[[#This Row],[Inflation Modifier]]-R523*(1+Table7[Monthly SF Inter])</f>
        <v>21.019553443877999</v>
      </c>
      <c r="R524" s="25">
        <f>IF(MOD(Table9[[#This Row],[Month]],12)=0,Table9[[#This Row],[Q2 ACC FACTOR]],0)</f>
        <v>0</v>
      </c>
      <c r="S524" s="25">
        <f>S523*(1+D523)+Table9[[#This Row],[ACC FACTOR PAYMENTS]]</f>
        <v>2970.4327622625797</v>
      </c>
    </row>
    <row r="525" spans="1:19" x14ac:dyDescent="0.25">
      <c r="A525" s="1">
        <v>513</v>
      </c>
      <c r="B525" s="1">
        <f t="shared" ref="B525:B588" si="8">O524</f>
        <v>0</v>
      </c>
      <c r="C525" s="7">
        <f>G$12/-PV(Table7[Monthly mortgage rate], (12*Table7[Amortization period (yrs)]),1 )</f>
        <v>4377.9977174134756</v>
      </c>
      <c r="D525" s="11">
        <f>IF(Table1[[#This Row],[Month]]&lt;=(12*Table7[mortgage term (yrs)]),Table7[Monthly mortgage rate],Table7[Monthly Exp Renewal Rate])</f>
        <v>4.9038466830562122E-3</v>
      </c>
      <c r="E525" s="21">
        <f>Table1[[#This Row],[Current mortgage rate]]*G524</f>
        <v>-13914.647134292774</v>
      </c>
      <c r="F525" s="5">
        <f>Table1[[#This Row],[Payment amount]]-Table1[[#This Row],[Interest paid]]</f>
        <v>18292.644851706249</v>
      </c>
      <c r="G525" s="20">
        <f>G524-Table1[[#This Row],[Principal repaid]]-Table1[[#This Row],[Annual paym]]</f>
        <v>-2855789.0091590798</v>
      </c>
      <c r="H525" s="20">
        <f>H524-(Table1[[#This Row],[Payment amount]]-Table1[[#This Row],[Interest Paid W/O LSP]])</f>
        <v>-1706506.6051098367</v>
      </c>
      <c r="I525">
        <f>H524*Table1[[#This Row],[Current mortgage rate]]</f>
        <v>-8306.2451726578347</v>
      </c>
      <c r="J525" s="25">
        <f>IF(Table1[[#This Row],[Month]]&gt;Table7[Amortization period (yrs)]*12,0,IF(Table1[[#This Row],[Month]]&lt;Table7[mortgage term (yrs)]*12,0,IF(Table1[[#This Row],[Month]]=Table7[mortgage term (yrs)]*12,-H$5,Table1[[#This Row],[Payment amount]]+B525)))</f>
        <v>0</v>
      </c>
      <c r="K525">
        <v>514</v>
      </c>
      <c r="L525">
        <f>Table7[Initial Monthly Deposit]*Table9[[#This Row],[Inflation Modifier]]</f>
        <v>918.89778640995667</v>
      </c>
      <c r="M525">
        <f xml:space="preserve"> (1+Table7[Inflation])^(QUOTIENT(Table9[[#This Row],[Month]]-1,12))</f>
        <v>2.2972444660248916</v>
      </c>
      <c r="N525">
        <f>N524*(1+Table7[Monthly SF Inter])+Table9[[#This Row],[Monthly Payment]]-O524*(1+Table7[Monthly SF Inter])</f>
        <v>46884.110308212046</v>
      </c>
      <c r="O525">
        <f>IF(MOD(Table9[[#This Row],[Month]],12)=0,(IF(Table9[[#This Row],[Current Balance]]&lt;Table9[[#This Row],[Max Lump Sum ]],Table9[[#This Row],[Current Balance]],Table9[[#This Row],[Max Lump Sum ]])),0)</f>
        <v>0</v>
      </c>
      <c r="P525" s="21">
        <f>Table7[Max annual lump sum repayment]*SUM(C526:C537)</f>
        <v>7880.3958913442566</v>
      </c>
      <c r="Q525" s="25">
        <f>Q524*(1+Table7[Monthly SF Inter])+Table9[[#This Row],[Inflation Modifier]]-R524*(1+Table7[Monthly SF Inter])</f>
        <v>23.403480771420526</v>
      </c>
      <c r="R525" s="25">
        <f>IF(MOD(Table9[[#This Row],[Month]],12)=0,Table9[[#This Row],[Q2 ACC FACTOR]],0)</f>
        <v>0</v>
      </c>
      <c r="S525" s="25">
        <f>S524*(1+D524)+Table9[[#This Row],[ACC FACTOR PAYMENTS]]</f>
        <v>2984.9993091110427</v>
      </c>
    </row>
    <row r="526" spans="1:19" x14ac:dyDescent="0.25">
      <c r="A526" s="1">
        <v>514</v>
      </c>
      <c r="B526" s="1">
        <f t="shared" si="8"/>
        <v>0</v>
      </c>
      <c r="C526" s="7">
        <f>G$12/-PV(Table7[Monthly mortgage rate], (12*Table7[Amortization period (yrs)]),1 )</f>
        <v>4377.9977174134756</v>
      </c>
      <c r="D526" s="11">
        <f>IF(Table1[[#This Row],[Month]]&lt;=(12*Table7[mortgage term (yrs)]),Table7[Monthly mortgage rate],Table7[Monthly Exp Renewal Rate])</f>
        <v>4.9038466830562122E-3</v>
      </c>
      <c r="E526" s="21">
        <f>Table1[[#This Row],[Current mortgage rate]]*G525</f>
        <v>-14004.35146007314</v>
      </c>
      <c r="F526" s="5">
        <f>Table1[[#This Row],[Payment amount]]-Table1[[#This Row],[Interest paid]]</f>
        <v>18382.349177486616</v>
      </c>
      <c r="G526" s="20">
        <f>G525-Table1[[#This Row],[Principal repaid]]-Table1[[#This Row],[Annual paym]]</f>
        <v>-2874171.3583365665</v>
      </c>
      <c r="H526" s="20">
        <f>H525-(Table1[[#This Row],[Payment amount]]-Table1[[#This Row],[Interest Paid W/O LSP]])</f>
        <v>-1719253.0495823314</v>
      </c>
      <c r="I526">
        <f>H525*Table1[[#This Row],[Current mortgage rate]]</f>
        <v>-8368.4467550813897</v>
      </c>
      <c r="J526" s="25">
        <f>IF(Table1[[#This Row],[Month]]&gt;Table7[Amortization period (yrs)]*12,0,IF(Table1[[#This Row],[Month]]&lt;Table7[mortgage term (yrs)]*12,0,IF(Table1[[#This Row],[Month]]=Table7[mortgage term (yrs)]*12,-H$5,Table1[[#This Row],[Payment amount]]+B526)))</f>
        <v>0</v>
      </c>
      <c r="K526">
        <v>515</v>
      </c>
      <c r="L526">
        <f>Table7[Initial Monthly Deposit]*Table9[[#This Row],[Inflation Modifier]]</f>
        <v>918.89778640995667</v>
      </c>
      <c r="M526">
        <f xml:space="preserve"> (1+Table7[Inflation])^(QUOTIENT(Table9[[#This Row],[Month]]-1,12))</f>
        <v>2.2972444660248916</v>
      </c>
      <c r="N526">
        <f>N525*(1+Table7[Monthly SF Inter])+Table9[[#This Row],[Monthly Payment]]-O525*(1+Table7[Monthly SF Inter])</f>
        <v>47996.354202191571</v>
      </c>
      <c r="O526">
        <f>IF(MOD(Table9[[#This Row],[Month]],12)=0,(IF(Table9[[#This Row],[Current Balance]]&lt;Table9[[#This Row],[Max Lump Sum ]],Table9[[#This Row],[Current Balance]],Table9[[#This Row],[Max Lump Sum ]])),0)</f>
        <v>0</v>
      </c>
      <c r="P526" s="21">
        <f>Table7[Max annual lump sum repayment]*SUM(C527:C538)</f>
        <v>7880.3958913442566</v>
      </c>
      <c r="Q526" s="25">
        <f>Q525*(1+Table7[Monthly SF Inter])+Table9[[#This Row],[Inflation Modifier]]-R525*(1+Table7[Monthly SF Inter])</f>
        <v>25.797239213736884</v>
      </c>
      <c r="R526" s="25">
        <f>IF(MOD(Table9[[#This Row],[Month]],12)=0,Table9[[#This Row],[Q2 ACC FACTOR]],0)</f>
        <v>0</v>
      </c>
      <c r="S526" s="25">
        <f>S525*(1+D525)+Table9[[#This Row],[ACC FACTOR PAYMENTS]]</f>
        <v>2999.6372880719518</v>
      </c>
    </row>
    <row r="527" spans="1:19" x14ac:dyDescent="0.25">
      <c r="A527" s="1">
        <v>515</v>
      </c>
      <c r="B527" s="1">
        <f t="shared" si="8"/>
        <v>0</v>
      </c>
      <c r="C527" s="7">
        <f>G$12/-PV(Table7[Monthly mortgage rate], (12*Table7[Amortization period (yrs)]),1 )</f>
        <v>4377.9977174134756</v>
      </c>
      <c r="D527" s="11">
        <f>IF(Table1[[#This Row],[Month]]&lt;=(12*Table7[mortgage term (yrs)]),Table7[Monthly mortgage rate],Table7[Monthly Exp Renewal Rate])</f>
        <v>4.9038466830562122E-3</v>
      </c>
      <c r="E527" s="21">
        <f>Table1[[#This Row],[Current mortgage rate]]*G526</f>
        <v>-14094.495682113939</v>
      </c>
      <c r="F527" s="5">
        <f>Table1[[#This Row],[Payment amount]]-Table1[[#This Row],[Interest paid]]</f>
        <v>18472.493399527415</v>
      </c>
      <c r="G527" s="20">
        <f>G526-Table1[[#This Row],[Principal repaid]]-Table1[[#This Row],[Annual paym]]</f>
        <v>-2892643.8517360939</v>
      </c>
      <c r="H527" s="20">
        <f>H526-(Table1[[#This Row],[Payment amount]]-Table1[[#This Row],[Interest Paid W/O LSP]])</f>
        <v>-1732062.0006642735</v>
      </c>
      <c r="I527">
        <f>H526*Table1[[#This Row],[Current mortgage rate]]</f>
        <v>-8430.9533645285937</v>
      </c>
      <c r="J527" s="25">
        <f>IF(Table1[[#This Row],[Month]]&gt;Table7[Amortization period (yrs)]*12,0,IF(Table1[[#This Row],[Month]]&lt;Table7[mortgage term (yrs)]*12,0,IF(Table1[[#This Row],[Month]]=Table7[mortgage term (yrs)]*12,-H$5,Table1[[#This Row],[Payment amount]]+B527)))</f>
        <v>0</v>
      </c>
      <c r="K527">
        <v>516</v>
      </c>
      <c r="L527">
        <f>Table7[Initial Monthly Deposit]*Table9[[#This Row],[Inflation Modifier]]</f>
        <v>918.89778640995667</v>
      </c>
      <c r="M527">
        <f xml:space="preserve"> (1+Table7[Inflation])^(QUOTIENT(Table9[[#This Row],[Month]]-1,12))</f>
        <v>2.2972444660248916</v>
      </c>
      <c r="N527">
        <f>N526*(1+Table7[Monthly SF Inter])+Table9[[#This Row],[Monthly Payment]]-O526*(1+Table7[Monthly SF Inter])</f>
        <v>49113.184895966486</v>
      </c>
      <c r="O527">
        <f>IF(MOD(Table9[[#This Row],[Month]],12)=0,(IF(Table9[[#This Row],[Current Balance]]&lt;Table9[[#This Row],[Max Lump Sum ]],Table9[[#This Row],[Current Balance]],Table9[[#This Row],[Max Lump Sum ]])),0)</f>
        <v>7880.3958913442566</v>
      </c>
      <c r="P527" s="21">
        <f>Table7[Max annual lump sum repayment]*SUM(C528:C539)</f>
        <v>7880.3958913442566</v>
      </c>
      <c r="Q527" s="25">
        <f>Q526*(1+Table7[Monthly SF Inter])+Table9[[#This Row],[Inflation Modifier]]-R526*(1+Table7[Monthly SF Inter])</f>
        <v>28.20086931351333</v>
      </c>
      <c r="R527" s="25">
        <f>IF(MOD(Table9[[#This Row],[Month]],12)=0,Table9[[#This Row],[Q2 ACC FACTOR]],0)</f>
        <v>28.20086931351333</v>
      </c>
      <c r="S527" s="25">
        <f>S526*(1+D526)+Table9[[#This Row],[ACC FACTOR PAYMENTS]]</f>
        <v>3042.5479187509486</v>
      </c>
    </row>
    <row r="528" spans="1:19" x14ac:dyDescent="0.25">
      <c r="A528" s="1">
        <v>516</v>
      </c>
      <c r="B528" s="1">
        <f t="shared" si="8"/>
        <v>7880.3958913442566</v>
      </c>
      <c r="C528" s="7">
        <f>G$12/-PV(Table7[Monthly mortgage rate], (12*Table7[Amortization period (yrs)]),1 )</f>
        <v>4377.9977174134756</v>
      </c>
      <c r="D528" s="11">
        <f>IF(Table1[[#This Row],[Month]]&lt;=(12*Table7[mortgage term (yrs)]),Table7[Monthly mortgage rate],Table7[Monthly Exp Renewal Rate])</f>
        <v>4.9038466830562122E-3</v>
      </c>
      <c r="E528" s="21">
        <f>Table1[[#This Row],[Current mortgage rate]]*G527</f>
        <v>-14185.08195759899</v>
      </c>
      <c r="F528" s="5">
        <f>Table1[[#This Row],[Payment amount]]-Table1[[#This Row],[Interest paid]]</f>
        <v>18563.079675012465</v>
      </c>
      <c r="G528" s="20">
        <f>G527-Table1[[#This Row],[Principal repaid]]-Table1[[#This Row],[Annual paym]]</f>
        <v>-2919087.3273024503</v>
      </c>
      <c r="H528" s="20">
        <f>H527-(Table1[[#This Row],[Payment amount]]-Table1[[#This Row],[Interest Paid W/O LSP]])</f>
        <v>-1744933.7648784921</v>
      </c>
      <c r="I528">
        <f>H527*Table1[[#This Row],[Current mortgage rate]]</f>
        <v>-8493.766496805205</v>
      </c>
      <c r="J528" s="25">
        <f>IF(Table1[[#This Row],[Month]]&gt;Table7[Amortization period (yrs)]*12,0,IF(Table1[[#This Row],[Month]]&lt;Table7[mortgage term (yrs)]*12,0,IF(Table1[[#This Row],[Month]]=Table7[mortgage term (yrs)]*12,-H$5,Table1[[#This Row],[Payment amount]]+B528)))</f>
        <v>0</v>
      </c>
      <c r="K528">
        <v>517</v>
      </c>
      <c r="L528">
        <f>Table7[Initial Monthly Deposit]*Table9[[#This Row],[Inflation Modifier]]</f>
        <v>937.27574213815569</v>
      </c>
      <c r="M528">
        <f xml:space="preserve"> (1+Table7[Inflation])^(QUOTIENT(Table9[[#This Row],[Month]]-1,12))</f>
        <v>2.3431893553453893</v>
      </c>
      <c r="N528">
        <f>N527*(1+Table7[Monthly SF Inter])+Table9[[#This Row],[Monthly Payment]]-O527*(1+Table7[Monthly SF Inter])</f>
        <v>42340.105283007579</v>
      </c>
      <c r="O528">
        <f>IF(MOD(Table9[[#This Row],[Month]],12)=0,(IF(Table9[[#This Row],[Current Balance]]&lt;Table9[[#This Row],[Max Lump Sum ]],Table9[[#This Row],[Current Balance]],Table9[[#This Row],[Max Lump Sum ]])),0)</f>
        <v>0</v>
      </c>
      <c r="P528" s="21">
        <f>Table7[Max annual lump sum repayment]*SUM(C529:C540)</f>
        <v>7880.3958913442566</v>
      </c>
      <c r="Q528" s="25">
        <f>Q527*(1+Table7[Monthly SF Inter])+Table9[[#This Row],[Inflation Modifier]]-R527*(1+Table7[Monthly SF Inter])</f>
        <v>2.3431893553453875</v>
      </c>
      <c r="R528" s="25">
        <f>IF(MOD(Table9[[#This Row],[Month]],12)=0,Table9[[#This Row],[Q2 ACC FACTOR]],0)</f>
        <v>0</v>
      </c>
      <c r="S528" s="25">
        <f>S527*(1+D527)+Table9[[#This Row],[ACC FACTOR PAYMENTS]]</f>
        <v>3057.4681072703552</v>
      </c>
    </row>
    <row r="529" spans="1:19" x14ac:dyDescent="0.25">
      <c r="A529" s="1">
        <v>517</v>
      </c>
      <c r="B529" s="1">
        <f t="shared" si="8"/>
        <v>0</v>
      </c>
      <c r="C529" s="7">
        <f>G$12/-PV(Table7[Monthly mortgage rate], (12*Table7[Amortization period (yrs)]),1 )</f>
        <v>4377.9977174134756</v>
      </c>
      <c r="D529" s="11">
        <f>IF(Table1[[#This Row],[Month]]&lt;=(12*Table7[mortgage term (yrs)]),Table7[Monthly mortgage rate],Table7[Monthly Exp Renewal Rate])</f>
        <v>4.9038466830562122E-3</v>
      </c>
      <c r="E529" s="21">
        <f>Table1[[#This Row],[Current mortgage rate]]*G528</f>
        <v>-14314.756707543545</v>
      </c>
      <c r="F529" s="5">
        <f>Table1[[#This Row],[Payment amount]]-Table1[[#This Row],[Interest paid]]</f>
        <v>18692.75442495702</v>
      </c>
      <c r="G529" s="20">
        <f>G528-Table1[[#This Row],[Principal repaid]]-Table1[[#This Row],[Annual paym]]</f>
        <v>-2937780.0817274074</v>
      </c>
      <c r="H529" s="20">
        <f>H528-(Table1[[#This Row],[Payment amount]]-Table1[[#This Row],[Interest Paid W/O LSP]])</f>
        <v>-1757868.6502509578</v>
      </c>
      <c r="I529">
        <f>H528*Table1[[#This Row],[Current mortgage rate]]</f>
        <v>-8556.8876550521818</v>
      </c>
      <c r="J529" s="25">
        <f>IF(Table1[[#This Row],[Month]]&gt;Table7[Amortization period (yrs)]*12,0,IF(Table1[[#This Row],[Month]]&lt;Table7[mortgage term (yrs)]*12,0,IF(Table1[[#This Row],[Month]]=Table7[mortgage term (yrs)]*12,-H$5,Table1[[#This Row],[Payment amount]]+B529)))</f>
        <v>0</v>
      </c>
      <c r="K529">
        <v>518</v>
      </c>
      <c r="L529">
        <f>Table7[Initial Monthly Deposit]*Table9[[#This Row],[Inflation Modifier]]</f>
        <v>937.27574213815569</v>
      </c>
      <c r="M529">
        <f xml:space="preserve"> (1+Table7[Inflation])^(QUOTIENT(Table9[[#This Row],[Month]]-1,12))</f>
        <v>2.3431893553453893</v>
      </c>
      <c r="N529">
        <f>N528*(1+Table7[Monthly SF Inter])+Table9[[#This Row],[Monthly Payment]]-O528*(1+Table7[Monthly SF Inter])</f>
        <v>43451.988040118165</v>
      </c>
      <c r="O529">
        <f>IF(MOD(Table9[[#This Row],[Month]],12)=0,(IF(Table9[[#This Row],[Current Balance]]&lt;Table9[[#This Row],[Max Lump Sum ]],Table9[[#This Row],[Current Balance]],Table9[[#This Row],[Max Lump Sum ]])),0)</f>
        <v>0</v>
      </c>
      <c r="P529" s="21">
        <f>Table7[Max annual lump sum repayment]*SUM(C530:C541)</f>
        <v>7880.3958913442566</v>
      </c>
      <c r="Q529" s="25">
        <f>Q528*(1+Table7[Monthly SF Inter])+Table9[[#This Row],[Inflation Modifier]]-R528*(1+Table7[Monthly SF Inter])</f>
        <v>4.6960418255110472</v>
      </c>
      <c r="R529" s="25">
        <f>IF(MOD(Table9[[#This Row],[Month]],12)=0,Table9[[#This Row],[Q2 ACC FACTOR]],0)</f>
        <v>0</v>
      </c>
      <c r="S529" s="25">
        <f>S528*(1+D528)+Table9[[#This Row],[ACC FACTOR PAYMENTS]]</f>
        <v>3072.4614621067431</v>
      </c>
    </row>
    <row r="530" spans="1:19" x14ac:dyDescent="0.25">
      <c r="A530" s="1">
        <v>518</v>
      </c>
      <c r="B530" s="1">
        <f t="shared" si="8"/>
        <v>0</v>
      </c>
      <c r="C530" s="7">
        <f>G$12/-PV(Table7[Monthly mortgage rate], (12*Table7[Amortization period (yrs)]),1 )</f>
        <v>4377.9977174134756</v>
      </c>
      <c r="D530" s="11">
        <f>IF(Table1[[#This Row],[Month]]&lt;=(12*Table7[mortgage term (yrs)]),Table7[Monthly mortgage rate],Table7[Monthly Exp Renewal Rate])</f>
        <v>4.9038466830562122E-3</v>
      </c>
      <c r="E530" s="21">
        <f>Table1[[#This Row],[Current mortgage rate]]*G529</f>
        <v>-14406.423109327554</v>
      </c>
      <c r="F530" s="5">
        <f>Table1[[#This Row],[Payment amount]]-Table1[[#This Row],[Interest paid]]</f>
        <v>18784.420826741029</v>
      </c>
      <c r="G530" s="20">
        <f>G529-Table1[[#This Row],[Principal repaid]]-Table1[[#This Row],[Annual paym]]</f>
        <v>-2956564.5025541484</v>
      </c>
      <c r="H530" s="20">
        <f>H529-(Table1[[#This Row],[Payment amount]]-Table1[[#This Row],[Interest Paid W/O LSP]])</f>
        <v>-1770866.9663181528</v>
      </c>
      <c r="I530">
        <f>H529*Table1[[#This Row],[Current mortgage rate]]</f>
        <v>-8620.3183497816608</v>
      </c>
      <c r="J530" s="25">
        <f>IF(Table1[[#This Row],[Month]]&gt;Table7[Amortization period (yrs)]*12,0,IF(Table1[[#This Row],[Month]]&lt;Table7[mortgage term (yrs)]*12,0,IF(Table1[[#This Row],[Month]]=Table7[mortgage term (yrs)]*12,-H$5,Table1[[#This Row],[Payment amount]]+B530)))</f>
        <v>0</v>
      </c>
      <c r="K530">
        <v>519</v>
      </c>
      <c r="L530">
        <f>Table7[Initial Monthly Deposit]*Table9[[#This Row],[Inflation Modifier]]</f>
        <v>937.27574213815569</v>
      </c>
      <c r="M530">
        <f xml:space="preserve"> (1+Table7[Inflation])^(QUOTIENT(Table9[[#This Row],[Month]]-1,12))</f>
        <v>2.3431893553453893</v>
      </c>
      <c r="N530">
        <f>N529*(1+Table7[Monthly SF Inter])+Table9[[#This Row],[Monthly Payment]]-O529*(1+Table7[Monthly SF Inter])</f>
        <v>44568.456107726226</v>
      </c>
      <c r="O530">
        <f>IF(MOD(Table9[[#This Row],[Month]],12)=0,(IF(Table9[[#This Row],[Current Balance]]&lt;Table9[[#This Row],[Max Lump Sum ]],Table9[[#This Row],[Current Balance]],Table9[[#This Row],[Max Lump Sum ]])),0)</f>
        <v>0</v>
      </c>
      <c r="P530" s="21">
        <f>Table7[Max annual lump sum repayment]*SUM(C531:C542)</f>
        <v>7880.3958913442566</v>
      </c>
      <c r="Q530" s="25">
        <f>Q529*(1+Table7[Monthly SF Inter])+Table9[[#This Row],[Inflation Modifier]]-R529*(1+Table7[Monthly SF Inter])</f>
        <v>7.0585972603656257</v>
      </c>
      <c r="R530" s="25">
        <f>IF(MOD(Table9[[#This Row],[Month]],12)=0,Table9[[#This Row],[Q2 ACC FACTOR]],0)</f>
        <v>0</v>
      </c>
      <c r="S530" s="25">
        <f>S529*(1+D529)+Table9[[#This Row],[ACC FACTOR PAYMENTS]]</f>
        <v>3087.5283420565133</v>
      </c>
    </row>
    <row r="531" spans="1:19" x14ac:dyDescent="0.25">
      <c r="A531" s="1">
        <v>519</v>
      </c>
      <c r="B531" s="1">
        <f t="shared" si="8"/>
        <v>0</v>
      </c>
      <c r="C531" s="7">
        <f>G$12/-PV(Table7[Monthly mortgage rate], (12*Table7[Amortization period (yrs)]),1 )</f>
        <v>4377.9977174134756</v>
      </c>
      <c r="D531" s="11">
        <f>IF(Table1[[#This Row],[Month]]&lt;=(12*Table7[mortgage term (yrs)]),Table7[Monthly mortgage rate],Table7[Monthly Exp Renewal Rate])</f>
        <v>4.9038466830562122E-3</v>
      </c>
      <c r="E531" s="21">
        <f>Table1[[#This Row],[Current mortgage rate]]*G530</f>
        <v>-14498.5390290919</v>
      </c>
      <c r="F531" s="5">
        <f>Table1[[#This Row],[Payment amount]]-Table1[[#This Row],[Interest paid]]</f>
        <v>18876.536746505375</v>
      </c>
      <c r="G531" s="20">
        <f>G530-Table1[[#This Row],[Principal repaid]]-Table1[[#This Row],[Annual paym]]</f>
        <v>-2975441.0393006536</v>
      </c>
      <c r="H531" s="20">
        <f>H530-(Table1[[#This Row],[Payment amount]]-Table1[[#This Row],[Interest Paid W/O LSP]])</f>
        <v>-1783929.0241344795</v>
      </c>
      <c r="I531">
        <f>H530*Table1[[#This Row],[Current mortgage rate]]</f>
        <v>-8684.0600989130908</v>
      </c>
      <c r="J531" s="25">
        <f>IF(Table1[[#This Row],[Month]]&gt;Table7[Amortization period (yrs)]*12,0,IF(Table1[[#This Row],[Month]]&lt;Table7[mortgage term (yrs)]*12,0,IF(Table1[[#This Row],[Month]]=Table7[mortgage term (yrs)]*12,-H$5,Table1[[#This Row],[Payment amount]]+B531)))</f>
        <v>0</v>
      </c>
      <c r="K531">
        <v>520</v>
      </c>
      <c r="L531">
        <f>Table7[Initial Monthly Deposit]*Table9[[#This Row],[Inflation Modifier]]</f>
        <v>937.27574213815569</v>
      </c>
      <c r="M531">
        <f xml:space="preserve"> (1+Table7[Inflation])^(QUOTIENT(Table9[[#This Row],[Month]]-1,12))</f>
        <v>2.3431893553453893</v>
      </c>
      <c r="N531">
        <f>N530*(1+Table7[Monthly SF Inter])+Table9[[#This Row],[Monthly Payment]]-O530*(1+Table7[Monthly SF Inter])</f>
        <v>45689.528395264635</v>
      </c>
      <c r="O531">
        <f>IF(MOD(Table9[[#This Row],[Month]],12)=0,(IF(Table9[[#This Row],[Current Balance]]&lt;Table9[[#This Row],[Max Lump Sum ]],Table9[[#This Row],[Current Balance]],Table9[[#This Row],[Max Lump Sum ]])),0)</f>
        <v>0</v>
      </c>
      <c r="P531" s="21">
        <f>Table7[Max annual lump sum repayment]*SUM(C532:C543)</f>
        <v>7880.3958913442566</v>
      </c>
      <c r="Q531" s="25">
        <f>Q530*(1+Table7[Monthly SF Inter])+Table9[[#This Row],[Inflation Modifier]]-R530*(1+Table7[Monthly SF Inter])</f>
        <v>9.4308956741152628</v>
      </c>
      <c r="R531" s="25">
        <f>IF(MOD(Table9[[#This Row],[Month]],12)=0,Table9[[#This Row],[Q2 ACC FACTOR]],0)</f>
        <v>0</v>
      </c>
      <c r="S531" s="25">
        <f>S530*(1+D530)+Table9[[#This Row],[ACC FACTOR PAYMENTS]]</f>
        <v>3102.6691076755492</v>
      </c>
    </row>
    <row r="532" spans="1:19" x14ac:dyDescent="0.25">
      <c r="A532" s="1">
        <v>520</v>
      </c>
      <c r="B532" s="1">
        <f t="shared" si="8"/>
        <v>0</v>
      </c>
      <c r="C532" s="7">
        <f>G$12/-PV(Table7[Monthly mortgage rate], (12*Table7[Amortization period (yrs)]),1 )</f>
        <v>4377.9977174134756</v>
      </c>
      <c r="D532" s="11">
        <f>IF(Table1[[#This Row],[Month]]&lt;=(12*Table7[mortgage term (yrs)]),Table7[Monthly mortgage rate],Table7[Monthly Exp Renewal Rate])</f>
        <v>4.9038466830562122E-3</v>
      </c>
      <c r="E532" s="21">
        <f>Table1[[#This Row],[Current mortgage rate]]*G531</f>
        <v>-14591.106671203839</v>
      </c>
      <c r="F532" s="5">
        <f>Table1[[#This Row],[Payment amount]]-Table1[[#This Row],[Interest paid]]</f>
        <v>18969.104388617314</v>
      </c>
      <c r="G532" s="20">
        <f>G531-Table1[[#This Row],[Principal repaid]]-Table1[[#This Row],[Annual paym]]</f>
        <v>-2994410.1436892711</v>
      </c>
      <c r="H532" s="20">
        <f>H531-(Table1[[#This Row],[Payment amount]]-Table1[[#This Row],[Interest Paid W/O LSP]])</f>
        <v>-1797055.1362797024</v>
      </c>
      <c r="I532">
        <f>H531*Table1[[#This Row],[Current mortgage rate]]</f>
        <v>-8748.1144278095726</v>
      </c>
      <c r="J532" s="25">
        <f>IF(Table1[[#This Row],[Month]]&gt;Table7[Amortization period (yrs)]*12,0,IF(Table1[[#This Row],[Month]]&lt;Table7[mortgage term (yrs)]*12,0,IF(Table1[[#This Row],[Month]]=Table7[mortgage term (yrs)]*12,-H$5,Table1[[#This Row],[Payment amount]]+B532)))</f>
        <v>0</v>
      </c>
      <c r="K532">
        <v>521</v>
      </c>
      <c r="L532">
        <f>Table7[Initial Monthly Deposit]*Table9[[#This Row],[Inflation Modifier]]</f>
        <v>937.27574213815569</v>
      </c>
      <c r="M532">
        <f xml:space="preserve"> (1+Table7[Inflation])^(QUOTIENT(Table9[[#This Row],[Month]]-1,12))</f>
        <v>2.3431893553453893</v>
      </c>
      <c r="N532">
        <f>N531*(1+Table7[Monthly SF Inter])+Table9[[#This Row],[Monthly Payment]]-O531*(1+Table7[Monthly SF Inter])</f>
        <v>46815.223890147165</v>
      </c>
      <c r="O532">
        <f>IF(MOD(Table9[[#This Row],[Month]],12)=0,(IF(Table9[[#This Row],[Current Balance]]&lt;Table9[[#This Row],[Max Lump Sum ]],Table9[[#This Row],[Current Balance]],Table9[[#This Row],[Max Lump Sum ]])),0)</f>
        <v>0</v>
      </c>
      <c r="P532" s="21">
        <f>Table7[Max annual lump sum repayment]*SUM(C533:C544)</f>
        <v>7880.3958913442566</v>
      </c>
      <c r="Q532" s="25">
        <f>Q531*(1+Table7[Monthly SF Inter])+Table9[[#This Row],[Inflation Modifier]]-R531*(1+Table7[Monthly SF Inter])</f>
        <v>11.812977245981298</v>
      </c>
      <c r="R532" s="25">
        <f>IF(MOD(Table9[[#This Row],[Month]],12)=0,Table9[[#This Row],[Q2 ACC FACTOR]],0)</f>
        <v>0</v>
      </c>
      <c r="S532" s="25">
        <f>S531*(1+D531)+Table9[[#This Row],[ACC FACTOR PAYMENTS]]</f>
        <v>3117.8841212878451</v>
      </c>
    </row>
    <row r="533" spans="1:19" x14ac:dyDescent="0.25">
      <c r="A533" s="1">
        <v>521</v>
      </c>
      <c r="B533" s="1">
        <f t="shared" si="8"/>
        <v>0</v>
      </c>
      <c r="C533" s="7">
        <f>G$12/-PV(Table7[Monthly mortgage rate], (12*Table7[Amortization period (yrs)]),1 )</f>
        <v>4377.9977174134756</v>
      </c>
      <c r="D533" s="11">
        <f>IF(Table1[[#This Row],[Month]]&lt;=(12*Table7[mortgage term (yrs)]),Table7[Monthly mortgage rate],Table7[Monthly Exp Renewal Rate])</f>
        <v>4.9038466830562122E-3</v>
      </c>
      <c r="E533" s="21">
        <f>Table1[[#This Row],[Current mortgage rate]]*G532</f>
        <v>-14684.128250840507</v>
      </c>
      <c r="F533" s="5">
        <f>Table1[[#This Row],[Payment amount]]-Table1[[#This Row],[Interest paid]]</f>
        <v>19062.125968253982</v>
      </c>
      <c r="G533" s="20">
        <f>G532-Table1[[#This Row],[Principal repaid]]-Table1[[#This Row],[Annual paym]]</f>
        <v>-3013472.2696575252</v>
      </c>
      <c r="H533" s="20">
        <f>H532-(Table1[[#This Row],[Payment amount]]-Table1[[#This Row],[Interest Paid W/O LSP]])</f>
        <v>-1810245.6168664303</v>
      </c>
      <c r="I533">
        <f>H532*Table1[[#This Row],[Current mortgage rate]]</f>
        <v>-8812.4828693143481</v>
      </c>
      <c r="J533" s="25">
        <f>IF(Table1[[#This Row],[Month]]&gt;Table7[Amortization period (yrs)]*12,0,IF(Table1[[#This Row],[Month]]&lt;Table7[mortgage term (yrs)]*12,0,IF(Table1[[#This Row],[Month]]=Table7[mortgage term (yrs)]*12,-H$5,Table1[[#This Row],[Payment amount]]+B533)))</f>
        <v>0</v>
      </c>
      <c r="K533">
        <v>522</v>
      </c>
      <c r="L533">
        <f>Table7[Initial Monthly Deposit]*Table9[[#This Row],[Inflation Modifier]]</f>
        <v>937.27574213815569</v>
      </c>
      <c r="M533">
        <f xml:space="preserve"> (1+Table7[Inflation])^(QUOTIENT(Table9[[#This Row],[Month]]-1,12))</f>
        <v>2.3431893553453893</v>
      </c>
      <c r="N533">
        <f>N532*(1+Table7[Monthly SF Inter])+Table9[[#This Row],[Monthly Payment]]-O532*(1+Table7[Monthly SF Inter])</f>
        <v>47945.56165809009</v>
      </c>
      <c r="O533">
        <f>IF(MOD(Table9[[#This Row],[Month]],12)=0,(IF(Table9[[#This Row],[Current Balance]]&lt;Table9[[#This Row],[Max Lump Sum ]],Table9[[#This Row],[Current Balance]],Table9[[#This Row],[Max Lump Sum ]])),0)</f>
        <v>0</v>
      </c>
      <c r="P533" s="21">
        <f>Table7[Max annual lump sum repayment]*SUM(C534:C545)</f>
        <v>7880.3958913442566</v>
      </c>
      <c r="Q533" s="25">
        <f>Q532*(1+Table7[Monthly SF Inter])+Table9[[#This Row],[Inflation Modifier]]-R532*(1+Table7[Monthly SF Inter])</f>
        <v>14.204882320880786</v>
      </c>
      <c r="R533" s="25">
        <f>IF(MOD(Table9[[#This Row],[Month]],12)=0,Table9[[#This Row],[Q2 ACC FACTOR]],0)</f>
        <v>0</v>
      </c>
      <c r="S533" s="25">
        <f>S532*(1+D532)+Table9[[#This Row],[ACC FACTOR PAYMENTS]]</f>
        <v>3133.1737469941763</v>
      </c>
    </row>
    <row r="534" spans="1:19" x14ac:dyDescent="0.25">
      <c r="A534" s="1">
        <v>522</v>
      </c>
      <c r="B534" s="1">
        <f t="shared" si="8"/>
        <v>0</v>
      </c>
      <c r="C534" s="7">
        <f>G$12/-PV(Table7[Monthly mortgage rate], (12*Table7[Amortization period (yrs)]),1 )</f>
        <v>4377.9977174134756</v>
      </c>
      <c r="D534" s="11">
        <f>IF(Table1[[#This Row],[Month]]&lt;=(12*Table7[mortgage term (yrs)]),Table7[Monthly mortgage rate],Table7[Monthly Exp Renewal Rate])</f>
        <v>4.9038466830562122E-3</v>
      </c>
      <c r="E534" s="21">
        <f>Table1[[#This Row],[Current mortgage rate]]*G533</f>
        <v>-14777.605994041931</v>
      </c>
      <c r="F534" s="5">
        <f>Table1[[#This Row],[Payment amount]]-Table1[[#This Row],[Interest paid]]</f>
        <v>19155.603711455406</v>
      </c>
      <c r="G534" s="20">
        <f>G533-Table1[[#This Row],[Principal repaid]]-Table1[[#This Row],[Annual paym]]</f>
        <v>-3032627.8733689808</v>
      </c>
      <c r="H534" s="20">
        <f>H533-(Table1[[#This Row],[Payment amount]]-Table1[[#This Row],[Interest Paid W/O LSP]])</f>
        <v>-1823500.7815476311</v>
      </c>
      <c r="I534">
        <f>H533*Table1[[#This Row],[Current mortgage rate]]</f>
        <v>-8877.1669637874911</v>
      </c>
      <c r="J534" s="25">
        <f>IF(Table1[[#This Row],[Month]]&gt;Table7[Amortization period (yrs)]*12,0,IF(Table1[[#This Row],[Month]]&lt;Table7[mortgage term (yrs)]*12,0,IF(Table1[[#This Row],[Month]]=Table7[mortgage term (yrs)]*12,-H$5,Table1[[#This Row],[Payment amount]]+B534)))</f>
        <v>0</v>
      </c>
      <c r="K534">
        <v>523</v>
      </c>
      <c r="L534">
        <f>Table7[Initial Monthly Deposit]*Table9[[#This Row],[Inflation Modifier]]</f>
        <v>937.27574213815569</v>
      </c>
      <c r="M534">
        <f xml:space="preserve"> (1+Table7[Inflation])^(QUOTIENT(Table9[[#This Row],[Month]]-1,12))</f>
        <v>2.3431893553453893</v>
      </c>
      <c r="N534">
        <f>N533*(1+Table7[Monthly SF Inter])+Table9[[#This Row],[Monthly Payment]]-O533*(1+Table7[Monthly SF Inter])</f>
        <v>49080.560843435065</v>
      </c>
      <c r="O534">
        <f>IF(MOD(Table9[[#This Row],[Month]],12)=0,(IF(Table9[[#This Row],[Current Balance]]&lt;Table9[[#This Row],[Max Lump Sum ]],Table9[[#This Row],[Current Balance]],Table9[[#This Row],[Max Lump Sum ]])),0)</f>
        <v>0</v>
      </c>
      <c r="P534" s="21">
        <f>Table7[Max annual lump sum repayment]*SUM(C535:C546)</f>
        <v>7880.3958913442566</v>
      </c>
      <c r="Q534" s="25">
        <f>Q533*(1+Table7[Monthly SF Inter])+Table9[[#This Row],[Inflation Modifier]]-R533*(1+Table7[Monthly SF Inter])</f>
        <v>16.606651410109812</v>
      </c>
      <c r="R534" s="25">
        <f>IF(MOD(Table9[[#This Row],[Month]],12)=0,Table9[[#This Row],[Q2 ACC FACTOR]],0)</f>
        <v>0</v>
      </c>
      <c r="S534" s="25">
        <f>S533*(1+D533)+Table9[[#This Row],[ACC FACTOR PAYMENTS]]</f>
        <v>3148.5383506808125</v>
      </c>
    </row>
    <row r="535" spans="1:19" x14ac:dyDescent="0.25">
      <c r="A535" s="1">
        <v>523</v>
      </c>
      <c r="B535" s="1">
        <f t="shared" si="8"/>
        <v>0</v>
      </c>
      <c r="C535" s="7">
        <f>G$12/-PV(Table7[Monthly mortgage rate], (12*Table7[Amortization period (yrs)]),1 )</f>
        <v>4377.9977174134756</v>
      </c>
      <c r="D535" s="11">
        <f>IF(Table1[[#This Row],[Month]]&lt;=(12*Table7[mortgage term (yrs)]),Table7[Monthly mortgage rate],Table7[Monthly Exp Renewal Rate])</f>
        <v>4.9038466830562122E-3</v>
      </c>
      <c r="E535" s="21">
        <f>Table1[[#This Row],[Current mortgage rate]]*G534</f>
        <v>-14871.542137764291</v>
      </c>
      <c r="F535" s="5">
        <f>Table1[[#This Row],[Payment amount]]-Table1[[#This Row],[Interest paid]]</f>
        <v>19249.539855177765</v>
      </c>
      <c r="G535" s="20">
        <f>G534-Table1[[#This Row],[Principal repaid]]-Table1[[#This Row],[Annual paym]]</f>
        <v>-3051877.4132241588</v>
      </c>
      <c r="H535" s="20">
        <f>H534-(Table1[[#This Row],[Payment amount]]-Table1[[#This Row],[Interest Paid W/O LSP]])</f>
        <v>-1836820.9475241874</v>
      </c>
      <c r="I535">
        <f>H534*Table1[[#This Row],[Current mortgage rate]]</f>
        <v>-8942.1682591427616</v>
      </c>
      <c r="J535" s="25">
        <f>IF(Table1[[#This Row],[Month]]&gt;Table7[Amortization period (yrs)]*12,0,IF(Table1[[#This Row],[Month]]&lt;Table7[mortgage term (yrs)]*12,0,IF(Table1[[#This Row],[Month]]=Table7[mortgage term (yrs)]*12,-H$5,Table1[[#This Row],[Payment amount]]+B535)))</f>
        <v>0</v>
      </c>
      <c r="K535">
        <v>524</v>
      </c>
      <c r="L535">
        <f>Table7[Initial Monthly Deposit]*Table9[[#This Row],[Inflation Modifier]]</f>
        <v>937.27574213815569</v>
      </c>
      <c r="M535">
        <f xml:space="preserve"> (1+Table7[Inflation])^(QUOTIENT(Table9[[#This Row],[Month]]-1,12))</f>
        <v>2.3431893553453893</v>
      </c>
      <c r="N535">
        <f>N534*(1+Table7[Monthly SF Inter])+Table9[[#This Row],[Monthly Payment]]-O534*(1+Table7[Monthly SF Inter])</f>
        <v>50220.240669473416</v>
      </c>
      <c r="O535">
        <f>IF(MOD(Table9[[#This Row],[Month]],12)=0,(IF(Table9[[#This Row],[Current Balance]]&lt;Table9[[#This Row],[Max Lump Sum ]],Table9[[#This Row],[Current Balance]],Table9[[#This Row],[Max Lump Sum ]])),0)</f>
        <v>0</v>
      </c>
      <c r="P535" s="21">
        <f>Table7[Max annual lump sum repayment]*SUM(C536:C547)</f>
        <v>7880.3958913442566</v>
      </c>
      <c r="Q535" s="25">
        <f>Q534*(1+Table7[Monthly SF Inter])+Table9[[#This Row],[Inflation Modifier]]-R534*(1+Table7[Monthly SF Inter])</f>
        <v>19.018325192029614</v>
      </c>
      <c r="R535" s="25">
        <f>IF(MOD(Table9[[#This Row],[Month]],12)=0,Table9[[#This Row],[Q2 ACC FACTOR]],0)</f>
        <v>0</v>
      </c>
      <c r="S535" s="25">
        <f>S534*(1+D534)+Table9[[#This Row],[ACC FACTOR PAYMENTS]]</f>
        <v>3163.9783000282741</v>
      </c>
    </row>
    <row r="536" spans="1:19" x14ac:dyDescent="0.25">
      <c r="A536" s="1">
        <v>524</v>
      </c>
      <c r="B536" s="1">
        <f t="shared" si="8"/>
        <v>0</v>
      </c>
      <c r="C536" s="7">
        <f>G$12/-PV(Table7[Monthly mortgage rate], (12*Table7[Amortization period (yrs)]),1 )</f>
        <v>4377.9977174134756</v>
      </c>
      <c r="D536" s="11">
        <f>IF(Table1[[#This Row],[Month]]&lt;=(12*Table7[mortgage term (yrs)]),Table7[Monthly mortgage rate],Table7[Monthly Exp Renewal Rate])</f>
        <v>4.9038466830562122E-3</v>
      </c>
      <c r="E536" s="21">
        <f>Table1[[#This Row],[Current mortgage rate]]*G535</f>
        <v>-14965.938929933463</v>
      </c>
      <c r="F536" s="5">
        <f>Table1[[#This Row],[Payment amount]]-Table1[[#This Row],[Interest paid]]</f>
        <v>19343.936647346938</v>
      </c>
      <c r="G536" s="20">
        <f>G535-Table1[[#This Row],[Principal repaid]]-Table1[[#This Row],[Annual paym]]</f>
        <v>-3071221.3498715055</v>
      </c>
      <c r="H536" s="20">
        <f>H535-(Table1[[#This Row],[Payment amount]]-Table1[[#This Row],[Interest Paid W/O LSP]])</f>
        <v>-1850206.4335524854</v>
      </c>
      <c r="I536">
        <f>H535*Table1[[#This Row],[Current mortgage rate]]</f>
        <v>-9007.4883108846552</v>
      </c>
      <c r="J536" s="25">
        <f>IF(Table1[[#This Row],[Month]]&gt;Table7[Amortization period (yrs)]*12,0,IF(Table1[[#This Row],[Month]]&lt;Table7[mortgage term (yrs)]*12,0,IF(Table1[[#This Row],[Month]]=Table7[mortgage term (yrs)]*12,-H$5,Table1[[#This Row],[Payment amount]]+B536)))</f>
        <v>0</v>
      </c>
      <c r="K536">
        <v>525</v>
      </c>
      <c r="L536">
        <f>Table7[Initial Monthly Deposit]*Table9[[#This Row],[Inflation Modifier]]</f>
        <v>937.27574213815569</v>
      </c>
      <c r="M536">
        <f xml:space="preserve"> (1+Table7[Inflation])^(QUOTIENT(Table9[[#This Row],[Month]]-1,12))</f>
        <v>2.3431893553453893</v>
      </c>
      <c r="N536">
        <f>N535*(1+Table7[Monthly SF Inter])+Table9[[#This Row],[Monthly Payment]]-O535*(1+Table7[Monthly SF Inter])</f>
        <v>51364.620438771679</v>
      </c>
      <c r="O536">
        <f>IF(MOD(Table9[[#This Row],[Month]],12)=0,(IF(Table9[[#This Row],[Current Balance]]&lt;Table9[[#This Row],[Max Lump Sum ]],Table9[[#This Row],[Current Balance]],Table9[[#This Row],[Max Lump Sum ]])),0)</f>
        <v>0</v>
      </c>
      <c r="P536" s="21">
        <f>Table7[Max annual lump sum repayment]*SUM(C537:C548)</f>
        <v>7880.3958913442566</v>
      </c>
      <c r="Q536" s="25">
        <f>Q535*(1+Table7[Monthly SF Inter])+Table9[[#This Row],[Inflation Modifier]]-R535*(1+Table7[Monthly SF Inter])</f>
        <v>21.439944512755559</v>
      </c>
      <c r="R536" s="25">
        <f>IF(MOD(Table9[[#This Row],[Month]],12)=0,Table9[[#This Row],[Q2 ACC FACTOR]],0)</f>
        <v>0</v>
      </c>
      <c r="S536" s="25">
        <f>S535*(1+D535)+Table9[[#This Row],[ACC FACTOR PAYMENTS]]</f>
        <v>3179.4939645201298</v>
      </c>
    </row>
    <row r="537" spans="1:19" x14ac:dyDescent="0.25">
      <c r="A537" s="1">
        <v>525</v>
      </c>
      <c r="B537" s="1">
        <f t="shared" si="8"/>
        <v>0</v>
      </c>
      <c r="C537" s="7">
        <f>G$12/-PV(Table7[Monthly mortgage rate], (12*Table7[Amortization period (yrs)]),1 )</f>
        <v>4377.9977174134756</v>
      </c>
      <c r="D537" s="11">
        <f>IF(Table1[[#This Row],[Month]]&lt;=(12*Table7[mortgage term (yrs)]),Table7[Monthly mortgage rate],Table7[Monthly Exp Renewal Rate])</f>
        <v>4.9038466830562122E-3</v>
      </c>
      <c r="E537" s="21">
        <f>Table1[[#This Row],[Current mortgage rate]]*G536</f>
        <v>-15060.798629498804</v>
      </c>
      <c r="F537" s="5">
        <f>Table1[[#This Row],[Payment amount]]-Table1[[#This Row],[Interest paid]]</f>
        <v>19438.796346912281</v>
      </c>
      <c r="G537" s="20">
        <f>G536-Table1[[#This Row],[Principal repaid]]-Table1[[#This Row],[Annual paym]]</f>
        <v>-3090660.1462184177</v>
      </c>
      <c r="H537" s="20">
        <f>H536-(Table1[[#This Row],[Payment amount]]-Table1[[#This Row],[Interest Paid W/O LSP]])</f>
        <v>-1863657.5599520446</v>
      </c>
      <c r="I537">
        <f>H536*Table1[[#This Row],[Current mortgage rate]]</f>
        <v>-9073.1286821456197</v>
      </c>
      <c r="J537" s="25">
        <f>IF(Table1[[#This Row],[Month]]&gt;Table7[Amortization period (yrs)]*12,0,IF(Table1[[#This Row],[Month]]&lt;Table7[mortgage term (yrs)]*12,0,IF(Table1[[#This Row],[Month]]=Table7[mortgage term (yrs)]*12,-H$5,Table1[[#This Row],[Payment amount]]+B537)))</f>
        <v>0</v>
      </c>
      <c r="K537">
        <v>526</v>
      </c>
      <c r="L537">
        <f>Table7[Initial Monthly Deposit]*Table9[[#This Row],[Inflation Modifier]]</f>
        <v>937.27574213815569</v>
      </c>
      <c r="M537">
        <f xml:space="preserve"> (1+Table7[Inflation])^(QUOTIENT(Table9[[#This Row],[Month]]-1,12))</f>
        <v>2.3431893553453893</v>
      </c>
      <c r="N537">
        <f>N536*(1+Table7[Monthly SF Inter])+Table9[[#This Row],[Monthly Payment]]-O536*(1+Table7[Monthly SF Inter])</f>
        <v>52513.719533498544</v>
      </c>
      <c r="O537">
        <f>IF(MOD(Table9[[#This Row],[Month]],12)=0,(IF(Table9[[#This Row],[Current Balance]]&lt;Table9[[#This Row],[Max Lump Sum ]],Table9[[#This Row],[Current Balance]],Table9[[#This Row],[Max Lump Sum ]])),0)</f>
        <v>0</v>
      </c>
      <c r="P537" s="21">
        <f>Table7[Max annual lump sum repayment]*SUM(C538:C549)</f>
        <v>7880.3958913442566</v>
      </c>
      <c r="Q537" s="25">
        <f>Q536*(1+Table7[Monthly SF Inter])+Table9[[#This Row],[Inflation Modifier]]-R536*(1+Table7[Monthly SF Inter])</f>
        <v>23.871550386848938</v>
      </c>
      <c r="R537" s="25">
        <f>IF(MOD(Table9[[#This Row],[Month]],12)=0,Table9[[#This Row],[Q2 ACC FACTOR]],0)</f>
        <v>0</v>
      </c>
      <c r="S537" s="25">
        <f>S536*(1+D536)+Table9[[#This Row],[ACC FACTOR PAYMENTS]]</f>
        <v>3195.085715451839</v>
      </c>
    </row>
    <row r="538" spans="1:19" x14ac:dyDescent="0.25">
      <c r="A538" s="1">
        <v>526</v>
      </c>
      <c r="B538" s="1">
        <f t="shared" si="8"/>
        <v>0</v>
      </c>
      <c r="C538" s="7">
        <f>G$12/-PV(Table7[Monthly mortgage rate], (12*Table7[Amortization period (yrs)]),1 )</f>
        <v>4377.9977174134756</v>
      </c>
      <c r="D538" s="11">
        <f>IF(Table1[[#This Row],[Month]]&lt;=(12*Table7[mortgage term (yrs)]),Table7[Monthly mortgage rate],Table7[Monthly Exp Renewal Rate])</f>
        <v>4.9038466830562122E-3</v>
      </c>
      <c r="E538" s="21">
        <f>Table1[[#This Row],[Current mortgage rate]]*G537</f>
        <v>-15156.123506487214</v>
      </c>
      <c r="F538" s="5">
        <f>Table1[[#This Row],[Payment amount]]-Table1[[#This Row],[Interest paid]]</f>
        <v>19534.121223900689</v>
      </c>
      <c r="G538" s="20">
        <f>G537-Table1[[#This Row],[Principal repaid]]-Table1[[#This Row],[Annual paym]]</f>
        <v>-3110194.2674423181</v>
      </c>
      <c r="H538" s="20">
        <f>H537-(Table1[[#This Row],[Payment amount]]-Table1[[#This Row],[Interest Paid W/O LSP]])</f>
        <v>-1877174.6486131817</v>
      </c>
      <c r="I538">
        <f>H537*Table1[[#This Row],[Current mortgage rate]]</f>
        <v>-9139.0909437234677</v>
      </c>
      <c r="J538" s="25">
        <f>IF(Table1[[#This Row],[Month]]&gt;Table7[Amortization period (yrs)]*12,0,IF(Table1[[#This Row],[Month]]&lt;Table7[mortgage term (yrs)]*12,0,IF(Table1[[#This Row],[Month]]=Table7[mortgage term (yrs)]*12,-H$5,Table1[[#This Row],[Payment amount]]+B538)))</f>
        <v>0</v>
      </c>
      <c r="K538">
        <v>527</v>
      </c>
      <c r="L538">
        <f>Table7[Initial Monthly Deposit]*Table9[[#This Row],[Inflation Modifier]]</f>
        <v>937.27574213815569</v>
      </c>
      <c r="M538">
        <f xml:space="preserve"> (1+Table7[Inflation])^(QUOTIENT(Table9[[#This Row],[Month]]-1,12))</f>
        <v>2.3431893553453893</v>
      </c>
      <c r="N538">
        <f>N537*(1+Table7[Monthly SF Inter])+Table9[[#This Row],[Monthly Payment]]-O537*(1+Table7[Monthly SF Inter])</f>
        <v>53667.557415753137</v>
      </c>
      <c r="O538">
        <f>IF(MOD(Table9[[#This Row],[Month]],12)=0,(IF(Table9[[#This Row],[Current Balance]]&lt;Table9[[#This Row],[Max Lump Sum ]],Table9[[#This Row],[Current Balance]],Table9[[#This Row],[Max Lump Sum ]])),0)</f>
        <v>0</v>
      </c>
      <c r="P538" s="21">
        <f>Table7[Max annual lump sum repayment]*SUM(C539:C550)</f>
        <v>7880.3958913442566</v>
      </c>
      <c r="Q538" s="25">
        <f>Q537*(1+Table7[Monthly SF Inter])+Table9[[#This Row],[Inflation Modifier]]-R537*(1+Table7[Monthly SF Inter])</f>
        <v>26.313183998011624</v>
      </c>
      <c r="R538" s="25">
        <f>IF(MOD(Table9[[#This Row],[Month]],12)=0,Table9[[#This Row],[Q2 ACC FACTOR]],0)</f>
        <v>0</v>
      </c>
      <c r="S538" s="25">
        <f>S537*(1+D537)+Table9[[#This Row],[ACC FACTOR PAYMENTS]]</f>
        <v>3210.7539259396376</v>
      </c>
    </row>
    <row r="539" spans="1:19" x14ac:dyDescent="0.25">
      <c r="A539" s="1">
        <v>527</v>
      </c>
      <c r="B539" s="1">
        <f t="shared" si="8"/>
        <v>0</v>
      </c>
      <c r="C539" s="7">
        <f>G$12/-PV(Table7[Monthly mortgage rate], (12*Table7[Amortization period (yrs)]),1 )</f>
        <v>4377.9977174134756</v>
      </c>
      <c r="D539" s="11">
        <f>IF(Table1[[#This Row],[Month]]&lt;=(12*Table7[mortgage term (yrs)]),Table7[Monthly mortgage rate],Table7[Monthly Exp Renewal Rate])</f>
        <v>4.9038466830562122E-3</v>
      </c>
      <c r="E539" s="21">
        <f>Table1[[#This Row],[Current mortgage rate]]*G538</f>
        <v>-15251.915842057457</v>
      </c>
      <c r="F539" s="5">
        <f>Table1[[#This Row],[Payment amount]]-Table1[[#This Row],[Interest paid]]</f>
        <v>19629.913559470933</v>
      </c>
      <c r="G539" s="20">
        <f>G538-Table1[[#This Row],[Principal repaid]]-Table1[[#This Row],[Annual paym]]</f>
        <v>-3129824.1810017889</v>
      </c>
      <c r="H539" s="20">
        <f>H538-(Table1[[#This Row],[Payment amount]]-Table1[[#This Row],[Interest Paid W/O LSP]])</f>
        <v>-1890758.0230047142</v>
      </c>
      <c r="I539">
        <f>H538*Table1[[#This Row],[Current mortgage rate]]</f>
        <v>-9205.3766741189611</v>
      </c>
      <c r="J539" s="25">
        <f>IF(Table1[[#This Row],[Month]]&gt;Table7[Amortization period (yrs)]*12,0,IF(Table1[[#This Row],[Month]]&lt;Table7[mortgage term (yrs)]*12,0,IF(Table1[[#This Row],[Month]]=Table7[mortgage term (yrs)]*12,-H$5,Table1[[#This Row],[Payment amount]]+B539)))</f>
        <v>0</v>
      </c>
      <c r="K539">
        <v>528</v>
      </c>
      <c r="L539">
        <f>Table7[Initial Monthly Deposit]*Table9[[#This Row],[Inflation Modifier]]</f>
        <v>937.27574213815569</v>
      </c>
      <c r="M539">
        <f xml:space="preserve"> (1+Table7[Inflation])^(QUOTIENT(Table9[[#This Row],[Month]]-1,12))</f>
        <v>2.3431893553453893</v>
      </c>
      <c r="N539">
        <f>N538*(1+Table7[Monthly SF Inter])+Table9[[#This Row],[Monthly Payment]]-O538*(1+Table7[Monthly SF Inter])</f>
        <v>54826.15362789463</v>
      </c>
      <c r="O539">
        <f>IF(MOD(Table9[[#This Row],[Month]],12)=0,(IF(Table9[[#This Row],[Current Balance]]&lt;Table9[[#This Row],[Max Lump Sum ]],Table9[[#This Row],[Current Balance]],Table9[[#This Row],[Max Lump Sum ]])),0)</f>
        <v>7880.3958913442566</v>
      </c>
      <c r="P539" s="21">
        <f>Table7[Max annual lump sum repayment]*SUM(C540:C551)</f>
        <v>7880.3958913442566</v>
      </c>
      <c r="Q539" s="25">
        <f>Q538*(1+Table7[Monthly SF Inter])+Table9[[#This Row],[Inflation Modifier]]-R538*(1+Table7[Monthly SF Inter])</f>
        <v>28.764886699783602</v>
      </c>
      <c r="R539" s="25">
        <f>IF(MOD(Table9[[#This Row],[Month]],12)=0,Table9[[#This Row],[Q2 ACC FACTOR]],0)</f>
        <v>28.764886699783602</v>
      </c>
      <c r="S539" s="25">
        <f>S538*(1+D538)+Table9[[#This Row],[ACC FACTOR PAYMENTS]]</f>
        <v>3255.2638576292502</v>
      </c>
    </row>
    <row r="540" spans="1:19" x14ac:dyDescent="0.25">
      <c r="A540" s="1">
        <v>528</v>
      </c>
      <c r="B540" s="1">
        <f t="shared" si="8"/>
        <v>7880.3958913442566</v>
      </c>
      <c r="C540" s="7">
        <f>G$12/-PV(Table7[Monthly mortgage rate], (12*Table7[Amortization period (yrs)]),1 )</f>
        <v>4377.9977174134756</v>
      </c>
      <c r="D540" s="11">
        <f>IF(Table1[[#This Row],[Month]]&lt;=(12*Table7[mortgage term (yrs)]),Table7[Monthly mortgage rate],Table7[Monthly Exp Renewal Rate])</f>
        <v>4.9038466830562122E-3</v>
      </c>
      <c r="E540" s="21">
        <f>Table1[[#This Row],[Current mortgage rate]]*G539</f>
        <v>-15348.177928554749</v>
      </c>
      <c r="F540" s="5">
        <f>Table1[[#This Row],[Payment amount]]-Table1[[#This Row],[Interest paid]]</f>
        <v>19726.175645968226</v>
      </c>
      <c r="G540" s="20">
        <f>G539-Table1[[#This Row],[Principal repaid]]-Table1[[#This Row],[Annual paym]]</f>
        <v>-3157430.7525391015</v>
      </c>
      <c r="H540" s="20">
        <f>H539-(Table1[[#This Row],[Payment amount]]-Table1[[#This Row],[Interest Paid W/O LSP]])</f>
        <v>-1904408.0081817012</v>
      </c>
      <c r="I540">
        <f>H539*Table1[[#This Row],[Current mortgage rate]]</f>
        <v>-9271.9874595735891</v>
      </c>
      <c r="J540" s="25">
        <f>IF(Table1[[#This Row],[Month]]&gt;Table7[Amortization period (yrs)]*12,0,IF(Table1[[#This Row],[Month]]&lt;Table7[mortgage term (yrs)]*12,0,IF(Table1[[#This Row],[Month]]=Table7[mortgage term (yrs)]*12,-H$5,Table1[[#This Row],[Payment amount]]+B540)))</f>
        <v>0</v>
      </c>
      <c r="K540">
        <v>529</v>
      </c>
      <c r="L540">
        <f>Table7[Initial Monthly Deposit]*Table9[[#This Row],[Inflation Modifier]]</f>
        <v>956.02125698091902</v>
      </c>
      <c r="M540">
        <f xml:space="preserve"> (1+Table7[Inflation])^(QUOTIENT(Table9[[#This Row],[Month]]-1,12))</f>
        <v>2.3900531424522975</v>
      </c>
      <c r="N540">
        <f>N539*(1+Table7[Monthly SF Inter])+Table9[[#This Row],[Monthly Payment]]-O539*(1+Table7[Monthly SF Inter])</f>
        <v>48095.379329883966</v>
      </c>
      <c r="O540">
        <f>IF(MOD(Table9[[#This Row],[Month]],12)=0,(IF(Table9[[#This Row],[Current Balance]]&lt;Table9[[#This Row],[Max Lump Sum ]],Table9[[#This Row],[Current Balance]],Table9[[#This Row],[Max Lump Sum ]])),0)</f>
        <v>0</v>
      </c>
      <c r="P540" s="21">
        <f>Table7[Max annual lump sum repayment]*SUM(C541:C552)</f>
        <v>7880.3958913442566</v>
      </c>
      <c r="Q540" s="25">
        <f>Q539*(1+Table7[Monthly SF Inter])+Table9[[#This Row],[Inflation Modifier]]-R539*(1+Table7[Monthly SF Inter])</f>
        <v>2.3900531424522988</v>
      </c>
      <c r="R540" s="25">
        <f>IF(MOD(Table9[[#This Row],[Month]],12)=0,Table9[[#This Row],[Q2 ACC FACTOR]],0)</f>
        <v>0</v>
      </c>
      <c r="S540" s="25">
        <f>S539*(1+D539)+Table9[[#This Row],[ACC FACTOR PAYMENTS]]</f>
        <v>3271.2271724999582</v>
      </c>
    </row>
    <row r="541" spans="1:19" x14ac:dyDescent="0.25">
      <c r="A541" s="1">
        <v>529</v>
      </c>
      <c r="B541" s="1">
        <f t="shared" si="8"/>
        <v>0</v>
      </c>
      <c r="C541" s="7">
        <f>G$12/-PV(Table7[Monthly mortgage rate], (12*Table7[Amortization period (yrs)]),1 )</f>
        <v>4377.9977174134756</v>
      </c>
      <c r="D541" s="11">
        <f>IF(Table1[[#This Row],[Month]]&lt;=(12*Table7[mortgage term (yrs)]),Table7[Monthly mortgage rate],Table7[Monthly Exp Renewal Rate])</f>
        <v>4.9038466830562122E-3</v>
      </c>
      <c r="E541" s="21">
        <f>Table1[[#This Row],[Current mortgage rate]]*G540</f>
        <v>-15483.556322818553</v>
      </c>
      <c r="F541" s="5">
        <f>Table1[[#This Row],[Payment amount]]-Table1[[#This Row],[Interest paid]]</f>
        <v>19861.554040232029</v>
      </c>
      <c r="G541" s="20">
        <f>G540-Table1[[#This Row],[Principal repaid]]-Table1[[#This Row],[Annual paym]]</f>
        <v>-3177292.3065793337</v>
      </c>
      <c r="H541" s="20">
        <f>H540-(Table1[[#This Row],[Payment amount]]-Table1[[#This Row],[Interest Paid W/O LSP]])</f>
        <v>-1918124.9307932223</v>
      </c>
      <c r="I541">
        <f>H540*Table1[[#This Row],[Current mortgage rate]]</f>
        <v>-9338.9248941075239</v>
      </c>
      <c r="J541" s="25">
        <f>IF(Table1[[#This Row],[Month]]&gt;Table7[Amortization period (yrs)]*12,0,IF(Table1[[#This Row],[Month]]&lt;Table7[mortgage term (yrs)]*12,0,IF(Table1[[#This Row],[Month]]=Table7[mortgage term (yrs)]*12,-H$5,Table1[[#This Row],[Payment amount]]+B541)))</f>
        <v>0</v>
      </c>
      <c r="K541">
        <v>530</v>
      </c>
      <c r="L541">
        <f>Table7[Initial Monthly Deposit]*Table9[[#This Row],[Inflation Modifier]]</f>
        <v>956.02125698091902</v>
      </c>
      <c r="M541">
        <f xml:space="preserve"> (1+Table7[Inflation])^(QUOTIENT(Table9[[#This Row],[Month]]-1,12))</f>
        <v>2.3900531424522975</v>
      </c>
      <c r="N541">
        <f>N540*(1+Table7[Monthly SF Inter])+Table9[[#This Row],[Monthly Payment]]-O540*(1+Table7[Monthly SF Inter])</f>
        <v>49249.741865485368</v>
      </c>
      <c r="O541">
        <f>IF(MOD(Table9[[#This Row],[Month]],12)=0,(IF(Table9[[#This Row],[Current Balance]]&lt;Table9[[#This Row],[Max Lump Sum ]],Table9[[#This Row],[Current Balance]],Table9[[#This Row],[Max Lump Sum ]])),0)</f>
        <v>0</v>
      </c>
      <c r="P541" s="21">
        <f>Table7[Max annual lump sum repayment]*SUM(C542:C553)</f>
        <v>7880.3958913442566</v>
      </c>
      <c r="Q541" s="25">
        <f>Q540*(1+Table7[Monthly SF Inter])+Table9[[#This Row],[Inflation Modifier]]-R540*(1+Table7[Monthly SF Inter])</f>
        <v>4.7899626620212725</v>
      </c>
      <c r="R541" s="25">
        <f>IF(MOD(Table9[[#This Row],[Month]],12)=0,Table9[[#This Row],[Q2 ACC FACTOR]],0)</f>
        <v>0</v>
      </c>
      <c r="S541" s="25">
        <f>S540*(1+D540)+Table9[[#This Row],[ACC FACTOR PAYMENTS]]</f>
        <v>3287.2687690193457</v>
      </c>
    </row>
    <row r="542" spans="1:19" x14ac:dyDescent="0.25">
      <c r="A542" s="1">
        <v>530</v>
      </c>
      <c r="B542" s="1">
        <f t="shared" si="8"/>
        <v>0</v>
      </c>
      <c r="C542" s="7">
        <f>G$12/-PV(Table7[Monthly mortgage rate], (12*Table7[Amortization period (yrs)]),1 )</f>
        <v>4377.9977174134756</v>
      </c>
      <c r="D542" s="11">
        <f>IF(Table1[[#This Row],[Month]]&lt;=(12*Table7[mortgage term (yrs)]),Table7[Monthly mortgage rate],Table7[Monthly Exp Renewal Rate])</f>
        <v>4.9038466830562122E-3</v>
      </c>
      <c r="E542" s="21">
        <f>Table1[[#This Row],[Current mortgage rate]]*G541</f>
        <v>-15580.954338719088</v>
      </c>
      <c r="F542" s="5">
        <f>Table1[[#This Row],[Payment amount]]-Table1[[#This Row],[Interest paid]]</f>
        <v>19958.952056132563</v>
      </c>
      <c r="G542" s="20">
        <f>G541-Table1[[#This Row],[Principal repaid]]-Table1[[#This Row],[Annual paym]]</f>
        <v>-3197251.2586354665</v>
      </c>
      <c r="H542" s="20">
        <f>H541-(Table1[[#This Row],[Payment amount]]-Table1[[#This Row],[Interest Paid W/O LSP]])</f>
        <v>-1931909.1190901934</v>
      </c>
      <c r="I542">
        <f>H541*Table1[[#This Row],[Current mortgage rate]]</f>
        <v>-9406.1905795577695</v>
      </c>
      <c r="J542" s="25">
        <f>IF(Table1[[#This Row],[Month]]&gt;Table7[Amortization period (yrs)]*12,0,IF(Table1[[#This Row],[Month]]&lt;Table7[mortgage term (yrs)]*12,0,IF(Table1[[#This Row],[Month]]=Table7[mortgage term (yrs)]*12,-H$5,Table1[[#This Row],[Payment amount]]+B542)))</f>
        <v>0</v>
      </c>
      <c r="K542">
        <v>531</v>
      </c>
      <c r="L542">
        <f>Table7[Initial Monthly Deposit]*Table9[[#This Row],[Inflation Modifier]]</f>
        <v>956.02125698091902</v>
      </c>
      <c r="M542">
        <f xml:space="preserve"> (1+Table7[Inflation])^(QUOTIENT(Table9[[#This Row],[Month]]-1,12))</f>
        <v>2.3900531424522975</v>
      </c>
      <c r="N542">
        <f>N541*(1+Table7[Monthly SF Inter])+Table9[[#This Row],[Monthly Payment]]-O541*(1+Table7[Monthly SF Inter])</f>
        <v>50408.864894599719</v>
      </c>
      <c r="O542">
        <f>IF(MOD(Table9[[#This Row],[Month]],12)=0,(IF(Table9[[#This Row],[Current Balance]]&lt;Table9[[#This Row],[Max Lump Sum ]],Table9[[#This Row],[Current Balance]],Table9[[#This Row],[Max Lump Sum ]])),0)</f>
        <v>0</v>
      </c>
      <c r="P542" s="21">
        <f>Table7[Max annual lump sum repayment]*SUM(C543:C554)</f>
        <v>7880.3958913442566</v>
      </c>
      <c r="Q542" s="25">
        <f>Q541*(1+Table7[Monthly SF Inter])+Table9[[#This Row],[Inflation Modifier]]-R541*(1+Table7[Monthly SF Inter])</f>
        <v>7.1997692055729434</v>
      </c>
      <c r="R542" s="25">
        <f>IF(MOD(Table9[[#This Row],[Month]],12)=0,Table9[[#This Row],[Q2 ACC FACTOR]],0)</f>
        <v>0</v>
      </c>
      <c r="S542" s="25">
        <f>S541*(1+D541)+Table9[[#This Row],[ACC FACTOR PAYMENTS]]</f>
        <v>3303.3890310686156</v>
      </c>
    </row>
    <row r="543" spans="1:19" x14ac:dyDescent="0.25">
      <c r="A543" s="1">
        <v>531</v>
      </c>
      <c r="B543" s="1">
        <f t="shared" si="8"/>
        <v>0</v>
      </c>
      <c r="C543" s="7">
        <f>G$12/-PV(Table7[Monthly mortgage rate], (12*Table7[Amortization period (yrs)]),1 )</f>
        <v>4377.9977174134756</v>
      </c>
      <c r="D543" s="11">
        <f>IF(Table1[[#This Row],[Month]]&lt;=(12*Table7[mortgage term (yrs)]),Table7[Monthly mortgage rate],Table7[Monthly Exp Renewal Rate])</f>
        <v>4.9038466830562122E-3</v>
      </c>
      <c r="E543" s="21">
        <f>Table1[[#This Row],[Current mortgage rate]]*G542</f>
        <v>-15678.829979556831</v>
      </c>
      <c r="F543" s="5">
        <f>Table1[[#This Row],[Payment amount]]-Table1[[#This Row],[Interest paid]]</f>
        <v>20056.827696970307</v>
      </c>
      <c r="G543" s="20">
        <f>G542-Table1[[#This Row],[Principal repaid]]-Table1[[#This Row],[Annual paym]]</f>
        <v>-3217308.0863324367</v>
      </c>
      <c r="H543" s="20">
        <f>H542-(Table1[[#This Row],[Payment amount]]-Table1[[#This Row],[Interest Paid W/O LSP]])</f>
        <v>-1945760.9029332234</v>
      </c>
      <c r="I543">
        <f>H542*Table1[[#This Row],[Current mortgage rate]]</f>
        <v>-9473.7861256164942</v>
      </c>
      <c r="J543" s="25">
        <f>IF(Table1[[#This Row],[Month]]&gt;Table7[Amortization period (yrs)]*12,0,IF(Table1[[#This Row],[Month]]&lt;Table7[mortgage term (yrs)]*12,0,IF(Table1[[#This Row],[Month]]=Table7[mortgage term (yrs)]*12,-H$5,Table1[[#This Row],[Payment amount]]+B543)))</f>
        <v>0</v>
      </c>
      <c r="K543">
        <v>532</v>
      </c>
      <c r="L543">
        <f>Table7[Initial Monthly Deposit]*Table9[[#This Row],[Inflation Modifier]]</f>
        <v>956.02125698091902</v>
      </c>
      <c r="M543">
        <f xml:space="preserve"> (1+Table7[Inflation])^(QUOTIENT(Table9[[#This Row],[Month]]-1,12))</f>
        <v>2.3900531424522975</v>
      </c>
      <c r="N543">
        <f>N542*(1+Table7[Monthly SF Inter])+Table9[[#This Row],[Monthly Payment]]-O542*(1+Table7[Monthly SF Inter])</f>
        <v>51572.768049099839</v>
      </c>
      <c r="O543">
        <f>IF(MOD(Table9[[#This Row],[Month]],12)=0,(IF(Table9[[#This Row],[Current Balance]]&lt;Table9[[#This Row],[Max Lump Sum ]],Table9[[#This Row],[Current Balance]],Table9[[#This Row],[Max Lump Sum ]])),0)</f>
        <v>0</v>
      </c>
      <c r="P543" s="21">
        <f>Table7[Max annual lump sum repayment]*SUM(C544:C555)</f>
        <v>7880.3958913442566</v>
      </c>
      <c r="Q543" s="25">
        <f>Q542*(1+Table7[Monthly SF Inter])+Table9[[#This Row],[Inflation Modifier]]-R542*(1+Table7[Monthly SF Inter])</f>
        <v>9.6195135875975719</v>
      </c>
      <c r="R543" s="25">
        <f>IF(MOD(Table9[[#This Row],[Month]],12)=0,Table9[[#This Row],[Q2 ACC FACTOR]],0)</f>
        <v>0</v>
      </c>
      <c r="S543" s="25">
        <f>S542*(1+D542)+Table9[[#This Row],[ACC FACTOR PAYMENTS]]</f>
        <v>3319.5883444114656</v>
      </c>
    </row>
    <row r="544" spans="1:19" x14ac:dyDescent="0.25">
      <c r="A544" s="1">
        <v>532</v>
      </c>
      <c r="B544" s="1">
        <f t="shared" si="8"/>
        <v>0</v>
      </c>
      <c r="C544" s="7">
        <f>G$12/-PV(Table7[Monthly mortgage rate], (12*Table7[Amortization period (yrs)]),1 )</f>
        <v>4377.9977174134756</v>
      </c>
      <c r="D544" s="11">
        <f>IF(Table1[[#This Row],[Month]]&lt;=(12*Table7[mortgage term (yrs)]),Table7[Monthly mortgage rate],Table7[Monthly Exp Renewal Rate])</f>
        <v>4.9038466830562122E-3</v>
      </c>
      <c r="E544" s="21">
        <f>Table1[[#This Row],[Current mortgage rate]]*G543</f>
        <v>-15777.185587531249</v>
      </c>
      <c r="F544" s="5">
        <f>Table1[[#This Row],[Payment amount]]-Table1[[#This Row],[Interest paid]]</f>
        <v>20155.183304944723</v>
      </c>
      <c r="G544" s="20">
        <f>G543-Table1[[#This Row],[Principal repaid]]-Table1[[#This Row],[Annual paym]]</f>
        <v>-3237463.2696373812</v>
      </c>
      <c r="H544" s="20">
        <f>H543-(Table1[[#This Row],[Payment amount]]-Table1[[#This Row],[Interest Paid W/O LSP]])</f>
        <v>-1959680.6138005063</v>
      </c>
      <c r="I544">
        <f>H543*Table1[[#This Row],[Current mortgage rate]]</f>
        <v>-9541.7131498695489</v>
      </c>
      <c r="J544" s="25">
        <f>IF(Table1[[#This Row],[Month]]&gt;Table7[Amortization period (yrs)]*12,0,IF(Table1[[#This Row],[Month]]&lt;Table7[mortgage term (yrs)]*12,0,IF(Table1[[#This Row],[Month]]=Table7[mortgage term (yrs)]*12,-H$5,Table1[[#This Row],[Payment amount]]+B544)))</f>
        <v>0</v>
      </c>
      <c r="K544">
        <v>533</v>
      </c>
      <c r="L544">
        <f>Table7[Initial Monthly Deposit]*Table9[[#This Row],[Inflation Modifier]]</f>
        <v>956.02125698091902</v>
      </c>
      <c r="M544">
        <f xml:space="preserve"> (1+Table7[Inflation])^(QUOTIENT(Table9[[#This Row],[Month]]-1,12))</f>
        <v>2.3900531424522975</v>
      </c>
      <c r="N544">
        <f>N543*(1+Table7[Monthly SF Inter])+Table9[[#This Row],[Monthly Payment]]-O543*(1+Table7[Monthly SF Inter])</f>
        <v>52741.471041818731</v>
      </c>
      <c r="O544">
        <f>IF(MOD(Table9[[#This Row],[Month]],12)=0,(IF(Table9[[#This Row],[Current Balance]]&lt;Table9[[#This Row],[Max Lump Sum ]],Table9[[#This Row],[Current Balance]],Table9[[#This Row],[Max Lump Sum ]])),0)</f>
        <v>0</v>
      </c>
      <c r="P544" s="21">
        <f>Table7[Max annual lump sum repayment]*SUM(C545:C556)</f>
        <v>7880.3958913442566</v>
      </c>
      <c r="Q544" s="25">
        <f>Q543*(1+Table7[Monthly SF Inter])+Table9[[#This Row],[Inflation Modifier]]-R543*(1+Table7[Monthly SF Inter])</f>
        <v>12.049236790900927</v>
      </c>
      <c r="R544" s="25">
        <f>IF(MOD(Table9[[#This Row],[Month]],12)=0,Table9[[#This Row],[Q2 ACC FACTOR]],0)</f>
        <v>0</v>
      </c>
      <c r="S544" s="25">
        <f>S543*(1+D543)+Table9[[#This Row],[ACC FACTOR PAYMENTS]]</f>
        <v>3335.8670967033199</v>
      </c>
    </row>
    <row r="545" spans="1:19" x14ac:dyDescent="0.25">
      <c r="A545" s="1">
        <v>533</v>
      </c>
      <c r="B545" s="1">
        <f t="shared" si="8"/>
        <v>0</v>
      </c>
      <c r="C545" s="7">
        <f>G$12/-PV(Table7[Monthly mortgage rate], (12*Table7[Amortization period (yrs)]),1 )</f>
        <v>4377.9977174134756</v>
      </c>
      <c r="D545" s="11">
        <f>IF(Table1[[#This Row],[Month]]&lt;=(12*Table7[mortgage term (yrs)]),Table7[Monthly mortgage rate],Table7[Monthly Exp Renewal Rate])</f>
        <v>4.9038466830562122E-3</v>
      </c>
      <c r="E545" s="21">
        <f>Table1[[#This Row],[Current mortgage rate]]*G544</f>
        <v>-15876.023516327592</v>
      </c>
      <c r="F545" s="5">
        <f>Table1[[#This Row],[Payment amount]]-Table1[[#This Row],[Interest paid]]</f>
        <v>20254.021233741067</v>
      </c>
      <c r="G545" s="20">
        <f>G544-Table1[[#This Row],[Principal repaid]]-Table1[[#This Row],[Annual paym]]</f>
        <v>-3257717.2908711224</v>
      </c>
      <c r="H545" s="20">
        <f>H544-(Table1[[#This Row],[Payment amount]]-Table1[[#This Row],[Interest Paid W/O LSP]])</f>
        <v>-1973668.5847957551</v>
      </c>
      <c r="I545">
        <f>H544*Table1[[#This Row],[Current mortgage rate]]</f>
        <v>-9609.9732778351754</v>
      </c>
      <c r="J545" s="25">
        <f>IF(Table1[[#This Row],[Month]]&gt;Table7[Amortization period (yrs)]*12,0,IF(Table1[[#This Row],[Month]]&lt;Table7[mortgage term (yrs)]*12,0,IF(Table1[[#This Row],[Month]]=Table7[mortgage term (yrs)]*12,-H$5,Table1[[#This Row],[Payment amount]]+B545)))</f>
        <v>0</v>
      </c>
      <c r="K545">
        <v>534</v>
      </c>
      <c r="L545">
        <f>Table7[Initial Monthly Deposit]*Table9[[#This Row],[Inflation Modifier]]</f>
        <v>956.02125698091902</v>
      </c>
      <c r="M545">
        <f xml:space="preserve"> (1+Table7[Inflation])^(QUOTIENT(Table9[[#This Row],[Month]]-1,12))</f>
        <v>2.3900531424522975</v>
      </c>
      <c r="N545">
        <f>N544*(1+Table7[Monthly SF Inter])+Table9[[#This Row],[Monthly Payment]]-O544*(1+Table7[Monthly SF Inter])</f>
        <v>53914.993666883463</v>
      </c>
      <c r="O545">
        <f>IF(MOD(Table9[[#This Row],[Month]],12)=0,(IF(Table9[[#This Row],[Current Balance]]&lt;Table9[[#This Row],[Max Lump Sum ]],Table9[[#This Row],[Current Balance]],Table9[[#This Row],[Max Lump Sum ]])),0)</f>
        <v>0</v>
      </c>
      <c r="P545" s="21">
        <f>Table7[Max annual lump sum repayment]*SUM(C546:C557)</f>
        <v>7880.3958913442566</v>
      </c>
      <c r="Q545" s="25">
        <f>Q544*(1+Table7[Monthly SF Inter])+Table9[[#This Row],[Inflation Modifier]]-R544*(1+Table7[Monthly SF Inter])</f>
        <v>14.488979967298405</v>
      </c>
      <c r="R545" s="25">
        <f>IF(MOD(Table9[[#This Row],[Month]],12)=0,Table9[[#This Row],[Q2 ACC FACTOR]],0)</f>
        <v>0</v>
      </c>
      <c r="S545" s="25">
        <f>S544*(1+D544)+Table9[[#This Row],[ACC FACTOR PAYMENTS]]</f>
        <v>3352.2256775006049</v>
      </c>
    </row>
    <row r="546" spans="1:19" x14ac:dyDescent="0.25">
      <c r="A546" s="1">
        <v>534</v>
      </c>
      <c r="B546" s="1">
        <f t="shared" si="8"/>
        <v>0</v>
      </c>
      <c r="C546" s="7">
        <f>G$12/-PV(Table7[Monthly mortgage rate], (12*Table7[Amortization period (yrs)]),1 )</f>
        <v>4377.9977174134756</v>
      </c>
      <c r="D546" s="11">
        <f>IF(Table1[[#This Row],[Month]]&lt;=(12*Table7[mortgage term (yrs)]),Table7[Monthly mortgage rate],Table7[Monthly Exp Renewal Rate])</f>
        <v>4.9038466830562122E-3</v>
      </c>
      <c r="E546" s="21">
        <f>Table1[[#This Row],[Current mortgage rate]]*G545</f>
        <v>-15975.346131173223</v>
      </c>
      <c r="F546" s="5">
        <f>Table1[[#This Row],[Payment amount]]-Table1[[#This Row],[Interest paid]]</f>
        <v>20353.343848586697</v>
      </c>
      <c r="G546" s="20">
        <f>G545-Table1[[#This Row],[Principal repaid]]-Table1[[#This Row],[Annual paym]]</f>
        <v>-3278070.6347197089</v>
      </c>
      <c r="H546" s="20">
        <f>H545-(Table1[[#This Row],[Payment amount]]-Table1[[#This Row],[Interest Paid W/O LSP]])</f>
        <v>-1987725.1506561714</v>
      </c>
      <c r="I546">
        <f>H545*Table1[[#This Row],[Current mortgage rate]]</f>
        <v>-9678.5681430029126</v>
      </c>
      <c r="J546" s="25">
        <f>IF(Table1[[#This Row],[Month]]&gt;Table7[Amortization period (yrs)]*12,0,IF(Table1[[#This Row],[Month]]&lt;Table7[mortgage term (yrs)]*12,0,IF(Table1[[#This Row],[Month]]=Table7[mortgage term (yrs)]*12,-H$5,Table1[[#This Row],[Payment amount]]+B546)))</f>
        <v>0</v>
      </c>
      <c r="K546">
        <v>535</v>
      </c>
      <c r="L546">
        <f>Table7[Initial Monthly Deposit]*Table9[[#This Row],[Inflation Modifier]]</f>
        <v>956.02125698091902</v>
      </c>
      <c r="M546">
        <f xml:space="preserve"> (1+Table7[Inflation])^(QUOTIENT(Table9[[#This Row],[Month]]-1,12))</f>
        <v>2.3900531424522975</v>
      </c>
      <c r="N546">
        <f>N545*(1+Table7[Monthly SF Inter])+Table9[[#This Row],[Monthly Payment]]-O545*(1+Table7[Monthly SF Inter])</f>
        <v>55093.355800050391</v>
      </c>
      <c r="O546">
        <f>IF(MOD(Table9[[#This Row],[Month]],12)=0,(IF(Table9[[#This Row],[Current Balance]]&lt;Table9[[#This Row],[Max Lump Sum ]],Table9[[#This Row],[Current Balance]],Table9[[#This Row],[Max Lump Sum ]])),0)</f>
        <v>0</v>
      </c>
      <c r="P546" s="21">
        <f>Table7[Max annual lump sum repayment]*SUM(C547:C558)</f>
        <v>7880.3958913442566</v>
      </c>
      <c r="Q546" s="25">
        <f>Q545*(1+Table7[Monthly SF Inter])+Table9[[#This Row],[Inflation Modifier]]-R545*(1+Table7[Monthly SF Inter])</f>
        <v>16.938784438312009</v>
      </c>
      <c r="R546" s="25">
        <f>IF(MOD(Table9[[#This Row],[Month]],12)=0,Table9[[#This Row],[Q2 ACC FACTOR]],0)</f>
        <v>0</v>
      </c>
      <c r="S546" s="25">
        <f>S545*(1+D545)+Table9[[#This Row],[ACC FACTOR PAYMENTS]]</f>
        <v>3368.6644782700719</v>
      </c>
    </row>
    <row r="547" spans="1:19" x14ac:dyDescent="0.25">
      <c r="A547" s="1">
        <v>535</v>
      </c>
      <c r="B547" s="1">
        <f t="shared" si="8"/>
        <v>0</v>
      </c>
      <c r="C547" s="7">
        <f>G$12/-PV(Table7[Monthly mortgage rate], (12*Table7[Amortization period (yrs)]),1 )</f>
        <v>4377.9977174134756</v>
      </c>
      <c r="D547" s="11">
        <f>IF(Table1[[#This Row],[Month]]&lt;=(12*Table7[mortgage term (yrs)]),Table7[Monthly mortgage rate],Table7[Monthly Exp Renewal Rate])</f>
        <v>4.9038466830562122E-3</v>
      </c>
      <c r="E547" s="21">
        <f>Table1[[#This Row],[Current mortgage rate]]*G546</f>
        <v>-16075.155808894217</v>
      </c>
      <c r="F547" s="5">
        <f>Table1[[#This Row],[Payment amount]]-Table1[[#This Row],[Interest paid]]</f>
        <v>20453.153526307691</v>
      </c>
      <c r="G547" s="20">
        <f>G546-Table1[[#This Row],[Principal repaid]]-Table1[[#This Row],[Annual paym]]</f>
        <v>-3298523.7882460165</v>
      </c>
      <c r="H547" s="20">
        <f>H546-(Table1[[#This Row],[Payment amount]]-Table1[[#This Row],[Interest Paid W/O LSP]])</f>
        <v>-2001850.6477604576</v>
      </c>
      <c r="I547">
        <f>H546*Table1[[#This Row],[Current mortgage rate]]</f>
        <v>-9747.499386872676</v>
      </c>
      <c r="J547" s="25">
        <f>IF(Table1[[#This Row],[Month]]&gt;Table7[Amortization period (yrs)]*12,0,IF(Table1[[#This Row],[Month]]&lt;Table7[mortgage term (yrs)]*12,0,IF(Table1[[#This Row],[Month]]=Table7[mortgage term (yrs)]*12,-H$5,Table1[[#This Row],[Payment amount]]+B547)))</f>
        <v>0</v>
      </c>
      <c r="K547">
        <v>536</v>
      </c>
      <c r="L547">
        <f>Table7[Initial Monthly Deposit]*Table9[[#This Row],[Inflation Modifier]]</f>
        <v>956.02125698091902</v>
      </c>
      <c r="M547">
        <f xml:space="preserve"> (1+Table7[Inflation])^(QUOTIENT(Table9[[#This Row],[Month]]-1,12))</f>
        <v>2.3900531424522975</v>
      </c>
      <c r="N547">
        <f>N546*(1+Table7[Monthly SF Inter])+Table9[[#This Row],[Monthly Payment]]-O546*(1+Table7[Monthly SF Inter])</f>
        <v>56276.577399041831</v>
      </c>
      <c r="O547">
        <f>IF(MOD(Table9[[#This Row],[Month]],12)=0,(IF(Table9[[#This Row],[Current Balance]]&lt;Table9[[#This Row],[Max Lump Sum ]],Table9[[#This Row],[Current Balance]],Table9[[#This Row],[Max Lump Sum ]])),0)</f>
        <v>0</v>
      </c>
      <c r="P547" s="21">
        <f>Table7[Max annual lump sum repayment]*SUM(C548:C559)</f>
        <v>7880.3958913442566</v>
      </c>
      <c r="Q547" s="25">
        <f>Q546*(1+Table7[Monthly SF Inter])+Table9[[#This Row],[Inflation Modifier]]-R546*(1+Table7[Monthly SF Inter])</f>
        <v>19.398691695870209</v>
      </c>
      <c r="R547" s="25">
        <f>IF(MOD(Table9[[#This Row],[Month]],12)=0,Table9[[#This Row],[Q2 ACC FACTOR]],0)</f>
        <v>0</v>
      </c>
      <c r="S547" s="25">
        <f>S546*(1+D546)+Table9[[#This Row],[ACC FACTOR PAYMENTS]]</f>
        <v>3385.1838923981659</v>
      </c>
    </row>
    <row r="548" spans="1:19" x14ac:dyDescent="0.25">
      <c r="A548" s="1">
        <v>536</v>
      </c>
      <c r="B548" s="1">
        <f t="shared" si="8"/>
        <v>0</v>
      </c>
      <c r="C548" s="7">
        <f>G$12/-PV(Table7[Monthly mortgage rate], (12*Table7[Amortization period (yrs)]),1 )</f>
        <v>4377.9977174134756</v>
      </c>
      <c r="D548" s="11">
        <f>IF(Table1[[#This Row],[Month]]&lt;=(12*Table7[mortgage term (yrs)]),Table7[Monthly mortgage rate],Table7[Monthly Exp Renewal Rate])</f>
        <v>4.9038466830562122E-3</v>
      </c>
      <c r="E548" s="21">
        <f>Table1[[#This Row],[Current mortgage rate]]*G547</f>
        <v>-16175.454937972239</v>
      </c>
      <c r="F548" s="5">
        <f>Table1[[#This Row],[Payment amount]]-Table1[[#This Row],[Interest paid]]</f>
        <v>20553.452655385714</v>
      </c>
      <c r="G548" s="20">
        <f>G547-Table1[[#This Row],[Principal repaid]]-Table1[[#This Row],[Annual paym]]</f>
        <v>-3319077.2409014022</v>
      </c>
      <c r="H548" s="20">
        <f>H547-(Table1[[#This Row],[Payment amount]]-Table1[[#This Row],[Interest Paid W/O LSP]])</f>
        <v>-2016045.4141368652</v>
      </c>
      <c r="I548">
        <f>H547*Table1[[#This Row],[Current mortgage rate]]</f>
        <v>-9816.7686589940495</v>
      </c>
      <c r="J548" s="25">
        <f>IF(Table1[[#This Row],[Month]]&gt;Table7[Amortization period (yrs)]*12,0,IF(Table1[[#This Row],[Month]]&lt;Table7[mortgage term (yrs)]*12,0,IF(Table1[[#This Row],[Month]]=Table7[mortgage term (yrs)]*12,-H$5,Table1[[#This Row],[Payment amount]]+B548)))</f>
        <v>0</v>
      </c>
      <c r="K548">
        <v>537</v>
      </c>
      <c r="L548">
        <f>Table7[Initial Monthly Deposit]*Table9[[#This Row],[Inflation Modifier]]</f>
        <v>956.02125698091902</v>
      </c>
      <c r="M548">
        <f xml:space="preserve"> (1+Table7[Inflation])^(QUOTIENT(Table9[[#This Row],[Month]]-1,12))</f>
        <v>2.3900531424522975</v>
      </c>
      <c r="N548">
        <f>N547*(1+Table7[Monthly SF Inter])+Table9[[#This Row],[Monthly Payment]]-O547*(1+Table7[Monthly SF Inter])</f>
        <v>57464.678503884039</v>
      </c>
      <c r="O548">
        <f>IF(MOD(Table9[[#This Row],[Month]],12)=0,(IF(Table9[[#This Row],[Current Balance]]&lt;Table9[[#This Row],[Max Lump Sum ]],Table9[[#This Row],[Current Balance]],Table9[[#This Row],[Max Lump Sum ]])),0)</f>
        <v>0</v>
      </c>
      <c r="P548" s="21">
        <f>Table7[Max annual lump sum repayment]*SUM(C549:C560)</f>
        <v>7880.3958913442566</v>
      </c>
      <c r="Q548" s="25">
        <f>Q547*(1+Table7[Monthly SF Inter])+Table9[[#This Row],[Inflation Modifier]]-R547*(1+Table7[Monthly SF Inter])</f>
        <v>21.868743403010672</v>
      </c>
      <c r="R548" s="25">
        <f>IF(MOD(Table9[[#This Row],[Month]],12)=0,Table9[[#This Row],[Q2 ACC FACTOR]],0)</f>
        <v>0</v>
      </c>
      <c r="S548" s="25">
        <f>S547*(1+D547)+Table9[[#This Row],[ACC FACTOR PAYMENTS]]</f>
        <v>3401.784315200438</v>
      </c>
    </row>
    <row r="549" spans="1:19" x14ac:dyDescent="0.25">
      <c r="A549" s="1">
        <v>537</v>
      </c>
      <c r="B549" s="1">
        <f t="shared" si="8"/>
        <v>0</v>
      </c>
      <c r="C549" s="7">
        <f>G$12/-PV(Table7[Monthly mortgage rate], (12*Table7[Amortization period (yrs)]),1 )</f>
        <v>4377.9977174134756</v>
      </c>
      <c r="D549" s="11">
        <f>IF(Table1[[#This Row],[Month]]&lt;=(12*Table7[mortgage term (yrs)]),Table7[Monthly mortgage rate],Table7[Monthly Exp Renewal Rate])</f>
        <v>4.9038466830562122E-3</v>
      </c>
      <c r="E549" s="21">
        <f>Table1[[#This Row],[Current mortgage rate]]*G548</f>
        <v>-16276.245918601706</v>
      </c>
      <c r="F549" s="5">
        <f>Table1[[#This Row],[Payment amount]]-Table1[[#This Row],[Interest paid]]</f>
        <v>20654.243636015181</v>
      </c>
      <c r="G549" s="20">
        <f>G548-Table1[[#This Row],[Principal repaid]]-Table1[[#This Row],[Annual paym]]</f>
        <v>-3339731.4845374175</v>
      </c>
      <c r="H549" s="20">
        <f>H548-(Table1[[#This Row],[Payment amount]]-Table1[[#This Row],[Interest Paid W/O LSP]])</f>
        <v>-2030309.7894712845</v>
      </c>
      <c r="I549">
        <f>H548*Table1[[#This Row],[Current mortgage rate]]</f>
        <v>-9886.3776170057536</v>
      </c>
      <c r="J549" s="25">
        <f>IF(Table1[[#This Row],[Month]]&gt;Table7[Amortization period (yrs)]*12,0,IF(Table1[[#This Row],[Month]]&lt;Table7[mortgage term (yrs)]*12,0,IF(Table1[[#This Row],[Month]]=Table7[mortgage term (yrs)]*12,-H$5,Table1[[#This Row],[Payment amount]]+B549)))</f>
        <v>0</v>
      </c>
      <c r="K549">
        <v>538</v>
      </c>
      <c r="L549">
        <f>Table7[Initial Monthly Deposit]*Table9[[#This Row],[Inflation Modifier]]</f>
        <v>956.02125698091902</v>
      </c>
      <c r="M549">
        <f xml:space="preserve"> (1+Table7[Inflation])^(QUOTIENT(Table9[[#This Row],[Month]]-1,12))</f>
        <v>2.3900531424522975</v>
      </c>
      <c r="N549">
        <f>N548*(1+Table7[Monthly SF Inter])+Table9[[#This Row],[Monthly Payment]]-O548*(1+Table7[Monthly SF Inter])</f>
        <v>58657.679237246666</v>
      </c>
      <c r="O549">
        <f>IF(MOD(Table9[[#This Row],[Month]],12)=0,(IF(Table9[[#This Row],[Current Balance]]&lt;Table9[[#This Row],[Max Lump Sum ]],Table9[[#This Row],[Current Balance]],Table9[[#This Row],[Max Lump Sum ]])),0)</f>
        <v>0</v>
      </c>
      <c r="P549" s="21">
        <f>Table7[Max annual lump sum repayment]*SUM(C550:C561)</f>
        <v>7880.3958913442566</v>
      </c>
      <c r="Q549" s="25">
        <f>Q548*(1+Table7[Monthly SF Inter])+Table9[[#This Row],[Inflation Modifier]]-R548*(1+Table7[Monthly SF Inter])</f>
        <v>24.348981394585916</v>
      </c>
      <c r="R549" s="25">
        <f>IF(MOD(Table9[[#This Row],[Month]],12)=0,Table9[[#This Row],[Q2 ACC FACTOR]],0)</f>
        <v>0</v>
      </c>
      <c r="S549" s="25">
        <f>S548*(1+D548)+Table9[[#This Row],[ACC FACTOR PAYMENTS]]</f>
        <v>3418.4661439310062</v>
      </c>
    </row>
    <row r="550" spans="1:19" x14ac:dyDescent="0.25">
      <c r="A550" s="1">
        <v>538</v>
      </c>
      <c r="B550" s="1">
        <f t="shared" si="8"/>
        <v>0</v>
      </c>
      <c r="C550" s="7">
        <f>G$12/-PV(Table7[Monthly mortgage rate], (12*Table7[Amortization period (yrs)]),1 )</f>
        <v>4377.9977174134756</v>
      </c>
      <c r="D550" s="11">
        <f>IF(Table1[[#This Row],[Month]]&lt;=(12*Table7[mortgage term (yrs)]),Table7[Monthly mortgage rate],Table7[Monthly Exp Renewal Rate])</f>
        <v>4.9038466830562122E-3</v>
      </c>
      <c r="E550" s="21">
        <f>Table1[[#This Row],[Current mortgage rate]]*G549</f>
        <v>-16377.531162747215</v>
      </c>
      <c r="F550" s="5">
        <f>Table1[[#This Row],[Payment amount]]-Table1[[#This Row],[Interest paid]]</f>
        <v>20755.528880160691</v>
      </c>
      <c r="G550" s="20">
        <f>G549-Table1[[#This Row],[Principal repaid]]-Table1[[#This Row],[Annual paym]]</f>
        <v>-3360487.0134175783</v>
      </c>
      <c r="H550" s="20">
        <f>H549-(Table1[[#This Row],[Payment amount]]-Table1[[#This Row],[Interest Paid W/O LSP]])</f>
        <v>-2044644.1151153732</v>
      </c>
      <c r="I550">
        <f>H549*Table1[[#This Row],[Current mortgage rate]]</f>
        <v>-9956.3279266753143</v>
      </c>
      <c r="J550" s="25">
        <f>IF(Table1[[#This Row],[Month]]&gt;Table7[Amortization period (yrs)]*12,0,IF(Table1[[#This Row],[Month]]&lt;Table7[mortgage term (yrs)]*12,0,IF(Table1[[#This Row],[Month]]=Table7[mortgage term (yrs)]*12,-H$5,Table1[[#This Row],[Payment amount]]+B550)))</f>
        <v>0</v>
      </c>
      <c r="K550">
        <v>539</v>
      </c>
      <c r="L550">
        <f>Table7[Initial Monthly Deposit]*Table9[[#This Row],[Inflation Modifier]]</f>
        <v>956.02125698091902</v>
      </c>
      <c r="M550">
        <f xml:space="preserve"> (1+Table7[Inflation])^(QUOTIENT(Table9[[#This Row],[Month]]-1,12))</f>
        <v>2.3900531424522975</v>
      </c>
      <c r="N550">
        <f>N549*(1+Table7[Monthly SF Inter])+Table9[[#This Row],[Monthly Payment]]-O549*(1+Table7[Monthly SF Inter])</f>
        <v>59855.599804783531</v>
      </c>
      <c r="O550">
        <f>IF(MOD(Table9[[#This Row],[Month]],12)=0,(IF(Table9[[#This Row],[Current Balance]]&lt;Table9[[#This Row],[Max Lump Sum ]],Table9[[#This Row],[Current Balance]],Table9[[#This Row],[Max Lump Sum ]])),0)</f>
        <v>0</v>
      </c>
      <c r="P550" s="21">
        <f>Table7[Max annual lump sum repayment]*SUM(C551:C562)</f>
        <v>7880.3958913442566</v>
      </c>
      <c r="Q550" s="25">
        <f>Q549*(1+Table7[Monthly SF Inter])+Table9[[#This Row],[Inflation Modifier]]-R549*(1+Table7[Monthly SF Inter])</f>
        <v>26.839447677971858</v>
      </c>
      <c r="R550" s="25">
        <f>IF(MOD(Table9[[#This Row],[Month]],12)=0,Table9[[#This Row],[Q2 ACC FACTOR]],0)</f>
        <v>0</v>
      </c>
      <c r="S550" s="25">
        <f>S549*(1+D549)+Table9[[#This Row],[ACC FACTOR PAYMENTS]]</f>
        <v>3435.2297777920621</v>
      </c>
    </row>
    <row r="551" spans="1:19" x14ac:dyDescent="0.25">
      <c r="A551" s="1">
        <v>539</v>
      </c>
      <c r="B551" s="1">
        <f t="shared" si="8"/>
        <v>0</v>
      </c>
      <c r="C551" s="7">
        <f>G$12/-PV(Table7[Monthly mortgage rate], (12*Table7[Amortization period (yrs)]),1 )</f>
        <v>4377.9977174134756</v>
      </c>
      <c r="D551" s="11">
        <f>IF(Table1[[#This Row],[Month]]&lt;=(12*Table7[mortgage term (yrs)]),Table7[Monthly mortgage rate],Table7[Monthly Exp Renewal Rate])</f>
        <v>4.9038466830562122E-3</v>
      </c>
      <c r="E551" s="21">
        <f>Table1[[#This Row],[Current mortgage rate]]*G550</f>
        <v>-16479.313094201269</v>
      </c>
      <c r="F551" s="5">
        <f>Table1[[#This Row],[Payment amount]]-Table1[[#This Row],[Interest paid]]</f>
        <v>20857.310811614745</v>
      </c>
      <c r="G551" s="20">
        <f>G550-Table1[[#This Row],[Principal repaid]]-Table1[[#This Row],[Annual paym]]</f>
        <v>-3381344.3242291929</v>
      </c>
      <c r="H551" s="20">
        <f>H550-(Table1[[#This Row],[Payment amount]]-Table1[[#This Row],[Interest Paid W/O LSP]])</f>
        <v>-2059048.7340947255</v>
      </c>
      <c r="I551">
        <f>H550*Table1[[#This Row],[Current mortgage rate]]</f>
        <v>-10026.621261938926</v>
      </c>
      <c r="J551" s="25">
        <f>IF(Table1[[#This Row],[Month]]&gt;Table7[Amortization period (yrs)]*12,0,IF(Table1[[#This Row],[Month]]&lt;Table7[mortgage term (yrs)]*12,0,IF(Table1[[#This Row],[Month]]=Table7[mortgage term (yrs)]*12,-H$5,Table1[[#This Row],[Payment amount]]+B551)))</f>
        <v>0</v>
      </c>
      <c r="K551">
        <v>540</v>
      </c>
      <c r="L551">
        <f>Table7[Initial Monthly Deposit]*Table9[[#This Row],[Inflation Modifier]]</f>
        <v>956.02125698091902</v>
      </c>
      <c r="M551">
        <f xml:space="preserve"> (1+Table7[Inflation])^(QUOTIENT(Table9[[#This Row],[Month]]-1,12))</f>
        <v>2.3900531424522975</v>
      </c>
      <c r="N551">
        <f>N550*(1+Table7[Monthly SF Inter])+Table9[[#This Row],[Monthly Payment]]-O550*(1+Table7[Monthly SF Inter])</f>
        <v>61058.460495474879</v>
      </c>
      <c r="O551">
        <f>IF(MOD(Table9[[#This Row],[Month]],12)=0,(IF(Table9[[#This Row],[Current Balance]]&lt;Table9[[#This Row],[Max Lump Sum ]],Table9[[#This Row],[Current Balance]],Table9[[#This Row],[Max Lump Sum ]])),0)</f>
        <v>7880.3958913442566</v>
      </c>
      <c r="P551" s="21">
        <f>Table7[Max annual lump sum repayment]*SUM(C552:C563)</f>
        <v>7880.3958913442566</v>
      </c>
      <c r="Q551" s="25">
        <f>Q550*(1+Table7[Monthly SF Inter])+Table9[[#This Row],[Inflation Modifier]]-R550*(1+Table7[Monthly SF Inter])</f>
        <v>29.340184433779275</v>
      </c>
      <c r="R551" s="25">
        <f>IF(MOD(Table9[[#This Row],[Month]],12)=0,Table9[[#This Row],[Q2 ACC FACTOR]],0)</f>
        <v>29.340184433779275</v>
      </c>
      <c r="S551" s="25">
        <f>S550*(1+D550)+Table9[[#This Row],[ACC FACTOR PAYMENTS]]</f>
        <v>3481.4158023772029</v>
      </c>
    </row>
    <row r="552" spans="1:19" x14ac:dyDescent="0.25">
      <c r="A552" s="1">
        <v>540</v>
      </c>
      <c r="B552" s="1">
        <f t="shared" si="8"/>
        <v>7880.3958913442566</v>
      </c>
      <c r="C552" s="7">
        <f>G$12/-PV(Table7[Monthly mortgage rate], (12*Table7[Amortization period (yrs)]),1 )</f>
        <v>4377.9977174134756</v>
      </c>
      <c r="D552" s="11">
        <f>IF(Table1[[#This Row],[Month]]&lt;=(12*Table7[mortgage term (yrs)]),Table7[Monthly mortgage rate],Table7[Monthly Exp Renewal Rate])</f>
        <v>4.9038466830562122E-3</v>
      </c>
      <c r="E552" s="21">
        <f>Table1[[#This Row],[Current mortgage rate]]*G551</f>
        <v>-16581.594148642278</v>
      </c>
      <c r="F552" s="5">
        <f>Table1[[#This Row],[Payment amount]]-Table1[[#This Row],[Interest paid]]</f>
        <v>20959.591866055755</v>
      </c>
      <c r="G552" s="20">
        <f>G551-Table1[[#This Row],[Principal repaid]]-Table1[[#This Row],[Annual paym]]</f>
        <v>-3410184.3119865931</v>
      </c>
      <c r="H552" s="20">
        <f>H551-(Table1[[#This Row],[Payment amount]]-Table1[[#This Row],[Interest Paid W/O LSP]])</f>
        <v>-2073523.9911170804</v>
      </c>
      <c r="I552">
        <f>H551*Table1[[#This Row],[Current mortgage rate]]</f>
        <v>-10097.259304941512</v>
      </c>
      <c r="J552" s="25">
        <f>IF(Table1[[#This Row],[Month]]&gt;Table7[Amortization period (yrs)]*12,0,IF(Table1[[#This Row],[Month]]&lt;Table7[mortgage term (yrs)]*12,0,IF(Table1[[#This Row],[Month]]=Table7[mortgage term (yrs)]*12,-H$5,Table1[[#This Row],[Payment amount]]+B552)))</f>
        <v>0</v>
      </c>
      <c r="K552">
        <v>541</v>
      </c>
      <c r="L552">
        <f>Table7[Initial Monthly Deposit]*Table9[[#This Row],[Inflation Modifier]]</f>
        <v>975.14168212053733</v>
      </c>
      <c r="M552">
        <f xml:space="preserve"> (1+Table7[Inflation])^(QUOTIENT(Table9[[#This Row],[Month]]-1,12))</f>
        <v>2.4378542053013432</v>
      </c>
      <c r="N552">
        <f>N551*(1+Table7[Monthly SF Inter])+Table9[[#This Row],[Monthly Payment]]-O551*(1+Table7[Monthly SF Inter])</f>
        <v>54372.508129278576</v>
      </c>
      <c r="O552">
        <f>IF(MOD(Table9[[#This Row],[Month]],12)=0,(IF(Table9[[#This Row],[Current Balance]]&lt;Table9[[#This Row],[Max Lump Sum ]],Table9[[#This Row],[Current Balance]],Table9[[#This Row],[Max Lump Sum ]])),0)</f>
        <v>0</v>
      </c>
      <c r="P552" s="21">
        <f>Table7[Max annual lump sum repayment]*SUM(C553:C564)</f>
        <v>7880.3958913442566</v>
      </c>
      <c r="Q552" s="25">
        <f>Q551*(1+Table7[Monthly SF Inter])+Table9[[#This Row],[Inflation Modifier]]-R551*(1+Table7[Monthly SF Inter])</f>
        <v>2.4378542053013419</v>
      </c>
      <c r="R552" s="25">
        <f>IF(MOD(Table9[[#This Row],[Month]],12)=0,Table9[[#This Row],[Q2 ACC FACTOR]],0)</f>
        <v>0</v>
      </c>
      <c r="S552" s="25">
        <f>S551*(1+D551)+Table9[[#This Row],[ACC FACTOR PAYMENTS]]</f>
        <v>3498.4881317120298</v>
      </c>
    </row>
    <row r="553" spans="1:19" x14ac:dyDescent="0.25">
      <c r="A553" s="1">
        <v>541</v>
      </c>
      <c r="B553" s="1">
        <f t="shared" si="8"/>
        <v>0</v>
      </c>
      <c r="C553" s="7">
        <f>G$12/-PV(Table7[Monthly mortgage rate], (12*Table7[Amortization period (yrs)]),1 )</f>
        <v>4377.9977174134756</v>
      </c>
      <c r="D553" s="11">
        <f>IF(Table1[[#This Row],[Month]]&lt;=(12*Table7[mortgage term (yrs)]),Table7[Monthly mortgage rate],Table7[Monthly Exp Renewal Rate])</f>
        <v>4.9038466830562122E-3</v>
      </c>
      <c r="E553" s="21">
        <f>Table1[[#This Row],[Current mortgage rate]]*G552</f>
        <v>-16723.021026945786</v>
      </c>
      <c r="F553" s="5">
        <f>Table1[[#This Row],[Payment amount]]-Table1[[#This Row],[Interest paid]]</f>
        <v>21101.018744359262</v>
      </c>
      <c r="G553" s="20">
        <f>G552-Table1[[#This Row],[Principal repaid]]-Table1[[#This Row],[Annual paym]]</f>
        <v>-3431285.3307309523</v>
      </c>
      <c r="H553" s="20">
        <f>H552-(Table1[[#This Row],[Payment amount]]-Table1[[#This Row],[Interest Paid W/O LSP]])</f>
        <v>-2088070.232580571</v>
      </c>
      <c r="I553">
        <f>H552*Table1[[#This Row],[Current mortgage rate]]</f>
        <v>-10168.243746076974</v>
      </c>
      <c r="J553" s="25">
        <f>IF(Table1[[#This Row],[Month]]&gt;Table7[Amortization period (yrs)]*12,0,IF(Table1[[#This Row],[Month]]&lt;Table7[mortgage term (yrs)]*12,0,IF(Table1[[#This Row],[Month]]=Table7[mortgage term (yrs)]*12,-H$5,Table1[[#This Row],[Payment amount]]+B553)))</f>
        <v>0</v>
      </c>
      <c r="K553">
        <v>542</v>
      </c>
      <c r="L553">
        <f>Table7[Initial Monthly Deposit]*Table9[[#This Row],[Inflation Modifier]]</f>
        <v>975.14168212053733</v>
      </c>
      <c r="M553">
        <f xml:space="preserve"> (1+Table7[Inflation])^(QUOTIENT(Table9[[#This Row],[Month]]-1,12))</f>
        <v>2.4378542053013432</v>
      </c>
      <c r="N553">
        <f>N552*(1+Table7[Monthly SF Inter])+Table9[[#This Row],[Monthly Payment]]-O552*(1+Table7[Monthly SF Inter])</f>
        <v>55571.877438552125</v>
      </c>
      <c r="O553">
        <f>IF(MOD(Table9[[#This Row],[Month]],12)=0,(IF(Table9[[#This Row],[Current Balance]]&lt;Table9[[#This Row],[Max Lump Sum ]],Table9[[#This Row],[Current Balance]],Table9[[#This Row],[Max Lump Sum ]])),0)</f>
        <v>0</v>
      </c>
      <c r="P553" s="21">
        <f>Table7[Max annual lump sum repayment]*SUM(C554:C565)</f>
        <v>7880.3958913442566</v>
      </c>
      <c r="Q553" s="25">
        <f>Q552*(1+Table7[Monthly SF Inter])+Table9[[#This Row],[Inflation Modifier]]-R552*(1+Table7[Monthly SF Inter])</f>
        <v>4.8857619152616945</v>
      </c>
      <c r="R553" s="25">
        <f>IF(MOD(Table9[[#This Row],[Month]],12)=0,Table9[[#This Row],[Q2 ACC FACTOR]],0)</f>
        <v>0</v>
      </c>
      <c r="S553" s="25">
        <f>S552*(1+D552)+Table9[[#This Row],[ACC FACTOR PAYMENTS]]</f>
        <v>3515.6441811324376</v>
      </c>
    </row>
    <row r="554" spans="1:19" x14ac:dyDescent="0.25">
      <c r="A554" s="1">
        <v>542</v>
      </c>
      <c r="B554" s="1">
        <f t="shared" si="8"/>
        <v>0</v>
      </c>
      <c r="C554" s="7">
        <f>G$12/-PV(Table7[Monthly mortgage rate], (12*Table7[Amortization period (yrs)]),1 )</f>
        <v>4377.9977174134756</v>
      </c>
      <c r="D554" s="11">
        <f>IF(Table1[[#This Row],[Month]]&lt;=(12*Table7[mortgage term (yrs)]),Table7[Monthly mortgage rate],Table7[Monthly Exp Renewal Rate])</f>
        <v>4.9038466830562122E-3</v>
      </c>
      <c r="E554" s="21">
        <f>Table1[[#This Row],[Current mortgage rate]]*G553</f>
        <v>-16826.497187724417</v>
      </c>
      <c r="F554" s="5">
        <f>Table1[[#This Row],[Payment amount]]-Table1[[#This Row],[Interest paid]]</f>
        <v>21204.494905137894</v>
      </c>
      <c r="G554" s="20">
        <f>G553-Table1[[#This Row],[Principal repaid]]-Table1[[#This Row],[Annual paym]]</f>
        <v>-3452489.8256360902</v>
      </c>
      <c r="H554" s="20">
        <f>H553-(Table1[[#This Row],[Payment amount]]-Table1[[#This Row],[Interest Paid W/O LSP]])</f>
        <v>-2102687.8065820131</v>
      </c>
      <c r="I554">
        <f>H553*Table1[[#This Row],[Current mortgage rate]]</f>
        <v>-10239.576284028646</v>
      </c>
      <c r="J554" s="25">
        <f>IF(Table1[[#This Row],[Month]]&gt;Table7[Amortization period (yrs)]*12,0,IF(Table1[[#This Row],[Month]]&lt;Table7[mortgage term (yrs)]*12,0,IF(Table1[[#This Row],[Month]]=Table7[mortgage term (yrs)]*12,-H$5,Table1[[#This Row],[Payment amount]]+B554)))</f>
        <v>0</v>
      </c>
      <c r="K554">
        <v>543</v>
      </c>
      <c r="L554">
        <f>Table7[Initial Monthly Deposit]*Table9[[#This Row],[Inflation Modifier]]</f>
        <v>975.14168212053733</v>
      </c>
      <c r="M554">
        <f xml:space="preserve"> (1+Table7[Inflation])^(QUOTIENT(Table9[[#This Row],[Month]]-1,12))</f>
        <v>2.4378542053013432</v>
      </c>
      <c r="N554">
        <f>N553*(1+Table7[Monthly SF Inter])+Table9[[#This Row],[Monthly Payment]]-O553*(1+Table7[Monthly SF Inter])</f>
        <v>56776.192845468606</v>
      </c>
      <c r="O554">
        <f>IF(MOD(Table9[[#This Row],[Month]],12)=0,(IF(Table9[[#This Row],[Current Balance]]&lt;Table9[[#This Row],[Max Lump Sum ]],Table9[[#This Row],[Current Balance]],Table9[[#This Row],[Max Lump Sum ]])),0)</f>
        <v>0</v>
      </c>
      <c r="P554" s="21">
        <f>Table7[Max annual lump sum repayment]*SUM(C555:C566)</f>
        <v>7880.3958913442566</v>
      </c>
      <c r="Q554" s="25">
        <f>Q553*(1+Table7[Monthly SF Inter])+Table9[[#This Row],[Inflation Modifier]]-R553*(1+Table7[Monthly SF Inter])</f>
        <v>7.3437645896843975</v>
      </c>
      <c r="R554" s="25">
        <f>IF(MOD(Table9[[#This Row],[Month]],12)=0,Table9[[#This Row],[Q2 ACC FACTOR]],0)</f>
        <v>0</v>
      </c>
      <c r="S554" s="25">
        <f>S553*(1+D553)+Table9[[#This Row],[ACC FACTOR PAYMENTS]]</f>
        <v>3532.8843611888897</v>
      </c>
    </row>
    <row r="555" spans="1:19" x14ac:dyDescent="0.25">
      <c r="A555" s="1">
        <v>543</v>
      </c>
      <c r="B555" s="1">
        <f t="shared" si="8"/>
        <v>0</v>
      </c>
      <c r="C555" s="7">
        <f>G$12/-PV(Table7[Monthly mortgage rate], (12*Table7[Amortization period (yrs)]),1 )</f>
        <v>4377.9977174134756</v>
      </c>
      <c r="D555" s="11">
        <f>IF(Table1[[#This Row],[Month]]&lt;=(12*Table7[mortgage term (yrs)]),Table7[Monthly mortgage rate],Table7[Monthly Exp Renewal Rate])</f>
        <v>4.9038466830562122E-3</v>
      </c>
      <c r="E555" s="21">
        <f>Table1[[#This Row],[Current mortgage rate]]*G554</f>
        <v>-16930.48077973086</v>
      </c>
      <c r="F555" s="5">
        <f>Table1[[#This Row],[Payment amount]]-Table1[[#This Row],[Interest paid]]</f>
        <v>21308.478497144337</v>
      </c>
      <c r="G555" s="20">
        <f>G554-Table1[[#This Row],[Principal repaid]]-Table1[[#This Row],[Annual paym]]</f>
        <v>-3473798.3041332345</v>
      </c>
      <c r="H555" s="20">
        <f>H554-(Table1[[#This Row],[Payment amount]]-Table1[[#This Row],[Interest Paid W/O LSP]])</f>
        <v>-2117377.0629252368</v>
      </c>
      <c r="I555">
        <f>H554*Table1[[#This Row],[Current mortgage rate]]</f>
        <v>-10311.258625809947</v>
      </c>
      <c r="J555" s="25">
        <f>IF(Table1[[#This Row],[Month]]&gt;Table7[Amortization period (yrs)]*12,0,IF(Table1[[#This Row],[Month]]&lt;Table7[mortgage term (yrs)]*12,0,IF(Table1[[#This Row],[Month]]=Table7[mortgage term (yrs)]*12,-H$5,Table1[[#This Row],[Payment amount]]+B555)))</f>
        <v>0</v>
      </c>
      <c r="K555">
        <v>544</v>
      </c>
      <c r="L555">
        <f>Table7[Initial Monthly Deposit]*Table9[[#This Row],[Inflation Modifier]]</f>
        <v>975.14168212053733</v>
      </c>
      <c r="M555">
        <f xml:space="preserve"> (1+Table7[Inflation])^(QUOTIENT(Table9[[#This Row],[Month]]-1,12))</f>
        <v>2.4378542053013432</v>
      </c>
      <c r="N555">
        <f>N554*(1+Table7[Monthly SF Inter])+Table9[[#This Row],[Monthly Payment]]-O554*(1+Table7[Monthly SF Inter])</f>
        <v>57985.474747316577</v>
      </c>
      <c r="O555">
        <f>IF(MOD(Table9[[#This Row],[Month]],12)=0,(IF(Table9[[#This Row],[Current Balance]]&lt;Table9[[#This Row],[Max Lump Sum ]],Table9[[#This Row],[Current Balance]],Table9[[#This Row],[Max Lump Sum ]])),0)</f>
        <v>0</v>
      </c>
      <c r="P555" s="21">
        <f>Table7[Max annual lump sum repayment]*SUM(C556:C567)</f>
        <v>7880.3958913442566</v>
      </c>
      <c r="Q555" s="25">
        <f>Q554*(1+Table7[Monthly SF Inter])+Table9[[#This Row],[Inflation Modifier]]-R554*(1+Table7[Monthly SF Inter])</f>
        <v>9.8119038593495187</v>
      </c>
      <c r="R555" s="25">
        <f>IF(MOD(Table9[[#This Row],[Month]],12)=0,Table9[[#This Row],[Q2 ACC FACTOR]],0)</f>
        <v>0</v>
      </c>
      <c r="S555" s="25">
        <f>S554*(1+D554)+Table9[[#This Row],[ACC FACTOR PAYMENTS]]</f>
        <v>3550.2090844451268</v>
      </c>
    </row>
    <row r="556" spans="1:19" x14ac:dyDescent="0.25">
      <c r="A556" s="1">
        <v>544</v>
      </c>
      <c r="B556" s="1">
        <f t="shared" si="8"/>
        <v>0</v>
      </c>
      <c r="C556" s="7">
        <f>G$12/-PV(Table7[Monthly mortgage rate], (12*Table7[Amortization period (yrs)]),1 )</f>
        <v>4377.9977174134756</v>
      </c>
      <c r="D556" s="11">
        <f>IF(Table1[[#This Row],[Month]]&lt;=(12*Table7[mortgage term (yrs)]),Table7[Monthly mortgage rate],Table7[Monthly Exp Renewal Rate])</f>
        <v>4.9038466830562122E-3</v>
      </c>
      <c r="E556" s="21">
        <f>Table1[[#This Row],[Current mortgage rate]]*G555</f>
        <v>-17034.974291330058</v>
      </c>
      <c r="F556" s="5">
        <f>Table1[[#This Row],[Payment amount]]-Table1[[#This Row],[Interest paid]]</f>
        <v>21412.972008743534</v>
      </c>
      <c r="G556" s="20">
        <f>G555-Table1[[#This Row],[Principal repaid]]-Table1[[#This Row],[Annual paym]]</f>
        <v>-3495211.2761419779</v>
      </c>
      <c r="H556" s="20">
        <f>H555-(Table1[[#This Row],[Payment amount]]-Table1[[#This Row],[Interest Paid W/O LSP]])</f>
        <v>-2132138.3531294554</v>
      </c>
      <c r="I556">
        <f>H555*Table1[[#This Row],[Current mortgage rate]]</f>
        <v>-10383.292486805227</v>
      </c>
      <c r="J556" s="25">
        <f>IF(Table1[[#This Row],[Month]]&gt;Table7[Amortization period (yrs)]*12,0,IF(Table1[[#This Row],[Month]]&lt;Table7[mortgage term (yrs)]*12,0,IF(Table1[[#This Row],[Month]]=Table7[mortgage term (yrs)]*12,-H$5,Table1[[#This Row],[Payment amount]]+B556)))</f>
        <v>0</v>
      </c>
      <c r="K556">
        <v>545</v>
      </c>
      <c r="L556">
        <f>Table7[Initial Monthly Deposit]*Table9[[#This Row],[Inflation Modifier]]</f>
        <v>975.14168212053733</v>
      </c>
      <c r="M556">
        <f xml:space="preserve"> (1+Table7[Inflation])^(QUOTIENT(Table9[[#This Row],[Month]]-1,12))</f>
        <v>2.4378542053013432</v>
      </c>
      <c r="N556">
        <f>N555*(1+Table7[Monthly SF Inter])+Table9[[#This Row],[Monthly Payment]]-O555*(1+Table7[Monthly SF Inter])</f>
        <v>59199.743625501302</v>
      </c>
      <c r="O556">
        <f>IF(MOD(Table9[[#This Row],[Month]],12)=0,(IF(Table9[[#This Row],[Current Balance]]&lt;Table9[[#This Row],[Max Lump Sum ]],Table9[[#This Row],[Current Balance]],Table9[[#This Row],[Max Lump Sum ]])),0)</f>
        <v>0</v>
      </c>
      <c r="P556" s="21">
        <f>Table7[Max annual lump sum repayment]*SUM(C557:C568)</f>
        <v>7880.3958913442566</v>
      </c>
      <c r="Q556" s="25">
        <f>Q555*(1+Table7[Monthly SF Inter])+Table9[[#This Row],[Inflation Modifier]]-R555*(1+Table7[Monthly SF Inter])</f>
        <v>12.290221526718943</v>
      </c>
      <c r="R556" s="25">
        <f>IF(MOD(Table9[[#This Row],[Month]],12)=0,Table9[[#This Row],[Q2 ACC FACTOR]],0)</f>
        <v>0</v>
      </c>
      <c r="S556" s="25">
        <f>S555*(1+D555)+Table9[[#This Row],[ACC FACTOR PAYMENTS]]</f>
        <v>3567.6187654880391</v>
      </c>
    </row>
    <row r="557" spans="1:19" x14ac:dyDescent="0.25">
      <c r="A557" s="1">
        <v>545</v>
      </c>
      <c r="B557" s="1">
        <f t="shared" si="8"/>
        <v>0</v>
      </c>
      <c r="C557" s="7">
        <f>G$12/-PV(Table7[Monthly mortgage rate], (12*Table7[Amortization period (yrs)]),1 )</f>
        <v>4377.9977174134756</v>
      </c>
      <c r="D557" s="11">
        <f>IF(Table1[[#This Row],[Month]]&lt;=(12*Table7[mortgage term (yrs)]),Table7[Monthly mortgage rate],Table7[Monthly Exp Renewal Rate])</f>
        <v>4.9038466830562122E-3</v>
      </c>
      <c r="E557" s="21">
        <f>Table1[[#This Row],[Current mortgage rate]]*G556</f>
        <v>-17139.980223089507</v>
      </c>
      <c r="F557" s="5">
        <f>Table1[[#This Row],[Payment amount]]-Table1[[#This Row],[Interest paid]]</f>
        <v>21517.977940502984</v>
      </c>
      <c r="G557" s="20">
        <f>G556-Table1[[#This Row],[Principal repaid]]-Table1[[#This Row],[Annual paym]]</f>
        <v>-3516729.2540824809</v>
      </c>
      <c r="H557" s="20">
        <f>H556-(Table1[[#This Row],[Payment amount]]-Table1[[#This Row],[Interest Paid W/O LSP]])</f>
        <v>-2146972.0304376795</v>
      </c>
      <c r="I557">
        <f>H556*Table1[[#This Row],[Current mortgage rate]]</f>
        <v>-10455.679590810814</v>
      </c>
      <c r="J557" s="25">
        <f>IF(Table1[[#This Row],[Month]]&gt;Table7[Amortization period (yrs)]*12,0,IF(Table1[[#This Row],[Month]]&lt;Table7[mortgage term (yrs)]*12,0,IF(Table1[[#This Row],[Month]]=Table7[mortgage term (yrs)]*12,-H$5,Table1[[#This Row],[Payment amount]]+B557)))</f>
        <v>0</v>
      </c>
      <c r="K557">
        <v>546</v>
      </c>
      <c r="L557">
        <f>Table7[Initial Monthly Deposit]*Table9[[#This Row],[Inflation Modifier]]</f>
        <v>975.14168212053733</v>
      </c>
      <c r="M557">
        <f xml:space="preserve"> (1+Table7[Inflation])^(QUOTIENT(Table9[[#This Row],[Month]]-1,12))</f>
        <v>2.4378542053013432</v>
      </c>
      <c r="N557">
        <f>N556*(1+Table7[Monthly SF Inter])+Table9[[#This Row],[Monthly Payment]]-O556*(1+Table7[Monthly SF Inter])</f>
        <v>60419.020045891615</v>
      </c>
      <c r="O557">
        <f>IF(MOD(Table9[[#This Row],[Month]],12)=0,(IF(Table9[[#This Row],[Current Balance]]&lt;Table9[[#This Row],[Max Lump Sum ]],Table9[[#This Row],[Current Balance]],Table9[[#This Row],[Max Lump Sum ]])),0)</f>
        <v>0</v>
      </c>
      <c r="P557" s="21">
        <f>Table7[Max annual lump sum repayment]*SUM(C558:C569)</f>
        <v>7880.3958913442566</v>
      </c>
      <c r="Q557" s="25">
        <f>Q556*(1+Table7[Monthly SF Inter])+Table9[[#This Row],[Inflation Modifier]]-R556*(1+Table7[Monthly SF Inter])</f>
        <v>14.778759566644371</v>
      </c>
      <c r="R557" s="25">
        <f>IF(MOD(Table9[[#This Row],[Month]],12)=0,Table9[[#This Row],[Q2 ACC FACTOR]],0)</f>
        <v>0</v>
      </c>
      <c r="S557" s="25">
        <f>S556*(1+D556)+Table9[[#This Row],[ACC FACTOR PAYMENTS]]</f>
        <v>3585.1138209375868</v>
      </c>
    </row>
    <row r="558" spans="1:19" x14ac:dyDescent="0.25">
      <c r="A558" s="1">
        <v>546</v>
      </c>
      <c r="B558" s="1">
        <f t="shared" si="8"/>
        <v>0</v>
      </c>
      <c r="C558" s="7">
        <f>G$12/-PV(Table7[Monthly mortgage rate], (12*Table7[Amortization period (yrs)]),1 )</f>
        <v>4377.9977174134756</v>
      </c>
      <c r="D558" s="11">
        <f>IF(Table1[[#This Row],[Month]]&lt;=(12*Table7[mortgage term (yrs)]),Table7[Monthly mortgage rate],Table7[Monthly Exp Renewal Rate])</f>
        <v>4.9038466830562122E-3</v>
      </c>
      <c r="E558" s="21">
        <f>Table1[[#This Row],[Current mortgage rate]]*G557</f>
        <v>-17245.501087839122</v>
      </c>
      <c r="F558" s="5">
        <f>Table1[[#This Row],[Payment amount]]-Table1[[#This Row],[Interest paid]]</f>
        <v>21623.498805252599</v>
      </c>
      <c r="G558" s="20">
        <f>G557-Table1[[#This Row],[Principal repaid]]-Table1[[#This Row],[Annual paym]]</f>
        <v>-3538352.7528877333</v>
      </c>
      <c r="H558" s="20">
        <f>H557-(Table1[[#This Row],[Payment amount]]-Table1[[#This Row],[Interest Paid W/O LSP]])</f>
        <v>-2161878.4498251691</v>
      </c>
      <c r="I558">
        <f>H557*Table1[[#This Row],[Current mortgage rate]]</f>
        <v>-10528.421670076275</v>
      </c>
      <c r="J558" s="25">
        <f>IF(Table1[[#This Row],[Month]]&gt;Table7[Amortization period (yrs)]*12,0,IF(Table1[[#This Row],[Month]]&lt;Table7[mortgage term (yrs)]*12,0,IF(Table1[[#This Row],[Month]]=Table7[mortgage term (yrs)]*12,-H$5,Table1[[#This Row],[Payment amount]]+B558)))</f>
        <v>0</v>
      </c>
      <c r="K558">
        <v>547</v>
      </c>
      <c r="L558">
        <f>Table7[Initial Monthly Deposit]*Table9[[#This Row],[Inflation Modifier]]</f>
        <v>975.14168212053733</v>
      </c>
      <c r="M558">
        <f xml:space="preserve"> (1+Table7[Inflation])^(QUOTIENT(Table9[[#This Row],[Month]]-1,12))</f>
        <v>2.4378542053013432</v>
      </c>
      <c r="N558">
        <f>N557*(1+Table7[Monthly SF Inter])+Table9[[#This Row],[Monthly Payment]]-O557*(1+Table7[Monthly SF Inter])</f>
        <v>61643.324659168262</v>
      </c>
      <c r="O558">
        <f>IF(MOD(Table9[[#This Row],[Month]],12)=0,(IF(Table9[[#This Row],[Current Balance]]&lt;Table9[[#This Row],[Max Lump Sum ]],Table9[[#This Row],[Current Balance]],Table9[[#This Row],[Max Lump Sum ]])),0)</f>
        <v>0</v>
      </c>
      <c r="P558" s="21">
        <f>Table7[Max annual lump sum repayment]*SUM(C559:C570)</f>
        <v>7880.3958913442566</v>
      </c>
      <c r="Q558" s="25">
        <f>Q557*(1+Table7[Monthly SF Inter])+Table9[[#This Row],[Inflation Modifier]]-R557*(1+Table7[Monthly SF Inter])</f>
        <v>17.277560127078246</v>
      </c>
      <c r="R558" s="25">
        <f>IF(MOD(Table9[[#This Row],[Month]],12)=0,Table9[[#This Row],[Q2 ACC FACTOR]],0)</f>
        <v>0</v>
      </c>
      <c r="S558" s="25">
        <f>S557*(1+D557)+Table9[[#This Row],[ACC FACTOR PAYMENTS]]</f>
        <v>3602.6946694567705</v>
      </c>
    </row>
    <row r="559" spans="1:19" x14ac:dyDescent="0.25">
      <c r="A559" s="1">
        <v>547</v>
      </c>
      <c r="B559" s="1">
        <f t="shared" si="8"/>
        <v>0</v>
      </c>
      <c r="C559" s="7">
        <f>G$12/-PV(Table7[Monthly mortgage rate], (12*Table7[Amortization period (yrs)]),1 )</f>
        <v>4377.9977174134756</v>
      </c>
      <c r="D559" s="11">
        <f>IF(Table1[[#This Row],[Month]]&lt;=(12*Table7[mortgage term (yrs)]),Table7[Monthly mortgage rate],Table7[Monthly Exp Renewal Rate])</f>
        <v>4.9038466830562122E-3</v>
      </c>
      <c r="E559" s="21">
        <f>Table1[[#This Row],[Current mortgage rate]]*G558</f>
        <v>-17351.53941073133</v>
      </c>
      <c r="F559" s="5">
        <f>Table1[[#This Row],[Payment amount]]-Table1[[#This Row],[Interest paid]]</f>
        <v>21729.537128144806</v>
      </c>
      <c r="G559" s="20">
        <f>G558-Table1[[#This Row],[Principal repaid]]-Table1[[#This Row],[Annual paym]]</f>
        <v>-3560082.2900158782</v>
      </c>
      <c r="H559" s="20">
        <f>H558-(Table1[[#This Row],[Payment amount]]-Table1[[#This Row],[Interest Paid W/O LSP]])</f>
        <v>-2176857.9680079282</v>
      </c>
      <c r="I559">
        <f>H558*Table1[[#This Row],[Current mortgage rate]]</f>
        <v>-10601.52046534586</v>
      </c>
      <c r="J559" s="25">
        <f>IF(Table1[[#This Row],[Month]]&gt;Table7[Amortization period (yrs)]*12,0,IF(Table1[[#This Row],[Month]]&lt;Table7[mortgage term (yrs)]*12,0,IF(Table1[[#This Row],[Month]]=Table7[mortgage term (yrs)]*12,-H$5,Table1[[#This Row],[Payment amount]]+B559)))</f>
        <v>0</v>
      </c>
      <c r="K559">
        <v>548</v>
      </c>
      <c r="L559">
        <f>Table7[Initial Monthly Deposit]*Table9[[#This Row],[Inflation Modifier]]</f>
        <v>975.14168212053733</v>
      </c>
      <c r="M559">
        <f xml:space="preserve"> (1+Table7[Inflation])^(QUOTIENT(Table9[[#This Row],[Month]]-1,12))</f>
        <v>2.4378542053013432</v>
      </c>
      <c r="N559">
        <f>N558*(1+Table7[Monthly SF Inter])+Table9[[#This Row],[Monthly Payment]]-O558*(1+Table7[Monthly SF Inter])</f>
        <v>62872.67820117365</v>
      </c>
      <c r="O559">
        <f>IF(MOD(Table9[[#This Row],[Month]],12)=0,(IF(Table9[[#This Row],[Current Balance]]&lt;Table9[[#This Row],[Max Lump Sum ]],Table9[[#This Row],[Current Balance]],Table9[[#This Row],[Max Lump Sum ]])),0)</f>
        <v>0</v>
      </c>
      <c r="P559" s="21">
        <f>Table7[Max annual lump sum repayment]*SUM(C560:C571)</f>
        <v>7880.3958913442566</v>
      </c>
      <c r="Q559" s="25">
        <f>Q558*(1+Table7[Monthly SF Inter])+Table9[[#This Row],[Inflation Modifier]]-R558*(1+Table7[Monthly SF Inter])</f>
        <v>19.786665529787605</v>
      </c>
      <c r="R559" s="25">
        <f>IF(MOD(Table9[[#This Row],[Month]],12)=0,Table9[[#This Row],[Q2 ACC FACTOR]],0)</f>
        <v>0</v>
      </c>
      <c r="S559" s="25">
        <f>S558*(1+D558)+Table9[[#This Row],[ACC FACTOR PAYMENTS]]</f>
        <v>3620.3617317616504</v>
      </c>
    </row>
    <row r="560" spans="1:19" x14ac:dyDescent="0.25">
      <c r="A560" s="1">
        <v>548</v>
      </c>
      <c r="B560" s="1">
        <f t="shared" si="8"/>
        <v>0</v>
      </c>
      <c r="C560" s="7">
        <f>G$12/-PV(Table7[Monthly mortgage rate], (12*Table7[Amortization period (yrs)]),1 )</f>
        <v>4377.9977174134756</v>
      </c>
      <c r="D560" s="11">
        <f>IF(Table1[[#This Row],[Month]]&lt;=(12*Table7[mortgage term (yrs)]),Table7[Monthly mortgage rate],Table7[Monthly Exp Renewal Rate])</f>
        <v>4.9038466830562122E-3</v>
      </c>
      <c r="E560" s="21">
        <f>Table1[[#This Row],[Current mortgage rate]]*G559</f>
        <v>-17458.097729301528</v>
      </c>
      <c r="F560" s="5">
        <f>Table1[[#This Row],[Payment amount]]-Table1[[#This Row],[Interest paid]]</f>
        <v>21836.095446715004</v>
      </c>
      <c r="G560" s="20">
        <f>G559-Table1[[#This Row],[Principal repaid]]-Table1[[#This Row],[Annual paym]]</f>
        <v>-3581918.3854625933</v>
      </c>
      <c r="H560" s="20">
        <f>H559-(Table1[[#This Row],[Payment amount]]-Table1[[#This Row],[Interest Paid W/O LSP]])</f>
        <v>-2191910.9434512421</v>
      </c>
      <c r="I560">
        <f>H559*Table1[[#This Row],[Current mortgage rate]]</f>
        <v>-10674.977725900166</v>
      </c>
      <c r="J560" s="25">
        <f>IF(Table1[[#This Row],[Month]]&gt;Table7[Amortization period (yrs)]*12,0,IF(Table1[[#This Row],[Month]]&lt;Table7[mortgage term (yrs)]*12,0,IF(Table1[[#This Row],[Month]]=Table7[mortgage term (yrs)]*12,-H$5,Table1[[#This Row],[Payment amount]]+B560)))</f>
        <v>0</v>
      </c>
      <c r="K560">
        <v>549</v>
      </c>
      <c r="L560">
        <f>Table7[Initial Monthly Deposit]*Table9[[#This Row],[Inflation Modifier]]</f>
        <v>975.14168212053733</v>
      </c>
      <c r="M560">
        <f xml:space="preserve"> (1+Table7[Inflation])^(QUOTIENT(Table9[[#This Row],[Month]]-1,12))</f>
        <v>2.4378542053013432</v>
      </c>
      <c r="N560">
        <f>N559*(1+Table7[Monthly SF Inter])+Table9[[#This Row],[Monthly Payment]]-O559*(1+Table7[Monthly SF Inter])</f>
        <v>64107.101493263042</v>
      </c>
      <c r="O560">
        <f>IF(MOD(Table9[[#This Row],[Month]],12)=0,(IF(Table9[[#This Row],[Current Balance]]&lt;Table9[[#This Row],[Max Lump Sum ]],Table9[[#This Row],[Current Balance]],Table9[[#This Row],[Max Lump Sum ]])),0)</f>
        <v>0</v>
      </c>
      <c r="P560" s="21">
        <f>Table7[Max annual lump sum repayment]*SUM(C561:C572)</f>
        <v>7880.3958913442566</v>
      </c>
      <c r="Q560" s="25">
        <f>Q559*(1+Table7[Monthly SF Inter])+Table9[[#This Row],[Inflation Modifier]]-R559*(1+Table7[Monthly SF Inter])</f>
        <v>22.306118271070876</v>
      </c>
      <c r="R560" s="25">
        <f>IF(MOD(Table9[[#This Row],[Month]],12)=0,Table9[[#This Row],[Q2 ACC FACTOR]],0)</f>
        <v>0</v>
      </c>
      <c r="S560" s="25">
        <f>S559*(1+D559)+Table9[[#This Row],[ACC FACTOR PAYMENTS]]</f>
        <v>3638.1154306314133</v>
      </c>
    </row>
    <row r="561" spans="1:19" x14ac:dyDescent="0.25">
      <c r="A561" s="1">
        <v>549</v>
      </c>
      <c r="B561" s="1">
        <f t="shared" si="8"/>
        <v>0</v>
      </c>
      <c r="C561" s="7">
        <f>G$12/-PV(Table7[Monthly mortgage rate], (12*Table7[Amortization period (yrs)]),1 )</f>
        <v>4377.9977174134756</v>
      </c>
      <c r="D561" s="11">
        <f>IF(Table1[[#This Row],[Month]]&lt;=(12*Table7[mortgage term (yrs)]),Table7[Monthly mortgage rate],Table7[Monthly Exp Renewal Rate])</f>
        <v>4.9038466830562122E-3</v>
      </c>
      <c r="E561" s="21">
        <f>Table1[[#This Row],[Current mortgage rate]]*G560</f>
        <v>-17565.178593528803</v>
      </c>
      <c r="F561" s="5">
        <f>Table1[[#This Row],[Payment amount]]-Table1[[#This Row],[Interest paid]]</f>
        <v>21943.176310942279</v>
      </c>
      <c r="G561" s="20">
        <f>G560-Table1[[#This Row],[Principal repaid]]-Table1[[#This Row],[Annual paym]]</f>
        <v>-3603861.5617735358</v>
      </c>
      <c r="H561" s="20">
        <f>H560-(Table1[[#This Row],[Payment amount]]-Table1[[#This Row],[Interest Paid W/O LSP]])</f>
        <v>-2207037.7363782534</v>
      </c>
      <c r="I561">
        <f>H560*Table1[[#This Row],[Current mortgage rate]]</f>
        <v>-10748.795209597985</v>
      </c>
      <c r="J561" s="25">
        <f>IF(Table1[[#This Row],[Month]]&gt;Table7[Amortization period (yrs)]*12,0,IF(Table1[[#This Row],[Month]]&lt;Table7[mortgage term (yrs)]*12,0,IF(Table1[[#This Row],[Month]]=Table7[mortgage term (yrs)]*12,-H$5,Table1[[#This Row],[Payment amount]]+B561)))</f>
        <v>0</v>
      </c>
      <c r="K561">
        <v>550</v>
      </c>
      <c r="L561">
        <f>Table7[Initial Monthly Deposit]*Table9[[#This Row],[Inflation Modifier]]</f>
        <v>975.14168212053733</v>
      </c>
      <c r="M561">
        <f xml:space="preserve"> (1+Table7[Inflation])^(QUOTIENT(Table9[[#This Row],[Month]]-1,12))</f>
        <v>2.4378542053013432</v>
      </c>
      <c r="N561">
        <f>N560*(1+Table7[Monthly SF Inter])+Table9[[#This Row],[Monthly Payment]]-O560*(1+Table7[Monthly SF Inter])</f>
        <v>65346.615442657217</v>
      </c>
      <c r="O561">
        <f>IF(MOD(Table9[[#This Row],[Month]],12)=0,(IF(Table9[[#This Row],[Current Balance]]&lt;Table9[[#This Row],[Max Lump Sum ]],Table9[[#This Row],[Current Balance]],Table9[[#This Row],[Max Lump Sum ]])),0)</f>
        <v>0</v>
      </c>
      <c r="P561" s="21">
        <f>Table7[Max annual lump sum repayment]*SUM(C562:C573)</f>
        <v>7880.3958913442566</v>
      </c>
      <c r="Q561" s="25">
        <f>Q560*(1+Table7[Monthly SF Inter])+Table9[[#This Row],[Inflation Modifier]]-R560*(1+Table7[Monthly SF Inter])</f>
        <v>24.835961022477623</v>
      </c>
      <c r="R561" s="25">
        <f>IF(MOD(Table9[[#This Row],[Month]],12)=0,Table9[[#This Row],[Q2 ACC FACTOR]],0)</f>
        <v>0</v>
      </c>
      <c r="S561" s="25">
        <f>S560*(1+D560)+Table9[[#This Row],[ACC FACTOR PAYMENTS]]</f>
        <v>3655.9561909184908</v>
      </c>
    </row>
    <row r="562" spans="1:19" x14ac:dyDescent="0.25">
      <c r="A562" s="1">
        <v>550</v>
      </c>
      <c r="B562" s="1">
        <f t="shared" si="8"/>
        <v>0</v>
      </c>
      <c r="C562" s="7">
        <f>G$12/-PV(Table7[Monthly mortgage rate], (12*Table7[Amortization period (yrs)]),1 )</f>
        <v>4377.9977174134756</v>
      </c>
      <c r="D562" s="11">
        <f>IF(Table1[[#This Row],[Month]]&lt;=(12*Table7[mortgage term (yrs)]),Table7[Monthly mortgage rate],Table7[Monthly Exp Renewal Rate])</f>
        <v>4.9038466830562122E-3</v>
      </c>
      <c r="E562" s="21">
        <f>Table1[[#This Row],[Current mortgage rate]]*G561</f>
        <v>-17672.784565896935</v>
      </c>
      <c r="F562" s="5">
        <f>Table1[[#This Row],[Payment amount]]-Table1[[#This Row],[Interest paid]]</f>
        <v>22050.782283310411</v>
      </c>
      <c r="G562" s="20">
        <f>G561-Table1[[#This Row],[Principal repaid]]-Table1[[#This Row],[Annual paym]]</f>
        <v>-3625912.3440568461</v>
      </c>
      <c r="H562" s="20">
        <f>H561-(Table1[[#This Row],[Payment amount]]-Table1[[#This Row],[Interest Paid W/O LSP]])</f>
        <v>-2222238.7087785853</v>
      </c>
      <c r="I562">
        <f>H561*Table1[[#This Row],[Current mortgage rate]]</f>
        <v>-10822.97468291839</v>
      </c>
      <c r="J562" s="25">
        <f>IF(Table1[[#This Row],[Month]]&gt;Table7[Amortization period (yrs)]*12,0,IF(Table1[[#This Row],[Month]]&lt;Table7[mortgage term (yrs)]*12,0,IF(Table1[[#This Row],[Month]]=Table7[mortgage term (yrs)]*12,-H$5,Table1[[#This Row],[Payment amount]]+B562)))</f>
        <v>0</v>
      </c>
      <c r="K562">
        <v>551</v>
      </c>
      <c r="L562">
        <f>Table7[Initial Monthly Deposit]*Table9[[#This Row],[Inflation Modifier]]</f>
        <v>975.14168212053733</v>
      </c>
      <c r="M562">
        <f xml:space="preserve"> (1+Table7[Inflation])^(QUOTIENT(Table9[[#This Row],[Month]]-1,12))</f>
        <v>2.4378542053013432</v>
      </c>
      <c r="N562">
        <f>N561*(1+Table7[Monthly SF Inter])+Table9[[#This Row],[Monthly Payment]]-O561*(1+Table7[Monthly SF Inter])</f>
        <v>66591.241042796566</v>
      </c>
      <c r="O562">
        <f>IF(MOD(Table9[[#This Row],[Month]],12)=0,(IF(Table9[[#This Row],[Current Balance]]&lt;Table9[[#This Row],[Max Lump Sum ]],Table9[[#This Row],[Current Balance]],Table9[[#This Row],[Max Lump Sum ]])),0)</f>
        <v>0</v>
      </c>
      <c r="P562" s="21">
        <f>Table7[Max annual lump sum repayment]*SUM(C563:C574)</f>
        <v>7880.3958913442566</v>
      </c>
      <c r="Q562" s="25">
        <f>Q561*(1+Table7[Monthly SF Inter])+Table9[[#This Row],[Inflation Modifier]]-R561*(1+Table7[Monthly SF Inter])</f>
        <v>27.376236631531281</v>
      </c>
      <c r="R562" s="25">
        <f>IF(MOD(Table9[[#This Row],[Month]],12)=0,Table9[[#This Row],[Q2 ACC FACTOR]],0)</f>
        <v>0</v>
      </c>
      <c r="S562" s="25">
        <f>S561*(1+D561)+Table9[[#This Row],[ACC FACTOR PAYMENTS]]</f>
        <v>3673.8844395587253</v>
      </c>
    </row>
    <row r="563" spans="1:19" x14ac:dyDescent="0.25">
      <c r="A563" s="1">
        <v>551</v>
      </c>
      <c r="B563" s="1">
        <f t="shared" si="8"/>
        <v>0</v>
      </c>
      <c r="C563" s="7">
        <f>G$12/-PV(Table7[Monthly mortgage rate], (12*Table7[Amortization period (yrs)]),1 )</f>
        <v>4377.9977174134756</v>
      </c>
      <c r="D563" s="11">
        <f>IF(Table1[[#This Row],[Month]]&lt;=(12*Table7[mortgage term (yrs)]),Table7[Monthly mortgage rate],Table7[Monthly Exp Renewal Rate])</f>
        <v>4.9038466830562122E-3</v>
      </c>
      <c r="E563" s="21">
        <f>Table1[[#This Row],[Current mortgage rate]]*G562</f>
        <v>-17780.91822145574</v>
      </c>
      <c r="F563" s="5">
        <f>Table1[[#This Row],[Payment amount]]-Table1[[#This Row],[Interest paid]]</f>
        <v>22158.915938869217</v>
      </c>
      <c r="G563" s="20">
        <f>G562-Table1[[#This Row],[Principal repaid]]-Table1[[#This Row],[Annual paym]]</f>
        <v>-3648071.2599957152</v>
      </c>
      <c r="H563" s="20">
        <f>H562-(Table1[[#This Row],[Payment amount]]-Table1[[#This Row],[Interest Paid W/O LSP]])</f>
        <v>-2237514.2244170019</v>
      </c>
      <c r="I563">
        <f>H562*Table1[[#This Row],[Current mortgage rate]]</f>
        <v>-10897.517921002986</v>
      </c>
      <c r="J563" s="25">
        <f>IF(Table1[[#This Row],[Month]]&gt;Table7[Amortization period (yrs)]*12,0,IF(Table1[[#This Row],[Month]]&lt;Table7[mortgage term (yrs)]*12,0,IF(Table1[[#This Row],[Month]]=Table7[mortgage term (yrs)]*12,-H$5,Table1[[#This Row],[Payment amount]]+B563)))</f>
        <v>0</v>
      </c>
      <c r="K563">
        <v>552</v>
      </c>
      <c r="L563">
        <f>Table7[Initial Monthly Deposit]*Table9[[#This Row],[Inflation Modifier]]</f>
        <v>975.14168212053733</v>
      </c>
      <c r="M563">
        <f xml:space="preserve"> (1+Table7[Inflation])^(QUOTIENT(Table9[[#This Row],[Month]]-1,12))</f>
        <v>2.4378542053013432</v>
      </c>
      <c r="N563">
        <f>N562*(1+Table7[Monthly SF Inter])+Table9[[#This Row],[Monthly Payment]]-O562*(1+Table7[Monthly SF Inter])</f>
        <v>67840.999373696643</v>
      </c>
      <c r="O563">
        <f>IF(MOD(Table9[[#This Row],[Month]],12)=0,(IF(Table9[[#This Row],[Current Balance]]&lt;Table9[[#This Row],[Max Lump Sum ]],Table9[[#This Row],[Current Balance]],Table9[[#This Row],[Max Lump Sum ]])),0)</f>
        <v>7880.3958913442566</v>
      </c>
      <c r="P563" s="21">
        <f>Table7[Max annual lump sum repayment]*SUM(C564:C575)</f>
        <v>7880.3958913442566</v>
      </c>
      <c r="Q563" s="25">
        <f>Q562*(1+Table7[Monthly SF Inter])+Table9[[#This Row],[Inflation Modifier]]-R562*(1+Table7[Monthly SF Inter])</f>
        <v>29.926988122454844</v>
      </c>
      <c r="R563" s="25">
        <f>IF(MOD(Table9[[#This Row],[Month]],12)=0,Table9[[#This Row],[Q2 ACC FACTOR]],0)</f>
        <v>29.926988122454844</v>
      </c>
      <c r="S563" s="25">
        <f>S562*(1+D562)+Table9[[#This Row],[ACC FACTOR PAYMENTS]]</f>
        <v>3721.8275937040421</v>
      </c>
    </row>
    <row r="564" spans="1:19" x14ac:dyDescent="0.25">
      <c r="A564" s="1">
        <v>552</v>
      </c>
      <c r="B564" s="1">
        <f t="shared" si="8"/>
        <v>7880.3958913442566</v>
      </c>
      <c r="C564" s="7">
        <f>G$12/-PV(Table7[Monthly mortgage rate], (12*Table7[Amortization period (yrs)]),1 )</f>
        <v>4377.9977174134756</v>
      </c>
      <c r="D564" s="11">
        <f>IF(Table1[[#This Row],[Month]]&lt;=(12*Table7[mortgage term (yrs)]),Table7[Monthly mortgage rate],Table7[Monthly Exp Renewal Rate])</f>
        <v>4.9038466830562122E-3</v>
      </c>
      <c r="E564" s="21">
        <f>Table1[[#This Row],[Current mortgage rate]]*G563</f>
        <v>-17889.582147882684</v>
      </c>
      <c r="F564" s="5">
        <f>Table1[[#This Row],[Payment amount]]-Table1[[#This Row],[Interest paid]]</f>
        <v>22267.57986529616</v>
      </c>
      <c r="G564" s="20">
        <f>G563-Table1[[#This Row],[Principal repaid]]-Table1[[#This Row],[Annual paym]]</f>
        <v>-3678219.2357523558</v>
      </c>
      <c r="H564" s="20">
        <f>H563-(Table1[[#This Row],[Payment amount]]-Table1[[#This Row],[Interest Paid W/O LSP]])</f>
        <v>-2252864.648842114</v>
      </c>
      <c r="I564">
        <f>H563*Table1[[#This Row],[Current mortgage rate]]</f>
        <v>-10972.426707698409</v>
      </c>
      <c r="J564" s="25">
        <f>IF(Table1[[#This Row],[Month]]&gt;Table7[Amortization period (yrs)]*12,0,IF(Table1[[#This Row],[Month]]&lt;Table7[mortgage term (yrs)]*12,0,IF(Table1[[#This Row],[Month]]=Table7[mortgage term (yrs)]*12,-H$5,Table1[[#This Row],[Payment amount]]+B564)))</f>
        <v>0</v>
      </c>
      <c r="K564">
        <v>553</v>
      </c>
      <c r="L564">
        <f>Table7[Initial Monthly Deposit]*Table9[[#This Row],[Inflation Modifier]]</f>
        <v>994.64451576294812</v>
      </c>
      <c r="M564">
        <f xml:space="preserve"> (1+Table7[Inflation])^(QUOTIENT(Table9[[#This Row],[Month]]-1,12))</f>
        <v>2.4866112894073704</v>
      </c>
      <c r="N564">
        <f>N563*(1+Table7[Monthly SF Inter])+Table9[[#This Row],[Monthly Payment]]-O563*(1+Table7[Monthly SF Inter])</f>
        <v>61202.520458115592</v>
      </c>
      <c r="O564">
        <f>IF(MOD(Table9[[#This Row],[Month]],12)=0,(IF(Table9[[#This Row],[Current Balance]]&lt;Table9[[#This Row],[Max Lump Sum ]],Table9[[#This Row],[Current Balance]],Table9[[#This Row],[Max Lump Sum ]])),0)</f>
        <v>0</v>
      </c>
      <c r="P564" s="21">
        <f>Table7[Max annual lump sum repayment]*SUM(C565:C576)</f>
        <v>7880.3958913442566</v>
      </c>
      <c r="Q564" s="25">
        <f>Q563*(1+Table7[Monthly SF Inter])+Table9[[#This Row],[Inflation Modifier]]-R563*(1+Table7[Monthly SF Inter])</f>
        <v>2.4866112894073709</v>
      </c>
      <c r="R564" s="25">
        <f>IF(MOD(Table9[[#This Row],[Month]],12)=0,Table9[[#This Row],[Q2 ACC FACTOR]],0)</f>
        <v>0</v>
      </c>
      <c r="S564" s="25">
        <f>S563*(1+D563)+Table9[[#This Row],[ACC FACTOR PAYMENTS]]</f>
        <v>3740.0788656043346</v>
      </c>
    </row>
    <row r="565" spans="1:19" x14ac:dyDescent="0.25">
      <c r="A565" s="1">
        <v>553</v>
      </c>
      <c r="B565" s="1">
        <f t="shared" si="8"/>
        <v>0</v>
      </c>
      <c r="C565" s="7">
        <f>G$12/-PV(Table7[Monthly mortgage rate], (12*Table7[Amortization period (yrs)]),1 )</f>
        <v>4377.9977174134756</v>
      </c>
      <c r="D565" s="11">
        <f>IF(Table1[[#This Row],[Month]]&lt;=(12*Table7[mortgage term (yrs)]),Table7[Monthly mortgage rate],Table7[Monthly Exp Renewal Rate])</f>
        <v>4.9038466830562122E-3</v>
      </c>
      <c r="E565" s="21">
        <f>Table1[[#This Row],[Current mortgage rate]]*G564</f>
        <v>-18037.423198797747</v>
      </c>
      <c r="F565" s="5">
        <f>Table1[[#This Row],[Payment amount]]-Table1[[#This Row],[Interest paid]]</f>
        <v>22415.420916211224</v>
      </c>
      <c r="G565" s="20">
        <f>G564-Table1[[#This Row],[Principal repaid]]-Table1[[#This Row],[Annual paym]]</f>
        <v>-3700634.6566685671</v>
      </c>
      <c r="H565" s="20">
        <f>H564-(Table1[[#This Row],[Payment amount]]-Table1[[#This Row],[Interest Paid W/O LSP]])</f>
        <v>-2268290.3493951266</v>
      </c>
      <c r="I565">
        <f>H564*Table1[[#This Row],[Current mortgage rate]]</f>
        <v>-11047.702835598999</v>
      </c>
      <c r="J565" s="25">
        <f>IF(Table1[[#This Row],[Month]]&gt;Table7[Amortization period (yrs)]*12,0,IF(Table1[[#This Row],[Month]]&lt;Table7[mortgage term (yrs)]*12,0,IF(Table1[[#This Row],[Month]]=Table7[mortgage term (yrs)]*12,-H$5,Table1[[#This Row],[Payment amount]]+B565)))</f>
        <v>0</v>
      </c>
      <c r="K565">
        <v>554</v>
      </c>
      <c r="L565">
        <f>Table7[Initial Monthly Deposit]*Table9[[#This Row],[Inflation Modifier]]</f>
        <v>994.64451576294812</v>
      </c>
      <c r="M565">
        <f xml:space="preserve"> (1+Table7[Inflation])^(QUOTIENT(Table9[[#This Row],[Month]]-1,12))</f>
        <v>2.4866112894073704</v>
      </c>
      <c r="N565">
        <f>N564*(1+Table7[Monthly SF Inter])+Table9[[#This Row],[Monthly Payment]]-O564*(1+Table7[Monthly SF Inter])</f>
        <v>62449.558994501574</v>
      </c>
      <c r="O565">
        <f>IF(MOD(Table9[[#This Row],[Month]],12)=0,(IF(Table9[[#This Row],[Current Balance]]&lt;Table9[[#This Row],[Max Lump Sum ]],Table9[[#This Row],[Current Balance]],Table9[[#This Row],[Max Lump Sum ]])),0)</f>
        <v>0</v>
      </c>
      <c r="P565" s="21">
        <f>Table7[Max annual lump sum repayment]*SUM(C566:C577)</f>
        <v>7880.3958913442566</v>
      </c>
      <c r="Q565" s="25">
        <f>Q564*(1+Table7[Monthly SF Inter])+Table9[[#This Row],[Inflation Modifier]]-R564*(1+Table7[Monthly SF Inter])</f>
        <v>4.9834771535669304</v>
      </c>
      <c r="R565" s="25">
        <f>IF(MOD(Table9[[#This Row],[Month]],12)=0,Table9[[#This Row],[Q2 ACC FACTOR]],0)</f>
        <v>0</v>
      </c>
      <c r="S565" s="25">
        <f>S564*(1+D564)+Table9[[#This Row],[ACC FACTOR PAYMENTS]]</f>
        <v>3758.4196389437971</v>
      </c>
    </row>
    <row r="566" spans="1:19" x14ac:dyDescent="0.25">
      <c r="A566" s="1">
        <v>554</v>
      </c>
      <c r="B566" s="1">
        <f t="shared" si="8"/>
        <v>0</v>
      </c>
      <c r="C566" s="7">
        <f>G$12/-PV(Table7[Monthly mortgage rate], (12*Table7[Amortization period (yrs)]),1 )</f>
        <v>4377.9977174134756</v>
      </c>
      <c r="D566" s="11">
        <f>IF(Table1[[#This Row],[Month]]&lt;=(12*Table7[mortgage term (yrs)]),Table7[Monthly mortgage rate],Table7[Monthly Exp Renewal Rate])</f>
        <v>4.9038466830562122E-3</v>
      </c>
      <c r="E566" s="21">
        <f>Table1[[#This Row],[Current mortgage rate]]*G565</f>
        <v>-18147.344986307016</v>
      </c>
      <c r="F566" s="5">
        <f>Table1[[#This Row],[Payment amount]]-Table1[[#This Row],[Interest paid]]</f>
        <v>22525.342703720493</v>
      </c>
      <c r="G566" s="20">
        <f>G565-Table1[[#This Row],[Principal repaid]]-Table1[[#This Row],[Annual paym]]</f>
        <v>-3723159.9993722877</v>
      </c>
      <c r="H566" s="20">
        <f>H565-(Table1[[#This Row],[Payment amount]]-Table1[[#This Row],[Interest Paid W/O LSP]])</f>
        <v>-2283791.6952186297</v>
      </c>
      <c r="I566">
        <f>H565*Table1[[#This Row],[Current mortgage rate]]</f>
        <v>-11123.348106089708</v>
      </c>
      <c r="J566" s="25">
        <f>IF(Table1[[#This Row],[Month]]&gt;Table7[Amortization period (yrs)]*12,0,IF(Table1[[#This Row],[Month]]&lt;Table7[mortgage term (yrs)]*12,0,IF(Table1[[#This Row],[Month]]=Table7[mortgage term (yrs)]*12,-H$5,Table1[[#This Row],[Payment amount]]+B566)))</f>
        <v>0</v>
      </c>
      <c r="K566">
        <v>555</v>
      </c>
      <c r="L566">
        <f>Table7[Initial Monthly Deposit]*Table9[[#This Row],[Inflation Modifier]]</f>
        <v>994.64451576294812</v>
      </c>
      <c r="M566">
        <f xml:space="preserve"> (1+Table7[Inflation])^(QUOTIENT(Table9[[#This Row],[Month]]-1,12))</f>
        <v>2.4866112894073704</v>
      </c>
      <c r="N566">
        <f>N565*(1+Table7[Monthly SF Inter])+Table9[[#This Row],[Monthly Payment]]-O565*(1+Table7[Monthly SF Inter])</f>
        <v>63701.740212393386</v>
      </c>
      <c r="O566">
        <f>IF(MOD(Table9[[#This Row],[Month]],12)=0,(IF(Table9[[#This Row],[Current Balance]]&lt;Table9[[#This Row],[Max Lump Sum ]],Table9[[#This Row],[Current Balance]],Table9[[#This Row],[Max Lump Sum ]])),0)</f>
        <v>0</v>
      </c>
      <c r="P566" s="21">
        <f>Table7[Max annual lump sum repayment]*SUM(C567:C578)</f>
        <v>7880.3958913442566</v>
      </c>
      <c r="Q566" s="25">
        <f>Q565*(1+Table7[Monthly SF Inter])+Table9[[#This Row],[Inflation Modifier]]-R565*(1+Table7[Monthly SF Inter])</f>
        <v>7.4906398814780886</v>
      </c>
      <c r="R566" s="25">
        <f>IF(MOD(Table9[[#This Row],[Month]],12)=0,Table9[[#This Row],[Q2 ACC FACTOR]],0)</f>
        <v>0</v>
      </c>
      <c r="S566" s="25">
        <f>S565*(1+D565)+Table9[[#This Row],[ACC FACTOR PAYMENTS]]</f>
        <v>3776.850352623765</v>
      </c>
    </row>
    <row r="567" spans="1:19" x14ac:dyDescent="0.25">
      <c r="A567" s="1">
        <v>555</v>
      </c>
      <c r="B567" s="1">
        <f t="shared" si="8"/>
        <v>0</v>
      </c>
      <c r="C567" s="7">
        <f>G$12/-PV(Table7[Monthly mortgage rate], (12*Table7[Amortization period (yrs)]),1 )</f>
        <v>4377.9977174134756</v>
      </c>
      <c r="D567" s="11">
        <f>IF(Table1[[#This Row],[Month]]&lt;=(12*Table7[mortgage term (yrs)]),Table7[Monthly mortgage rate],Table7[Monthly Exp Renewal Rate])</f>
        <v>4.9038466830562122E-3</v>
      </c>
      <c r="E567" s="21">
        <f>Table1[[#This Row],[Current mortgage rate]]*G566</f>
        <v>-18257.805813409363</v>
      </c>
      <c r="F567" s="5">
        <f>Table1[[#This Row],[Payment amount]]-Table1[[#This Row],[Interest paid]]</f>
        <v>22635.803530822839</v>
      </c>
      <c r="G567" s="20">
        <f>G566-Table1[[#This Row],[Principal repaid]]-Table1[[#This Row],[Annual paym]]</f>
        <v>-3745795.8029031106</v>
      </c>
      <c r="H567" s="20">
        <f>H566-(Table1[[#This Row],[Payment amount]]-Table1[[#This Row],[Interest Paid W/O LSP]])</f>
        <v>-2299369.0572654326</v>
      </c>
      <c r="I567">
        <f>H566*Table1[[#This Row],[Current mortgage rate]]</f>
        <v>-11199.364329389202</v>
      </c>
      <c r="J567" s="25">
        <f>IF(Table1[[#This Row],[Month]]&gt;Table7[Amortization period (yrs)]*12,0,IF(Table1[[#This Row],[Month]]&lt;Table7[mortgage term (yrs)]*12,0,IF(Table1[[#This Row],[Month]]=Table7[mortgage term (yrs)]*12,-H$5,Table1[[#This Row],[Payment amount]]+B567)))</f>
        <v>0</v>
      </c>
      <c r="K567">
        <v>556</v>
      </c>
      <c r="L567">
        <f>Table7[Initial Monthly Deposit]*Table9[[#This Row],[Inflation Modifier]]</f>
        <v>994.64451576294812</v>
      </c>
      <c r="M567">
        <f xml:space="preserve"> (1+Table7[Inflation])^(QUOTIENT(Table9[[#This Row],[Month]]-1,12))</f>
        <v>2.4866112894073704</v>
      </c>
      <c r="N567">
        <f>N566*(1+Table7[Monthly SF Inter])+Table9[[#This Row],[Monthly Payment]]-O566*(1+Table7[Monthly SF Inter])</f>
        <v>64959.085319774822</v>
      </c>
      <c r="O567">
        <f>IF(MOD(Table9[[#This Row],[Month]],12)=0,(IF(Table9[[#This Row],[Current Balance]]&lt;Table9[[#This Row],[Max Lump Sum ]],Table9[[#This Row],[Current Balance]],Table9[[#This Row],[Max Lump Sum ]])),0)</f>
        <v>0</v>
      </c>
      <c r="P567" s="21">
        <f>Table7[Max annual lump sum repayment]*SUM(C568:C579)</f>
        <v>7880.3958913442566</v>
      </c>
      <c r="Q567" s="25">
        <f>Q566*(1+Table7[Monthly SF Inter])+Table9[[#This Row],[Inflation Modifier]]-R566*(1+Table7[Monthly SF Inter])</f>
        <v>10.008141936536513</v>
      </c>
      <c r="R567" s="25">
        <f>IF(MOD(Table9[[#This Row],[Month]],12)=0,Table9[[#This Row],[Q2 ACC FACTOR]],0)</f>
        <v>0</v>
      </c>
      <c r="S567" s="25">
        <f>S566*(1+D566)+Table9[[#This Row],[ACC FACTOR PAYMENTS]]</f>
        <v>3795.3714476978789</v>
      </c>
    </row>
    <row r="568" spans="1:19" x14ac:dyDescent="0.25">
      <c r="A568" s="1">
        <v>556</v>
      </c>
      <c r="B568" s="1">
        <f t="shared" si="8"/>
        <v>0</v>
      </c>
      <c r="C568" s="7">
        <f>G$12/-PV(Table7[Monthly mortgage rate], (12*Table7[Amortization period (yrs)]),1 )</f>
        <v>4377.9977174134756</v>
      </c>
      <c r="D568" s="11">
        <f>IF(Table1[[#This Row],[Month]]&lt;=(12*Table7[mortgage term (yrs)]),Table7[Monthly mortgage rate],Table7[Monthly Exp Renewal Rate])</f>
        <v>4.9038466830562122E-3</v>
      </c>
      <c r="E568" s="21">
        <f>Table1[[#This Row],[Current mortgage rate]]*G567</f>
        <v>-18368.808323472302</v>
      </c>
      <c r="F568" s="5">
        <f>Table1[[#This Row],[Payment amount]]-Table1[[#This Row],[Interest paid]]</f>
        <v>22746.806040885778</v>
      </c>
      <c r="G568" s="20">
        <f>G567-Table1[[#This Row],[Principal repaid]]-Table1[[#This Row],[Annual paym]]</f>
        <v>-3768542.6089439965</v>
      </c>
      <c r="H568" s="20">
        <f>H567-(Table1[[#This Row],[Payment amount]]-Table1[[#This Row],[Interest Paid W/O LSP]])</f>
        <v>-2315022.8083074391</v>
      </c>
      <c r="I568">
        <f>H567*Table1[[#This Row],[Current mortgage rate]]</f>
        <v>-11275.753324593181</v>
      </c>
      <c r="J568" s="25">
        <f>IF(Table1[[#This Row],[Month]]&gt;Table7[Amortization period (yrs)]*12,0,IF(Table1[[#This Row],[Month]]&lt;Table7[mortgage term (yrs)]*12,0,IF(Table1[[#This Row],[Month]]=Table7[mortgage term (yrs)]*12,-H$5,Table1[[#This Row],[Payment amount]]+B568)))</f>
        <v>0</v>
      </c>
      <c r="K568">
        <v>557</v>
      </c>
      <c r="L568">
        <f>Table7[Initial Monthly Deposit]*Table9[[#This Row],[Inflation Modifier]]</f>
        <v>994.64451576294812</v>
      </c>
      <c r="M568">
        <f xml:space="preserve"> (1+Table7[Inflation])^(QUOTIENT(Table9[[#This Row],[Month]]-1,12))</f>
        <v>2.4866112894073704</v>
      </c>
      <c r="N568">
        <f>N567*(1+Table7[Monthly SF Inter])+Table9[[#This Row],[Monthly Payment]]-O567*(1+Table7[Monthly SF Inter])</f>
        <v>66221.615612089605</v>
      </c>
      <c r="O568">
        <f>IF(MOD(Table9[[#This Row],[Month]],12)=0,(IF(Table9[[#This Row],[Current Balance]]&lt;Table9[[#This Row],[Max Lump Sum ]],Table9[[#This Row],[Current Balance]],Table9[[#This Row],[Max Lump Sum ]])),0)</f>
        <v>0</v>
      </c>
      <c r="P568" s="21">
        <f>Table7[Max annual lump sum repayment]*SUM(C569:C580)</f>
        <v>7880.3958913442566</v>
      </c>
      <c r="Q568" s="25">
        <f>Q567*(1+Table7[Monthly SF Inter])+Table9[[#This Row],[Inflation Modifier]]-R567*(1+Table7[Monthly SF Inter])</f>
        <v>12.536025957253324</v>
      </c>
      <c r="R568" s="25">
        <f>IF(MOD(Table9[[#This Row],[Month]],12)=0,Table9[[#This Row],[Q2 ACC FACTOR]],0)</f>
        <v>0</v>
      </c>
      <c r="S568" s="25">
        <f>S567*(1+D567)+Table9[[#This Row],[ACC FACTOR PAYMENTS]]</f>
        <v>3813.9833673826383</v>
      </c>
    </row>
    <row r="569" spans="1:19" x14ac:dyDescent="0.25">
      <c r="A569" s="1">
        <v>557</v>
      </c>
      <c r="B569" s="1">
        <f t="shared" si="8"/>
        <v>0</v>
      </c>
      <c r="C569" s="7">
        <f>G$12/-PV(Table7[Monthly mortgage rate], (12*Table7[Amortization period (yrs)]),1 )</f>
        <v>4377.9977174134756</v>
      </c>
      <c r="D569" s="11">
        <f>IF(Table1[[#This Row],[Month]]&lt;=(12*Table7[mortgage term (yrs)]),Table7[Monthly mortgage rate],Table7[Monthly Exp Renewal Rate])</f>
        <v>4.9038466830562122E-3</v>
      </c>
      <c r="E569" s="21">
        <f>Table1[[#This Row],[Current mortgage rate]]*G568</f>
        <v>-18480.355172826021</v>
      </c>
      <c r="F569" s="5">
        <f>Table1[[#This Row],[Payment amount]]-Table1[[#This Row],[Interest paid]]</f>
        <v>22858.352890239497</v>
      </c>
      <c r="G569" s="20">
        <f>G568-Table1[[#This Row],[Principal repaid]]-Table1[[#This Row],[Annual paym]]</f>
        <v>-3791400.961834236</v>
      </c>
      <c r="H569" s="20">
        <f>H568-(Table1[[#This Row],[Payment amount]]-Table1[[#This Row],[Interest Paid W/O LSP]])</f>
        <v>-2330753.3229445703</v>
      </c>
      <c r="I569">
        <f>H568*Table1[[#This Row],[Current mortgage rate]]</f>
        <v>-11352.516919717913</v>
      </c>
      <c r="J569" s="25">
        <f>IF(Table1[[#This Row],[Month]]&gt;Table7[Amortization period (yrs)]*12,0,IF(Table1[[#This Row],[Month]]&lt;Table7[mortgage term (yrs)]*12,0,IF(Table1[[#This Row],[Month]]=Table7[mortgage term (yrs)]*12,-H$5,Table1[[#This Row],[Payment amount]]+B569)))</f>
        <v>0</v>
      </c>
      <c r="K569">
        <v>558</v>
      </c>
      <c r="L569">
        <f>Table7[Initial Monthly Deposit]*Table9[[#This Row],[Inflation Modifier]]</f>
        <v>994.64451576294812</v>
      </c>
      <c r="M569">
        <f xml:space="preserve"> (1+Table7[Inflation])^(QUOTIENT(Table9[[#This Row],[Month]]-1,12))</f>
        <v>2.4866112894073704</v>
      </c>
      <c r="N569">
        <f>N568*(1+Table7[Monthly SF Inter])+Table9[[#This Row],[Monthly Payment]]-O568*(1+Table7[Monthly SF Inter])</f>
        <v>67489.352472602084</v>
      </c>
      <c r="O569">
        <f>IF(MOD(Table9[[#This Row],[Month]],12)=0,(IF(Table9[[#This Row],[Current Balance]]&lt;Table9[[#This Row],[Max Lump Sum ]],Table9[[#This Row],[Current Balance]],Table9[[#This Row],[Max Lump Sum ]])),0)</f>
        <v>0</v>
      </c>
      <c r="P569" s="21">
        <f>Table7[Max annual lump sum repayment]*SUM(C570:C581)</f>
        <v>7880.3958913442566</v>
      </c>
      <c r="Q569" s="25">
        <f>Q568*(1+Table7[Monthly SF Inter])+Table9[[#This Row],[Inflation Modifier]]-R568*(1+Table7[Monthly SF Inter])</f>
        <v>15.074334757977262</v>
      </c>
      <c r="R569" s="25">
        <f>IF(MOD(Table9[[#This Row],[Month]],12)=0,Table9[[#This Row],[Q2 ACC FACTOR]],0)</f>
        <v>0</v>
      </c>
      <c r="S569" s="25">
        <f>S568*(1+D568)+Table9[[#This Row],[ACC FACTOR PAYMENTS]]</f>
        <v>3832.6865570680093</v>
      </c>
    </row>
    <row r="570" spans="1:19" x14ac:dyDescent="0.25">
      <c r="A570" s="1">
        <v>558</v>
      </c>
      <c r="B570" s="1">
        <f t="shared" si="8"/>
        <v>0</v>
      </c>
      <c r="C570" s="7">
        <f>G$12/-PV(Table7[Monthly mortgage rate], (12*Table7[Amortization period (yrs)]),1 )</f>
        <v>4377.9977174134756</v>
      </c>
      <c r="D570" s="11">
        <f>IF(Table1[[#This Row],[Month]]&lt;=(12*Table7[mortgage term (yrs)]),Table7[Monthly mortgage rate],Table7[Monthly Exp Renewal Rate])</f>
        <v>4.9038466830562122E-3</v>
      </c>
      <c r="E570" s="21">
        <f>Table1[[#This Row],[Current mortgage rate]]*G569</f>
        <v>-18592.449030826952</v>
      </c>
      <c r="F570" s="5">
        <f>Table1[[#This Row],[Payment amount]]-Table1[[#This Row],[Interest paid]]</f>
        <v>22970.446748240429</v>
      </c>
      <c r="G570" s="20">
        <f>G569-Table1[[#This Row],[Principal repaid]]-Table1[[#This Row],[Annual paym]]</f>
        <v>-3814371.4085824764</v>
      </c>
      <c r="H570" s="20">
        <f>H569-(Table1[[#This Row],[Payment amount]]-Table1[[#This Row],[Interest Paid W/O LSP]])</f>
        <v>-2346560.9776137276</v>
      </c>
      <c r="I570">
        <f>H569*Table1[[#This Row],[Current mortgage rate]]</f>
        <v>-11429.656951743977</v>
      </c>
      <c r="J570" s="25">
        <f>IF(Table1[[#This Row],[Month]]&gt;Table7[Amortization period (yrs)]*12,0,IF(Table1[[#This Row],[Month]]&lt;Table7[mortgage term (yrs)]*12,0,IF(Table1[[#This Row],[Month]]=Table7[mortgage term (yrs)]*12,-H$5,Table1[[#This Row],[Payment amount]]+B570)))</f>
        <v>0</v>
      </c>
      <c r="K570">
        <v>559</v>
      </c>
      <c r="L570">
        <f>Table7[Initial Monthly Deposit]*Table9[[#This Row],[Inflation Modifier]]</f>
        <v>994.64451576294812</v>
      </c>
      <c r="M570">
        <f xml:space="preserve"> (1+Table7[Inflation])^(QUOTIENT(Table9[[#This Row],[Month]]-1,12))</f>
        <v>2.4866112894073704</v>
      </c>
      <c r="N570">
        <f>N569*(1+Table7[Monthly SF Inter])+Table9[[#This Row],[Monthly Payment]]-O569*(1+Table7[Monthly SF Inter])</f>
        <v>68762.317372759368</v>
      </c>
      <c r="O570">
        <f>IF(MOD(Table9[[#This Row],[Month]],12)=0,(IF(Table9[[#This Row],[Current Balance]]&lt;Table9[[#This Row],[Max Lump Sum ]],Table9[[#This Row],[Current Balance]],Table9[[#This Row],[Max Lump Sum ]])),0)</f>
        <v>0</v>
      </c>
      <c r="P570" s="21">
        <f>Table7[Max annual lump sum repayment]*SUM(C571:C582)</f>
        <v>7880.3958913442566</v>
      </c>
      <c r="Q570" s="25">
        <f>Q569*(1+Table7[Monthly SF Inter])+Table9[[#This Row],[Inflation Modifier]]-R569*(1+Table7[Monthly SF Inter])</f>
        <v>17.623111329619814</v>
      </c>
      <c r="R570" s="25">
        <f>IF(MOD(Table9[[#This Row],[Month]],12)=0,Table9[[#This Row],[Q2 ACC FACTOR]],0)</f>
        <v>0</v>
      </c>
      <c r="S570" s="25">
        <f>S569*(1+D569)+Table9[[#This Row],[ACC FACTOR PAYMENTS]]</f>
        <v>3851.4814643280815</v>
      </c>
    </row>
    <row r="571" spans="1:19" x14ac:dyDescent="0.25">
      <c r="A571" s="1">
        <v>559</v>
      </c>
      <c r="B571" s="1">
        <f t="shared" si="8"/>
        <v>0</v>
      </c>
      <c r="C571" s="7">
        <f>G$12/-PV(Table7[Monthly mortgage rate], (12*Table7[Amortization period (yrs)]),1 )</f>
        <v>4377.9977174134756</v>
      </c>
      <c r="D571" s="11">
        <f>IF(Table1[[#This Row],[Month]]&lt;=(12*Table7[mortgage term (yrs)]),Table7[Monthly mortgage rate],Table7[Monthly Exp Renewal Rate])</f>
        <v>4.9038466830562122E-3</v>
      </c>
      <c r="E571" s="21">
        <f>Table1[[#This Row],[Current mortgage rate]]*G570</f>
        <v>-18705.092579921627</v>
      </c>
      <c r="F571" s="5">
        <f>Table1[[#This Row],[Payment amount]]-Table1[[#This Row],[Interest paid]]</f>
        <v>23083.090297335104</v>
      </c>
      <c r="G571" s="20">
        <f>G570-Table1[[#This Row],[Principal repaid]]-Table1[[#This Row],[Annual paym]]</f>
        <v>-3837454.4988798117</v>
      </c>
      <c r="H571" s="20">
        <f>H570-(Table1[[#This Row],[Payment amount]]-Table1[[#This Row],[Interest Paid W/O LSP]])</f>
        <v>-2362446.1505978014</v>
      </c>
      <c r="I571">
        <f>H570*Table1[[#This Row],[Current mortgage rate]]</f>
        <v>-11507.175266660221</v>
      </c>
      <c r="J571" s="25">
        <f>IF(Table1[[#This Row],[Month]]&gt;Table7[Amortization period (yrs)]*12,0,IF(Table1[[#This Row],[Month]]&lt;Table7[mortgage term (yrs)]*12,0,IF(Table1[[#This Row],[Month]]=Table7[mortgage term (yrs)]*12,-H$5,Table1[[#This Row],[Payment amount]]+B571)))</f>
        <v>0</v>
      </c>
      <c r="K571">
        <v>560</v>
      </c>
      <c r="L571">
        <f>Table7[Initial Monthly Deposit]*Table9[[#This Row],[Inflation Modifier]]</f>
        <v>994.64451576294812</v>
      </c>
      <c r="M571">
        <f xml:space="preserve"> (1+Table7[Inflation])^(QUOTIENT(Table9[[#This Row],[Month]]-1,12))</f>
        <v>2.4866112894073704</v>
      </c>
      <c r="N571">
        <f>N570*(1+Table7[Monthly SF Inter])+Table9[[#This Row],[Monthly Payment]]-O570*(1+Table7[Monthly SF Inter])</f>
        <v>70040.531872555002</v>
      </c>
      <c r="O571">
        <f>IF(MOD(Table9[[#This Row],[Month]],12)=0,(IF(Table9[[#This Row],[Current Balance]]&lt;Table9[[#This Row],[Max Lump Sum ]],Table9[[#This Row],[Current Balance]],Table9[[#This Row],[Max Lump Sum ]])),0)</f>
        <v>0</v>
      </c>
      <c r="P571" s="21">
        <f>Table7[Max annual lump sum repayment]*SUM(C572:C583)</f>
        <v>7880.3958913442566</v>
      </c>
      <c r="Q571" s="25">
        <f>Q570*(1+Table7[Monthly SF Inter])+Table9[[#This Row],[Inflation Modifier]]-R570*(1+Table7[Monthly SF Inter])</f>
        <v>20.182398840383364</v>
      </c>
      <c r="R571" s="25">
        <f>IF(MOD(Table9[[#This Row],[Month]],12)=0,Table9[[#This Row],[Q2 ACC FACTOR]],0)</f>
        <v>0</v>
      </c>
      <c r="S571" s="25">
        <f>S570*(1+D570)+Table9[[#This Row],[ACC FACTOR PAYMENTS]]</f>
        <v>3870.3685389317793</v>
      </c>
    </row>
    <row r="572" spans="1:19" x14ac:dyDescent="0.25">
      <c r="A572" s="1">
        <v>560</v>
      </c>
      <c r="B572" s="1">
        <f t="shared" si="8"/>
        <v>0</v>
      </c>
      <c r="C572" s="7">
        <f>G$12/-PV(Table7[Monthly mortgage rate], (12*Table7[Amortization period (yrs)]),1 )</f>
        <v>4377.9977174134756</v>
      </c>
      <c r="D572" s="11">
        <f>IF(Table1[[#This Row],[Month]]&lt;=(12*Table7[mortgage term (yrs)]),Table7[Monthly mortgage rate],Table7[Monthly Exp Renewal Rate])</f>
        <v>4.9038466830562122E-3</v>
      </c>
      <c r="E572" s="21">
        <f>Table1[[#This Row],[Current mortgage rate]]*G571</f>
        <v>-18818.288515710905</v>
      </c>
      <c r="F572" s="5">
        <f>Table1[[#This Row],[Payment amount]]-Table1[[#This Row],[Interest paid]]</f>
        <v>23196.286233124381</v>
      </c>
      <c r="G572" s="20">
        <f>G571-Table1[[#This Row],[Principal repaid]]-Table1[[#This Row],[Annual paym]]</f>
        <v>-3860650.785112936</v>
      </c>
      <c r="H572" s="20">
        <f>H571-(Table1[[#This Row],[Payment amount]]-Table1[[#This Row],[Interest Paid W/O LSP]])</f>
        <v>-2378409.222034723</v>
      </c>
      <c r="I572">
        <f>H571*Table1[[#This Row],[Current mortgage rate]]</f>
        <v>-11585.073719507945</v>
      </c>
      <c r="J572" s="25">
        <f>IF(Table1[[#This Row],[Month]]&gt;Table7[Amortization period (yrs)]*12,0,IF(Table1[[#This Row],[Month]]&lt;Table7[mortgage term (yrs)]*12,0,IF(Table1[[#This Row],[Month]]=Table7[mortgage term (yrs)]*12,-H$5,Table1[[#This Row],[Payment amount]]+B572)))</f>
        <v>0</v>
      </c>
      <c r="K572">
        <v>561</v>
      </c>
      <c r="L572">
        <f>Table7[Initial Monthly Deposit]*Table9[[#This Row],[Inflation Modifier]]</f>
        <v>994.64451576294812</v>
      </c>
      <c r="M572">
        <f xml:space="preserve"> (1+Table7[Inflation])^(QUOTIENT(Table9[[#This Row],[Month]]-1,12))</f>
        <v>2.4866112894073704</v>
      </c>
      <c r="N572">
        <f>N571*(1+Table7[Monthly SF Inter])+Table9[[#This Row],[Monthly Payment]]-O571*(1+Table7[Monthly SF Inter])</f>
        <v>71324.017620894112</v>
      </c>
      <c r="O572">
        <f>IF(MOD(Table9[[#This Row],[Month]],12)=0,(IF(Table9[[#This Row],[Current Balance]]&lt;Table9[[#This Row],[Max Lump Sum ]],Table9[[#This Row],[Current Balance]],Table9[[#This Row],[Max Lump Sum ]])),0)</f>
        <v>0</v>
      </c>
      <c r="P572" s="21">
        <f>Table7[Max annual lump sum repayment]*SUM(C573:C584)</f>
        <v>7880.3958913442566</v>
      </c>
      <c r="Q572" s="25">
        <f>Q571*(1+Table7[Monthly SF Inter])+Table9[[#This Row],[Inflation Modifier]]-R571*(1+Table7[Monthly SF Inter])</f>
        <v>22.752240636492299</v>
      </c>
      <c r="R572" s="25">
        <f>IF(MOD(Table9[[#This Row],[Month]],12)=0,Table9[[#This Row],[Q2 ACC FACTOR]],0)</f>
        <v>0</v>
      </c>
      <c r="S572" s="25">
        <f>S571*(1+D571)+Table9[[#This Row],[ACC FACTOR PAYMENTS]]</f>
        <v>3889.3482328536252</v>
      </c>
    </row>
    <row r="573" spans="1:19" x14ac:dyDescent="0.25">
      <c r="A573" s="1">
        <v>561</v>
      </c>
      <c r="B573" s="1">
        <f t="shared" si="8"/>
        <v>0</v>
      </c>
      <c r="C573" s="7">
        <f>G$12/-PV(Table7[Monthly mortgage rate], (12*Table7[Amortization period (yrs)]),1 )</f>
        <v>4377.9977174134756</v>
      </c>
      <c r="D573" s="11">
        <f>IF(Table1[[#This Row],[Month]]&lt;=(12*Table7[mortgage term (yrs)]),Table7[Monthly mortgage rate],Table7[Monthly Exp Renewal Rate])</f>
        <v>4.9038466830562122E-3</v>
      </c>
      <c r="E573" s="21">
        <f>Table1[[#This Row],[Current mortgage rate]]*G572</f>
        <v>-18932.039547014432</v>
      </c>
      <c r="F573" s="5">
        <f>Table1[[#This Row],[Payment amount]]-Table1[[#This Row],[Interest paid]]</f>
        <v>23310.037264427909</v>
      </c>
      <c r="G573" s="20">
        <f>G572-Table1[[#This Row],[Principal repaid]]-Table1[[#This Row],[Annual paym]]</f>
        <v>-3883960.8223773642</v>
      </c>
      <c r="H573" s="20">
        <f>H572-(Table1[[#This Row],[Payment amount]]-Table1[[#This Row],[Interest Paid W/O LSP]])</f>
        <v>-2394450.573926562</v>
      </c>
      <c r="I573">
        <f>H572*Table1[[#This Row],[Current mortgage rate]]</f>
        <v>-11663.354174425283</v>
      </c>
      <c r="J573" s="25">
        <f>IF(Table1[[#This Row],[Month]]&gt;Table7[Amortization period (yrs)]*12,0,IF(Table1[[#This Row],[Month]]&lt;Table7[mortgage term (yrs)]*12,0,IF(Table1[[#This Row],[Month]]=Table7[mortgage term (yrs)]*12,-H$5,Table1[[#This Row],[Payment amount]]+B573)))</f>
        <v>0</v>
      </c>
      <c r="K573">
        <v>562</v>
      </c>
      <c r="L573">
        <f>Table7[Initial Monthly Deposit]*Table9[[#This Row],[Inflation Modifier]]</f>
        <v>994.64451576294812</v>
      </c>
      <c r="M573">
        <f xml:space="preserve"> (1+Table7[Inflation])^(QUOTIENT(Table9[[#This Row],[Month]]-1,12))</f>
        <v>2.4866112894073704</v>
      </c>
      <c r="N573">
        <f>N572*(1+Table7[Monthly SF Inter])+Table9[[#This Row],[Monthly Payment]]-O572*(1+Table7[Monthly SF Inter])</f>
        <v>72612.79635596009</v>
      </c>
      <c r="O573">
        <f>IF(MOD(Table9[[#This Row],[Month]],12)=0,(IF(Table9[[#This Row],[Current Balance]]&lt;Table9[[#This Row],[Max Lump Sum ]],Table9[[#This Row],[Current Balance]],Table9[[#This Row],[Max Lump Sum ]])),0)</f>
        <v>0</v>
      </c>
      <c r="P573" s="21">
        <f>Table7[Max annual lump sum repayment]*SUM(C574:C585)</f>
        <v>7880.3958913442566</v>
      </c>
      <c r="Q573" s="25">
        <f>Q572*(1+Table7[Monthly SF Inter])+Table9[[#This Row],[Inflation Modifier]]-R572*(1+Table7[Monthly SF Inter])</f>
        <v>25.332680242927182</v>
      </c>
      <c r="R573" s="25">
        <f>IF(MOD(Table9[[#This Row],[Month]],12)=0,Table9[[#This Row],[Q2 ACC FACTOR]],0)</f>
        <v>0</v>
      </c>
      <c r="S573" s="25">
        <f>S572*(1+D572)+Table9[[#This Row],[ACC FACTOR PAYMENTS]]</f>
        <v>3908.4210002845548</v>
      </c>
    </row>
    <row r="574" spans="1:19" x14ac:dyDescent="0.25">
      <c r="A574" s="1">
        <v>562</v>
      </c>
      <c r="B574" s="1">
        <f t="shared" si="8"/>
        <v>0</v>
      </c>
      <c r="C574" s="7">
        <f>G$12/-PV(Table7[Monthly mortgage rate], (12*Table7[Amortization period (yrs)]),1 )</f>
        <v>4377.9977174134756</v>
      </c>
      <c r="D574" s="11">
        <f>IF(Table1[[#This Row],[Month]]&lt;=(12*Table7[mortgage term (yrs)]),Table7[Monthly mortgage rate],Table7[Monthly Exp Renewal Rate])</f>
        <v>4.9038466830562122E-3</v>
      </c>
      <c r="E574" s="21">
        <f>Table1[[#This Row],[Current mortgage rate]]*G573</f>
        <v>-19046.348395935514</v>
      </c>
      <c r="F574" s="5">
        <f>Table1[[#This Row],[Payment amount]]-Table1[[#This Row],[Interest paid]]</f>
        <v>23424.346113348991</v>
      </c>
      <c r="G574" s="20">
        <f>G573-Table1[[#This Row],[Principal repaid]]-Table1[[#This Row],[Annual paym]]</f>
        <v>-3907385.168490713</v>
      </c>
      <c r="H574" s="20">
        <f>H573-(Table1[[#This Row],[Payment amount]]-Table1[[#This Row],[Interest Paid W/O LSP]])</f>
        <v>-2410570.5901486673</v>
      </c>
      <c r="I574">
        <f>H573*Table1[[#This Row],[Current mortgage rate]]</f>
        <v>-11742.018504691814</v>
      </c>
      <c r="J574" s="25">
        <f>IF(Table1[[#This Row],[Month]]&gt;Table7[Amortization period (yrs)]*12,0,IF(Table1[[#This Row],[Month]]&lt;Table7[mortgage term (yrs)]*12,0,IF(Table1[[#This Row],[Month]]=Table7[mortgage term (yrs)]*12,-H$5,Table1[[#This Row],[Payment amount]]+B574)))</f>
        <v>0</v>
      </c>
      <c r="K574">
        <v>563</v>
      </c>
      <c r="L574">
        <f>Table7[Initial Monthly Deposit]*Table9[[#This Row],[Inflation Modifier]]</f>
        <v>994.64451576294812</v>
      </c>
      <c r="M574">
        <f xml:space="preserve"> (1+Table7[Inflation])^(QUOTIENT(Table9[[#This Row],[Month]]-1,12))</f>
        <v>2.4866112894073704</v>
      </c>
      <c r="N574">
        <f>N573*(1+Table7[Monthly SF Inter])+Table9[[#This Row],[Monthly Payment]]-O573*(1+Table7[Monthly SF Inter])</f>
        <v>73906.88990558275</v>
      </c>
      <c r="O574">
        <f>IF(MOD(Table9[[#This Row],[Month]],12)=0,(IF(Table9[[#This Row],[Current Balance]]&lt;Table9[[#This Row],[Max Lump Sum ]],Table9[[#This Row],[Current Balance]],Table9[[#This Row],[Max Lump Sum ]])),0)</f>
        <v>0</v>
      </c>
      <c r="P574" s="21">
        <f>Table7[Max annual lump sum repayment]*SUM(C575:C586)</f>
        <v>7880.3958913442566</v>
      </c>
      <c r="Q574" s="25">
        <f>Q573*(1+Table7[Monthly SF Inter])+Table9[[#This Row],[Inflation Modifier]]-R573*(1+Table7[Monthly SF Inter])</f>
        <v>27.923761364161916</v>
      </c>
      <c r="R574" s="25">
        <f>IF(MOD(Table9[[#This Row],[Month]],12)=0,Table9[[#This Row],[Q2 ACC FACTOR]],0)</f>
        <v>0</v>
      </c>
      <c r="S574" s="25">
        <f>S573*(1+D573)+Table9[[#This Row],[ACC FACTOR PAYMENTS]]</f>
        <v>3927.5872976427872</v>
      </c>
    </row>
    <row r="575" spans="1:19" x14ac:dyDescent="0.25">
      <c r="A575" s="1">
        <v>563</v>
      </c>
      <c r="B575" s="1">
        <f t="shared" si="8"/>
        <v>0</v>
      </c>
      <c r="C575" s="7">
        <f>G$12/-PV(Table7[Monthly mortgage rate], (12*Table7[Amortization period (yrs)]),1 )</f>
        <v>4377.9977174134756</v>
      </c>
      <c r="D575" s="11">
        <f>IF(Table1[[#This Row],[Month]]&lt;=(12*Table7[mortgage term (yrs)]),Table7[Monthly mortgage rate],Table7[Monthly Exp Renewal Rate])</f>
        <v>4.9038466830562122E-3</v>
      </c>
      <c r="E575" s="21">
        <f>Table1[[#This Row],[Current mortgage rate]]*G574</f>
        <v>-19161.217797926223</v>
      </c>
      <c r="F575" s="5">
        <f>Table1[[#This Row],[Payment amount]]-Table1[[#This Row],[Interest paid]]</f>
        <v>23539.2155153397</v>
      </c>
      <c r="G575" s="20">
        <f>G574-Table1[[#This Row],[Principal repaid]]-Table1[[#This Row],[Annual paym]]</f>
        <v>-3930924.3840060527</v>
      </c>
      <c r="H575" s="20">
        <f>H574-(Table1[[#This Row],[Payment amount]]-Table1[[#This Row],[Interest Paid W/O LSP]])</f>
        <v>-2426769.6564588542</v>
      </c>
      <c r="I575">
        <f>H574*Table1[[#This Row],[Current mortgage rate]]</f>
        <v>-11821.068592773398</v>
      </c>
      <c r="J575" s="25">
        <f>IF(Table1[[#This Row],[Month]]&gt;Table7[Amortization period (yrs)]*12,0,IF(Table1[[#This Row],[Month]]&lt;Table7[mortgage term (yrs)]*12,0,IF(Table1[[#This Row],[Month]]=Table7[mortgage term (yrs)]*12,-H$5,Table1[[#This Row],[Payment amount]]+B575)))</f>
        <v>0</v>
      </c>
      <c r="K575">
        <v>564</v>
      </c>
      <c r="L575">
        <f>Table7[Initial Monthly Deposit]*Table9[[#This Row],[Inflation Modifier]]</f>
        <v>994.64451576294812</v>
      </c>
      <c r="M575">
        <f xml:space="preserve"> (1+Table7[Inflation])^(QUOTIENT(Table9[[#This Row],[Month]]-1,12))</f>
        <v>2.4866112894073704</v>
      </c>
      <c r="N575">
        <f>N574*(1+Table7[Monthly SF Inter])+Table9[[#This Row],[Monthly Payment]]-O574*(1+Table7[Monthly SF Inter])</f>
        <v>75206.320187608042</v>
      </c>
      <c r="O575">
        <f>IF(MOD(Table9[[#This Row],[Month]],12)=0,(IF(Table9[[#This Row],[Current Balance]]&lt;Table9[[#This Row],[Max Lump Sum ]],Table9[[#This Row],[Current Balance]],Table9[[#This Row],[Max Lump Sum ]])),0)</f>
        <v>7880.3958913442566</v>
      </c>
      <c r="P575" s="21">
        <f>Table7[Max annual lump sum repayment]*SUM(C576:C587)</f>
        <v>7880.3958913442566</v>
      </c>
      <c r="Q575" s="25">
        <f>Q574*(1+Table7[Monthly SF Inter])+Table9[[#This Row],[Inflation Modifier]]-R574*(1+Table7[Monthly SF Inter])</f>
        <v>30.525527884903951</v>
      </c>
      <c r="R575" s="25">
        <f>IF(MOD(Table9[[#This Row],[Month]],12)=0,Table9[[#This Row],[Q2 ACC FACTOR]],0)</f>
        <v>30.525527884903951</v>
      </c>
      <c r="S575" s="25">
        <f>S574*(1+D574)+Table9[[#This Row],[ACC FACTOR PAYMENTS]]</f>
        <v>3977.3731114696507</v>
      </c>
    </row>
    <row r="576" spans="1:19" x14ac:dyDescent="0.25">
      <c r="A576" s="1">
        <v>564</v>
      </c>
      <c r="B576" s="1">
        <f t="shared" si="8"/>
        <v>7880.3958913442566</v>
      </c>
      <c r="C576" s="7">
        <f>G$12/-PV(Table7[Monthly mortgage rate], (12*Table7[Amortization period (yrs)]),1 )</f>
        <v>4377.9977174134756</v>
      </c>
      <c r="D576" s="11">
        <f>IF(Table1[[#This Row],[Month]]&lt;=(12*Table7[mortgage term (yrs)]),Table7[Monthly mortgage rate],Table7[Monthly Exp Renewal Rate])</f>
        <v>4.9038466830562122E-3</v>
      </c>
      <c r="E576" s="21">
        <f>Table1[[#This Row],[Current mortgage rate]]*G575</f>
        <v>-19276.650501852866</v>
      </c>
      <c r="F576" s="5">
        <f>Table1[[#This Row],[Payment amount]]-Table1[[#This Row],[Interest paid]]</f>
        <v>23654.648219266342</v>
      </c>
      <c r="G576" s="20">
        <f>G575-Table1[[#This Row],[Principal repaid]]-Table1[[#This Row],[Annual paym]]</f>
        <v>-3962459.4281166634</v>
      </c>
      <c r="H576" s="20">
        <f>H575-(Table1[[#This Row],[Payment amount]]-Table1[[#This Row],[Interest Paid W/O LSP]])</f>
        <v>-2443048.160506635</v>
      </c>
      <c r="I576">
        <f>H575*Table1[[#This Row],[Current mortgage rate]]</f>
        <v>-11900.506330367216</v>
      </c>
      <c r="J576" s="25">
        <f>IF(Table1[[#This Row],[Month]]&gt;Table7[Amortization period (yrs)]*12,0,IF(Table1[[#This Row],[Month]]&lt;Table7[mortgage term (yrs)]*12,0,IF(Table1[[#This Row],[Month]]=Table7[mortgage term (yrs)]*12,-H$5,Table1[[#This Row],[Payment amount]]+B576)))</f>
        <v>0</v>
      </c>
      <c r="K576">
        <v>565</v>
      </c>
      <c r="L576">
        <f>Table7[Initial Monthly Deposit]*Table9[[#This Row],[Inflation Modifier]]</f>
        <v>1014.5374060782068</v>
      </c>
      <c r="M576">
        <f xml:space="preserve"> (1+Table7[Inflation])^(QUOTIENT(Table9[[#This Row],[Month]]-1,12))</f>
        <v>2.5363435151955169</v>
      </c>
      <c r="N576">
        <f>N575*(1+Table7[Monthly SF Inter])+Table9[[#This Row],[Monthly Payment]]-O575*(1+Table7[Monthly SF Inter])</f>
        <v>68618.108122752485</v>
      </c>
      <c r="O576">
        <f>IF(MOD(Table9[[#This Row],[Month]],12)=0,(IF(Table9[[#This Row],[Current Balance]]&lt;Table9[[#This Row],[Max Lump Sum ]],Table9[[#This Row],[Current Balance]],Table9[[#This Row],[Max Lump Sum ]])),0)</f>
        <v>0</v>
      </c>
      <c r="P576" s="21">
        <f>Table7[Max annual lump sum repayment]*SUM(C577:C588)</f>
        <v>7880.3958913442566</v>
      </c>
      <c r="Q576" s="25">
        <f>Q575*(1+Table7[Monthly SF Inter])+Table9[[#This Row],[Inflation Modifier]]-R575*(1+Table7[Monthly SF Inter])</f>
        <v>2.5363435151955152</v>
      </c>
      <c r="R576" s="25">
        <f>IF(MOD(Table9[[#This Row],[Month]],12)=0,Table9[[#This Row],[Q2 ACC FACTOR]],0)</f>
        <v>0</v>
      </c>
      <c r="S576" s="25">
        <f>S575*(1+D575)+Table9[[#This Row],[ACC FACTOR PAYMENTS]]</f>
        <v>3996.8775394096083</v>
      </c>
    </row>
    <row r="577" spans="1:19" x14ac:dyDescent="0.25">
      <c r="A577" s="1">
        <v>565</v>
      </c>
      <c r="B577" s="1">
        <f t="shared" si="8"/>
        <v>0</v>
      </c>
      <c r="C577" s="7">
        <f>G$12/-PV(Table7[Monthly mortgage rate], (12*Table7[Amortization period (yrs)]),1 )</f>
        <v>4377.9977174134756</v>
      </c>
      <c r="D577" s="11">
        <f>IF(Table1[[#This Row],[Month]]&lt;=(12*Table7[mortgage term (yrs)]),Table7[Monthly mortgage rate],Table7[Monthly Exp Renewal Rate])</f>
        <v>4.9038466830562122E-3</v>
      </c>
      <c r="E577" s="21">
        <f>Table1[[#This Row],[Current mortgage rate]]*G576</f>
        <v>-19431.293523314715</v>
      </c>
      <c r="F577" s="5">
        <f>Table1[[#This Row],[Payment amount]]-Table1[[#This Row],[Interest paid]]</f>
        <v>23809.291240728191</v>
      </c>
      <c r="G577" s="20">
        <f>G576-Table1[[#This Row],[Principal repaid]]-Table1[[#This Row],[Annual paym]]</f>
        <v>-3986268.7193573914</v>
      </c>
      <c r="H577" s="20">
        <f>H576-(Table1[[#This Row],[Payment amount]]-Table1[[#This Row],[Interest Paid W/O LSP]])</f>
        <v>-2459406.4918424953</v>
      </c>
      <c r="I577">
        <f>H576*Table1[[#This Row],[Current mortgage rate]]</f>
        <v>-11980.333618447043</v>
      </c>
      <c r="J577" s="25">
        <f>IF(Table1[[#This Row],[Month]]&gt;Table7[Amortization period (yrs)]*12,0,IF(Table1[[#This Row],[Month]]&lt;Table7[mortgage term (yrs)]*12,0,IF(Table1[[#This Row],[Month]]=Table7[mortgage term (yrs)]*12,-H$5,Table1[[#This Row],[Payment amount]]+B577)))</f>
        <v>0</v>
      </c>
      <c r="K577">
        <v>566</v>
      </c>
      <c r="L577">
        <f>Table7[Initial Monthly Deposit]*Table9[[#This Row],[Inflation Modifier]]</f>
        <v>1014.5374060782068</v>
      </c>
      <c r="M577">
        <f xml:space="preserve"> (1+Table7[Inflation])^(QUOTIENT(Table9[[#This Row],[Month]]-1,12))</f>
        <v>2.5363435151955169</v>
      </c>
      <c r="N577">
        <f>N576*(1+Table7[Monthly SF Inter])+Table9[[#This Row],[Monthly Payment]]-O576*(1+Table7[Monthly SF Inter])</f>
        <v>69915.62080610705</v>
      </c>
      <c r="O577">
        <f>IF(MOD(Table9[[#This Row],[Month]],12)=0,(IF(Table9[[#This Row],[Current Balance]]&lt;Table9[[#This Row],[Max Lump Sum ]],Table9[[#This Row],[Current Balance]],Table9[[#This Row],[Max Lump Sum ]])),0)</f>
        <v>0</v>
      </c>
      <c r="P577" s="21">
        <f>Table7[Max annual lump sum repayment]*SUM(C578:C589)</f>
        <v>7880.3958913442566</v>
      </c>
      <c r="Q577" s="25">
        <f>Q576*(1+Table7[Monthly SF Inter])+Table9[[#This Row],[Inflation Modifier]]-R576*(1+Table7[Monthly SF Inter])</f>
        <v>5.0831466966382646</v>
      </c>
      <c r="R577" s="25">
        <f>IF(MOD(Table9[[#This Row],[Month]],12)=0,Table9[[#This Row],[Q2 ACC FACTOR]],0)</f>
        <v>0</v>
      </c>
      <c r="S577" s="25">
        <f>S576*(1+D576)+Table9[[#This Row],[ACC FACTOR PAYMENTS]]</f>
        <v>4016.477614073824</v>
      </c>
    </row>
    <row r="578" spans="1:19" x14ac:dyDescent="0.25">
      <c r="A578" s="1">
        <v>566</v>
      </c>
      <c r="B578" s="1">
        <f t="shared" si="8"/>
        <v>0</v>
      </c>
      <c r="C578" s="7">
        <f>G$12/-PV(Table7[Monthly mortgage rate], (12*Table7[Amortization period (yrs)]),1 )</f>
        <v>4377.9977174134756</v>
      </c>
      <c r="D578" s="11">
        <f>IF(Table1[[#This Row],[Month]]&lt;=(12*Table7[mortgage term (yrs)]),Table7[Monthly mortgage rate],Table7[Monthly Exp Renewal Rate])</f>
        <v>4.9038466830562122E-3</v>
      </c>
      <c r="E578" s="21">
        <f>Table1[[#This Row],[Current mortgage rate]]*G577</f>
        <v>-19548.050637191478</v>
      </c>
      <c r="F578" s="5">
        <f>Table1[[#This Row],[Payment amount]]-Table1[[#This Row],[Interest paid]]</f>
        <v>23926.048354604955</v>
      </c>
      <c r="G578" s="20">
        <f>G577-Table1[[#This Row],[Principal repaid]]-Table1[[#This Row],[Annual paym]]</f>
        <v>-4010194.7677119961</v>
      </c>
      <c r="H578" s="20">
        <f>H577-(Table1[[#This Row],[Payment amount]]-Table1[[#This Row],[Interest Paid W/O LSP]])</f>
        <v>-2475845.0419272175</v>
      </c>
      <c r="I578">
        <f>H577*Table1[[#This Row],[Current mortgage rate]]</f>
        <v>-12060.552367308735</v>
      </c>
      <c r="J578" s="25">
        <f>IF(Table1[[#This Row],[Month]]&gt;Table7[Amortization period (yrs)]*12,0,IF(Table1[[#This Row],[Month]]&lt;Table7[mortgage term (yrs)]*12,0,IF(Table1[[#This Row],[Month]]=Table7[mortgage term (yrs)]*12,-H$5,Table1[[#This Row],[Payment amount]]+B578)))</f>
        <v>0</v>
      </c>
      <c r="K578">
        <v>567</v>
      </c>
      <c r="L578">
        <f>Table7[Initial Monthly Deposit]*Table9[[#This Row],[Inflation Modifier]]</f>
        <v>1014.5374060782068</v>
      </c>
      <c r="M578">
        <f xml:space="preserve"> (1+Table7[Inflation])^(QUOTIENT(Table9[[#This Row],[Month]]-1,12))</f>
        <v>2.5363435151955169</v>
      </c>
      <c r="N578">
        <f>N577*(1+Table7[Monthly SF Inter])+Table9[[#This Row],[Monthly Payment]]-O577*(1+Table7[Monthly SF Inter])</f>
        <v>71218.484322082717</v>
      </c>
      <c r="O578">
        <f>IF(MOD(Table9[[#This Row],[Month]],12)=0,(IF(Table9[[#This Row],[Current Balance]]&lt;Table9[[#This Row],[Max Lump Sum ]],Table9[[#This Row],[Current Balance]],Table9[[#This Row],[Max Lump Sum ]])),0)</f>
        <v>0</v>
      </c>
      <c r="P578" s="21">
        <f>Table7[Max annual lump sum repayment]*SUM(C579:C590)</f>
        <v>7880.3958913442566</v>
      </c>
      <c r="Q578" s="25">
        <f>Q577*(1+Table7[Monthly SF Inter])+Table9[[#This Row],[Inflation Modifier]]-R577*(1+Table7[Monthly SF Inter])</f>
        <v>7.6404526791076446</v>
      </c>
      <c r="R578" s="25">
        <f>IF(MOD(Table9[[#This Row],[Month]],12)=0,Table9[[#This Row],[Q2 ACC FACTOR]],0)</f>
        <v>0</v>
      </c>
      <c r="S578" s="25">
        <f>S577*(1+D577)+Table9[[#This Row],[ACC FACTOR PAYMENTS]]</f>
        <v>4036.1738044991694</v>
      </c>
    </row>
    <row r="579" spans="1:19" x14ac:dyDescent="0.25">
      <c r="A579" s="1">
        <v>567</v>
      </c>
      <c r="B579" s="1">
        <f t="shared" si="8"/>
        <v>0</v>
      </c>
      <c r="C579" s="7">
        <f>G$12/-PV(Table7[Monthly mortgage rate], (12*Table7[Amortization period (yrs)]),1 )</f>
        <v>4377.9977174134756</v>
      </c>
      <c r="D579" s="11">
        <f>IF(Table1[[#This Row],[Month]]&lt;=(12*Table7[mortgage term (yrs)]),Table7[Monthly mortgage rate],Table7[Monthly Exp Renewal Rate])</f>
        <v>4.9038466830562122E-3</v>
      </c>
      <c r="E579" s="21">
        <f>Table1[[#This Row],[Current mortgage rate]]*G578</f>
        <v>-19665.38031005385</v>
      </c>
      <c r="F579" s="5">
        <f>Table1[[#This Row],[Payment amount]]-Table1[[#This Row],[Interest paid]]</f>
        <v>24043.378027467326</v>
      </c>
      <c r="G579" s="20">
        <f>G578-Table1[[#This Row],[Principal repaid]]-Table1[[#This Row],[Annual paym]]</f>
        <v>-4034238.1457394636</v>
      </c>
      <c r="H579" s="20">
        <f>H578-(Table1[[#This Row],[Payment amount]]-Table1[[#This Row],[Interest Paid W/O LSP]])</f>
        <v>-2492364.2041412471</v>
      </c>
      <c r="I579">
        <f>H578*Table1[[#This Row],[Current mortgage rate]]</f>
        <v>-12141.164496615955</v>
      </c>
      <c r="J579" s="25">
        <f>IF(Table1[[#This Row],[Month]]&gt;Table7[Amortization period (yrs)]*12,0,IF(Table1[[#This Row],[Month]]&lt;Table7[mortgage term (yrs)]*12,0,IF(Table1[[#This Row],[Month]]=Table7[mortgage term (yrs)]*12,-H$5,Table1[[#This Row],[Payment amount]]+B579)))</f>
        <v>0</v>
      </c>
      <c r="K579">
        <v>568</v>
      </c>
      <c r="L579">
        <f>Table7[Initial Monthly Deposit]*Table9[[#This Row],[Inflation Modifier]]</f>
        <v>1014.5374060782068</v>
      </c>
      <c r="M579">
        <f xml:space="preserve"> (1+Table7[Inflation])^(QUOTIENT(Table9[[#This Row],[Month]]-1,12))</f>
        <v>2.5363435151955169</v>
      </c>
      <c r="N579">
        <f>N578*(1+Table7[Monthly SF Inter])+Table9[[#This Row],[Monthly Payment]]-O578*(1+Table7[Monthly SF Inter])</f>
        <v>72526.720737060896</v>
      </c>
      <c r="O579">
        <f>IF(MOD(Table9[[#This Row],[Month]],12)=0,(IF(Table9[[#This Row],[Current Balance]]&lt;Table9[[#This Row],[Max Lump Sum ]],Table9[[#This Row],[Current Balance]],Table9[[#This Row],[Max Lump Sum ]])),0)</f>
        <v>0</v>
      </c>
      <c r="P579" s="21">
        <f>Table7[Max annual lump sum repayment]*SUM(C580:C591)</f>
        <v>7880.3958913442566</v>
      </c>
      <c r="Q579" s="25">
        <f>Q578*(1+Table7[Monthly SF Inter])+Table9[[#This Row],[Inflation Modifier]]-R578*(1+Table7[Monthly SF Inter])</f>
        <v>10.208304775267237</v>
      </c>
      <c r="R579" s="25">
        <f>IF(MOD(Table9[[#This Row],[Month]],12)=0,Table9[[#This Row],[Q2 ACC FACTOR]],0)</f>
        <v>0</v>
      </c>
      <c r="S579" s="25">
        <f>S578*(1+D578)+Table9[[#This Row],[ACC FACTOR PAYMENTS]]</f>
        <v>4055.966582022601</v>
      </c>
    </row>
    <row r="580" spans="1:19" x14ac:dyDescent="0.25">
      <c r="A580" s="1">
        <v>568</v>
      </c>
      <c r="B580" s="1">
        <f t="shared" si="8"/>
        <v>0</v>
      </c>
      <c r="C580" s="7">
        <f>G$12/-PV(Table7[Monthly mortgage rate], (12*Table7[Amortization period (yrs)]),1 )</f>
        <v>4377.9977174134756</v>
      </c>
      <c r="D580" s="11">
        <f>IF(Table1[[#This Row],[Month]]&lt;=(12*Table7[mortgage term (yrs)]),Table7[Monthly mortgage rate],Table7[Monthly Exp Renewal Rate])</f>
        <v>4.9038466830562122E-3</v>
      </c>
      <c r="E580" s="21">
        <f>Table1[[#This Row],[Current mortgage rate]]*G579</f>
        <v>-19783.285349643313</v>
      </c>
      <c r="F580" s="5">
        <f>Table1[[#This Row],[Payment amount]]-Table1[[#This Row],[Interest paid]]</f>
        <v>24161.283067056789</v>
      </c>
      <c r="G580" s="20">
        <f>G579-Table1[[#This Row],[Principal repaid]]-Table1[[#This Row],[Annual paym]]</f>
        <v>-4058399.4288065205</v>
      </c>
      <c r="H580" s="20">
        <f>H579-(Table1[[#This Row],[Payment amount]]-Table1[[#This Row],[Interest Paid W/O LSP]])</f>
        <v>-2508964.3737941068</v>
      </c>
      <c r="I580">
        <f>H579*Table1[[#This Row],[Current mortgage rate]]</f>
        <v>-12222.171935446091</v>
      </c>
      <c r="J580" s="25">
        <f>IF(Table1[[#This Row],[Month]]&gt;Table7[Amortization period (yrs)]*12,0,IF(Table1[[#This Row],[Month]]&lt;Table7[mortgage term (yrs)]*12,0,IF(Table1[[#This Row],[Month]]=Table7[mortgage term (yrs)]*12,-H$5,Table1[[#This Row],[Payment amount]]+B580)))</f>
        <v>0</v>
      </c>
      <c r="K580">
        <v>569</v>
      </c>
      <c r="L580">
        <f>Table7[Initial Monthly Deposit]*Table9[[#This Row],[Inflation Modifier]]</f>
        <v>1014.5374060782068</v>
      </c>
      <c r="M580">
        <f xml:space="preserve"> (1+Table7[Inflation])^(QUOTIENT(Table9[[#This Row],[Month]]-1,12))</f>
        <v>2.5363435151955169</v>
      </c>
      <c r="N580">
        <f>N579*(1+Table7[Monthly SF Inter])+Table9[[#This Row],[Monthly Payment]]-O579*(1+Table7[Monthly SF Inter])</f>
        <v>73840.352208422861</v>
      </c>
      <c r="O580">
        <f>IF(MOD(Table9[[#This Row],[Month]],12)=0,(IF(Table9[[#This Row],[Current Balance]]&lt;Table9[[#This Row],[Max Lump Sum ]],Table9[[#This Row],[Current Balance]],Table9[[#This Row],[Max Lump Sum ]])),0)</f>
        <v>0</v>
      </c>
      <c r="P580" s="21">
        <f>Table7[Max annual lump sum repayment]*SUM(C581:C592)</f>
        <v>7880.3958913442566</v>
      </c>
      <c r="Q580" s="25">
        <f>Q579*(1+Table7[Monthly SF Inter])+Table9[[#This Row],[Inflation Modifier]]-R579*(1+Table7[Monthly SF Inter])</f>
        <v>12.786746476398385</v>
      </c>
      <c r="R580" s="25">
        <f>IF(MOD(Table9[[#This Row],[Month]],12)=0,Table9[[#This Row],[Q2 ACC FACTOR]],0)</f>
        <v>0</v>
      </c>
      <c r="S580" s="25">
        <f>S579*(1+D579)+Table9[[#This Row],[ACC FACTOR PAYMENTS]]</f>
        <v>4075.8564202924395</v>
      </c>
    </row>
    <row r="581" spans="1:19" x14ac:dyDescent="0.25">
      <c r="A581" s="1">
        <v>569</v>
      </c>
      <c r="B581" s="1">
        <f t="shared" si="8"/>
        <v>0</v>
      </c>
      <c r="C581" s="7">
        <f>G$12/-PV(Table7[Monthly mortgage rate], (12*Table7[Amortization period (yrs)]),1 )</f>
        <v>4377.9977174134756</v>
      </c>
      <c r="D581" s="11">
        <f>IF(Table1[[#This Row],[Month]]&lt;=(12*Table7[mortgage term (yrs)]),Table7[Monthly mortgage rate],Table7[Monthly Exp Renewal Rate])</f>
        <v>4.9038466830562122E-3</v>
      </c>
      <c r="E581" s="21">
        <f>Table1[[#This Row],[Current mortgage rate]]*G580</f>
        <v>-19901.76857747008</v>
      </c>
      <c r="F581" s="5">
        <f>Table1[[#This Row],[Payment amount]]-Table1[[#This Row],[Interest paid]]</f>
        <v>24279.766294883557</v>
      </c>
      <c r="G581" s="20">
        <f>G580-Table1[[#This Row],[Principal repaid]]-Table1[[#This Row],[Annual paym]]</f>
        <v>-4082679.1951014041</v>
      </c>
      <c r="H581" s="20">
        <f>H580-(Table1[[#This Row],[Payment amount]]-Table1[[#This Row],[Interest Paid W/O LSP]])</f>
        <v>-2525645.9481338565</v>
      </c>
      <c r="I581">
        <f>H580*Table1[[#This Row],[Current mortgage rate]]</f>
        <v>-12303.576622336437</v>
      </c>
      <c r="J581" s="25">
        <f>IF(Table1[[#This Row],[Month]]&gt;Table7[Amortization period (yrs)]*12,0,IF(Table1[[#This Row],[Month]]&lt;Table7[mortgage term (yrs)]*12,0,IF(Table1[[#This Row],[Month]]=Table7[mortgage term (yrs)]*12,-H$5,Table1[[#This Row],[Payment amount]]+B581)))</f>
        <v>0</v>
      </c>
      <c r="K581">
        <v>570</v>
      </c>
      <c r="L581">
        <f>Table7[Initial Monthly Deposit]*Table9[[#This Row],[Inflation Modifier]]</f>
        <v>1014.5374060782068</v>
      </c>
      <c r="M581">
        <f xml:space="preserve"> (1+Table7[Inflation])^(QUOTIENT(Table9[[#This Row],[Month]]-1,12))</f>
        <v>2.5363435151955169</v>
      </c>
      <c r="N581">
        <f>N580*(1+Table7[Monthly SF Inter])+Table9[[#This Row],[Monthly Payment]]-O580*(1+Table7[Monthly SF Inter])</f>
        <v>75159.400984925072</v>
      </c>
      <c r="O581">
        <f>IF(MOD(Table9[[#This Row],[Month]],12)=0,(IF(Table9[[#This Row],[Current Balance]]&lt;Table9[[#This Row],[Max Lump Sum ]],Table9[[#This Row],[Current Balance]],Table9[[#This Row],[Max Lump Sum ]])),0)</f>
        <v>0</v>
      </c>
      <c r="P581" s="21">
        <f>Table7[Max annual lump sum repayment]*SUM(C582:C593)</f>
        <v>7880.3958913442566</v>
      </c>
      <c r="Q581" s="25">
        <f>Q580*(1+Table7[Monthly SF Inter])+Table9[[#This Row],[Inflation Modifier]]-R580*(1+Table7[Monthly SF Inter])</f>
        <v>15.375821453136799</v>
      </c>
      <c r="R581" s="25">
        <f>IF(MOD(Table9[[#This Row],[Month]],12)=0,Table9[[#This Row],[Q2 ACC FACTOR]],0)</f>
        <v>0</v>
      </c>
      <c r="S581" s="25">
        <f>S580*(1+D580)+Table9[[#This Row],[ACC FACTOR PAYMENTS]]</f>
        <v>4095.843795279704</v>
      </c>
    </row>
    <row r="582" spans="1:19" x14ac:dyDescent="0.25">
      <c r="A582" s="1">
        <v>570</v>
      </c>
      <c r="B582" s="1">
        <f t="shared" si="8"/>
        <v>0</v>
      </c>
      <c r="C582" s="7">
        <f>G$12/-PV(Table7[Monthly mortgage rate], (12*Table7[Amortization period (yrs)]),1 )</f>
        <v>4377.9977174134756</v>
      </c>
      <c r="D582" s="11">
        <f>IF(Table1[[#This Row],[Month]]&lt;=(12*Table7[mortgage term (yrs)]),Table7[Monthly mortgage rate],Table7[Monthly Exp Renewal Rate])</f>
        <v>4.9038466830562122E-3</v>
      </c>
      <c r="E582" s="21">
        <f>Table1[[#This Row],[Current mortgage rate]]*G581</f>
        <v>-20020.832828880626</v>
      </c>
      <c r="F582" s="5">
        <f>Table1[[#This Row],[Payment amount]]-Table1[[#This Row],[Interest paid]]</f>
        <v>24398.830546294103</v>
      </c>
      <c r="G582" s="20">
        <f>G581-Table1[[#This Row],[Principal repaid]]-Table1[[#This Row],[Annual paym]]</f>
        <v>-4107078.025647698</v>
      </c>
      <c r="H582" s="20">
        <f>H581-(Table1[[#This Row],[Payment amount]]-Table1[[#This Row],[Interest Paid W/O LSP]])</f>
        <v>-2542409.3263566005</v>
      </c>
      <c r="I582">
        <f>H581*Table1[[#This Row],[Current mortgage rate]]</f>
        <v>-12385.380505330575</v>
      </c>
      <c r="J582" s="25">
        <f>IF(Table1[[#This Row],[Month]]&gt;Table7[Amortization period (yrs)]*12,0,IF(Table1[[#This Row],[Month]]&lt;Table7[mortgage term (yrs)]*12,0,IF(Table1[[#This Row],[Month]]=Table7[mortgage term (yrs)]*12,-H$5,Table1[[#This Row],[Payment amount]]+B582)))</f>
        <v>0</v>
      </c>
      <c r="K582">
        <v>571</v>
      </c>
      <c r="L582">
        <f>Table7[Initial Monthly Deposit]*Table9[[#This Row],[Inflation Modifier]]</f>
        <v>1014.5374060782068</v>
      </c>
      <c r="M582">
        <f xml:space="preserve"> (1+Table7[Inflation])^(QUOTIENT(Table9[[#This Row],[Month]]-1,12))</f>
        <v>2.5363435151955169</v>
      </c>
      <c r="N582">
        <f>N581*(1+Table7[Monthly SF Inter])+Table9[[#This Row],[Monthly Payment]]-O581*(1+Table7[Monthly SF Inter])</f>
        <v>76483.889407075985</v>
      </c>
      <c r="O582">
        <f>IF(MOD(Table9[[#This Row],[Month]],12)=0,(IF(Table9[[#This Row],[Current Balance]]&lt;Table9[[#This Row],[Max Lump Sum ]],Table9[[#This Row],[Current Balance]],Table9[[#This Row],[Max Lump Sum ]])),0)</f>
        <v>0</v>
      </c>
      <c r="P582" s="21">
        <f>Table7[Max annual lump sum repayment]*SUM(C583:C594)</f>
        <v>7880.3958913442566</v>
      </c>
      <c r="Q582" s="25">
        <f>Q581*(1+Table7[Monthly SF Inter])+Table9[[#This Row],[Inflation Modifier]]-R581*(1+Table7[Monthly SF Inter])</f>
        <v>17.975573556212204</v>
      </c>
      <c r="R582" s="25">
        <f>IF(MOD(Table9[[#This Row],[Month]],12)=0,Table9[[#This Row],[Q2 ACC FACTOR]],0)</f>
        <v>0</v>
      </c>
      <c r="S582" s="25">
        <f>S581*(1+D581)+Table9[[#This Row],[ACC FACTOR PAYMENTS]]</f>
        <v>4115.929185289503</v>
      </c>
    </row>
    <row r="583" spans="1:19" x14ac:dyDescent="0.25">
      <c r="A583" s="1">
        <v>571</v>
      </c>
      <c r="B583" s="1">
        <f t="shared" si="8"/>
        <v>0</v>
      </c>
      <c r="C583" s="7">
        <f>G$12/-PV(Table7[Monthly mortgage rate], (12*Table7[Amortization period (yrs)]),1 )</f>
        <v>4377.9977174134756</v>
      </c>
      <c r="D583" s="11">
        <f>IF(Table1[[#This Row],[Month]]&lt;=(12*Table7[mortgage term (yrs)]),Table7[Monthly mortgage rate],Table7[Monthly Exp Renewal Rate])</f>
        <v>4.9038466830562122E-3</v>
      </c>
      <c r="E583" s="21">
        <f>Table1[[#This Row],[Current mortgage rate]]*G582</f>
        <v>-20140.48095312552</v>
      </c>
      <c r="F583" s="5">
        <f>Table1[[#This Row],[Payment amount]]-Table1[[#This Row],[Interest paid]]</f>
        <v>24518.478670538996</v>
      </c>
      <c r="G583" s="20">
        <f>G582-Table1[[#This Row],[Principal repaid]]-Table1[[#This Row],[Annual paym]]</f>
        <v>-4131596.5043182368</v>
      </c>
      <c r="H583" s="20">
        <f>H582-(Table1[[#This Row],[Payment amount]]-Table1[[#This Row],[Interest Paid W/O LSP]])</f>
        <v>-2559254.9096160391</v>
      </c>
      <c r="I583">
        <f>H582*Table1[[#This Row],[Current mortgage rate]]</f>
        <v>-12467.585542024994</v>
      </c>
      <c r="J583" s="25">
        <f>IF(Table1[[#This Row],[Month]]&gt;Table7[Amortization period (yrs)]*12,0,IF(Table1[[#This Row],[Month]]&lt;Table7[mortgage term (yrs)]*12,0,IF(Table1[[#This Row],[Month]]=Table7[mortgage term (yrs)]*12,-H$5,Table1[[#This Row],[Payment amount]]+B583)))</f>
        <v>0</v>
      </c>
      <c r="K583">
        <v>572</v>
      </c>
      <c r="L583">
        <f>Table7[Initial Monthly Deposit]*Table9[[#This Row],[Inflation Modifier]]</f>
        <v>1014.5374060782068</v>
      </c>
      <c r="M583">
        <f xml:space="preserve"> (1+Table7[Inflation])^(QUOTIENT(Table9[[#This Row],[Month]]-1,12))</f>
        <v>2.5363435151955169</v>
      </c>
      <c r="N583">
        <f>N582*(1+Table7[Monthly SF Inter])+Table9[[#This Row],[Monthly Payment]]-O582*(1+Table7[Monthly SF Inter])</f>
        <v>77813.839907514412</v>
      </c>
      <c r="O583">
        <f>IF(MOD(Table9[[#This Row],[Month]],12)=0,(IF(Table9[[#This Row],[Current Balance]]&lt;Table9[[#This Row],[Max Lump Sum ]],Table9[[#This Row],[Current Balance]],Table9[[#This Row],[Max Lump Sum ]])),0)</f>
        <v>0</v>
      </c>
      <c r="P583" s="21">
        <f>Table7[Max annual lump sum repayment]*SUM(C584:C595)</f>
        <v>7880.3958913442566</v>
      </c>
      <c r="Q583" s="25">
        <f>Q582*(1+Table7[Monthly SF Inter])+Table9[[#This Row],[Inflation Modifier]]-R582*(1+Table7[Monthly SF Inter])</f>
        <v>20.586046817191026</v>
      </c>
      <c r="R583" s="25">
        <f>IF(MOD(Table9[[#This Row],[Month]],12)=0,Table9[[#This Row],[Q2 ACC FACTOR]],0)</f>
        <v>0</v>
      </c>
      <c r="S583" s="25">
        <f>S582*(1+D582)+Table9[[#This Row],[ACC FACTOR PAYMENTS]]</f>
        <v>4136.1130709724794</v>
      </c>
    </row>
    <row r="584" spans="1:19" x14ac:dyDescent="0.25">
      <c r="A584" s="1">
        <v>572</v>
      </c>
      <c r="B584" s="1">
        <f t="shared" si="8"/>
        <v>0</v>
      </c>
      <c r="C584" s="7">
        <f>G$12/-PV(Table7[Monthly mortgage rate], (12*Table7[Amortization period (yrs)]),1 )</f>
        <v>4377.9977174134756</v>
      </c>
      <c r="D584" s="11">
        <f>IF(Table1[[#This Row],[Month]]&lt;=(12*Table7[mortgage term (yrs)]),Table7[Monthly mortgage rate],Table7[Monthly Exp Renewal Rate])</f>
        <v>4.9038466830562122E-3</v>
      </c>
      <c r="E584" s="21">
        <f>Table1[[#This Row],[Current mortgage rate]]*G583</f>
        <v>-20260.715813427629</v>
      </c>
      <c r="F584" s="5">
        <f>Table1[[#This Row],[Payment amount]]-Table1[[#This Row],[Interest paid]]</f>
        <v>24638.713530841105</v>
      </c>
      <c r="G584" s="20">
        <f>G583-Table1[[#This Row],[Principal repaid]]-Table1[[#This Row],[Annual paym]]</f>
        <v>-4156235.2178490781</v>
      </c>
      <c r="H584" s="20">
        <f>H583-(Table1[[#This Row],[Payment amount]]-Table1[[#This Row],[Interest Paid W/O LSP]])</f>
        <v>-2576183.1010330687</v>
      </c>
      <c r="I584">
        <f>H583*Table1[[#This Row],[Current mortgage rate]]</f>
        <v>-12550.19369961594</v>
      </c>
      <c r="J584" s="25">
        <f>IF(Table1[[#This Row],[Month]]&gt;Table7[Amortization period (yrs)]*12,0,IF(Table1[[#This Row],[Month]]&lt;Table7[mortgage term (yrs)]*12,0,IF(Table1[[#This Row],[Month]]=Table7[mortgage term (yrs)]*12,-H$5,Table1[[#This Row],[Payment amount]]+B584)))</f>
        <v>0</v>
      </c>
      <c r="K584">
        <v>573</v>
      </c>
      <c r="L584">
        <f>Table7[Initial Monthly Deposit]*Table9[[#This Row],[Inflation Modifier]]</f>
        <v>1014.5374060782068</v>
      </c>
      <c r="M584">
        <f xml:space="preserve"> (1+Table7[Inflation])^(QUOTIENT(Table9[[#This Row],[Month]]-1,12))</f>
        <v>2.5363435151955169</v>
      </c>
      <c r="N584">
        <f>N583*(1+Table7[Monthly SF Inter])+Table9[[#This Row],[Monthly Payment]]-O583*(1+Table7[Monthly SF Inter])</f>
        <v>79149.275011389473</v>
      </c>
      <c r="O584">
        <f>IF(MOD(Table9[[#This Row],[Month]],12)=0,(IF(Table9[[#This Row],[Current Balance]]&lt;Table9[[#This Row],[Max Lump Sum ]],Table9[[#This Row],[Current Balance]],Table9[[#This Row],[Max Lump Sum ]])),0)</f>
        <v>0</v>
      </c>
      <c r="P584" s="21">
        <f>Table7[Max annual lump sum repayment]*SUM(C585:C596)</f>
        <v>7880.3958913442566</v>
      </c>
      <c r="Q584" s="25">
        <f>Q583*(1+Table7[Monthly SF Inter])+Table9[[#This Row],[Inflation Modifier]]-R583*(1+Table7[Monthly SF Inter])</f>
        <v>23.207285449222141</v>
      </c>
      <c r="R584" s="25">
        <f>IF(MOD(Table9[[#This Row],[Month]],12)=0,Table9[[#This Row],[Q2 ACC FACTOR]],0)</f>
        <v>0</v>
      </c>
      <c r="S584" s="25">
        <f>S583*(1+D583)+Table9[[#This Row],[ACC FACTOR PAYMENTS]]</f>
        <v>4156.3959353363134</v>
      </c>
    </row>
    <row r="585" spans="1:19" x14ac:dyDescent="0.25">
      <c r="A585" s="1">
        <v>573</v>
      </c>
      <c r="B585" s="1">
        <f t="shared" si="8"/>
        <v>0</v>
      </c>
      <c r="C585" s="7">
        <f>G$12/-PV(Table7[Monthly mortgage rate], (12*Table7[Amortization period (yrs)]),1 )</f>
        <v>4377.9977174134756</v>
      </c>
      <c r="D585" s="11">
        <f>IF(Table1[[#This Row],[Month]]&lt;=(12*Table7[mortgage term (yrs)]),Table7[Monthly mortgage rate],Table7[Monthly Exp Renewal Rate])</f>
        <v>4.9038466830562122E-3</v>
      </c>
      <c r="E585" s="21">
        <f>Table1[[#This Row],[Current mortgage rate]]*G584</f>
        <v>-20381.540287050615</v>
      </c>
      <c r="F585" s="5">
        <f>Table1[[#This Row],[Payment amount]]-Table1[[#This Row],[Interest paid]]</f>
        <v>24759.538004464092</v>
      </c>
      <c r="G585" s="20">
        <f>G584-Table1[[#This Row],[Principal repaid]]-Table1[[#This Row],[Annual paym]]</f>
        <v>-4180994.7558535421</v>
      </c>
      <c r="H585" s="20">
        <f>H584-(Table1[[#This Row],[Payment amount]]-Table1[[#This Row],[Interest Paid W/O LSP]])</f>
        <v>-2593194.3057054286</v>
      </c>
      <c r="I585">
        <f>H584*Table1[[#This Row],[Current mortgage rate]]</f>
        <v>-12633.206954946481</v>
      </c>
      <c r="J585" s="25">
        <f>IF(Table1[[#This Row],[Month]]&gt;Table7[Amortization period (yrs)]*12,0,IF(Table1[[#This Row],[Month]]&lt;Table7[mortgage term (yrs)]*12,0,IF(Table1[[#This Row],[Month]]=Table7[mortgage term (yrs)]*12,-H$5,Table1[[#This Row],[Payment amount]]+B585)))</f>
        <v>0</v>
      </c>
      <c r="K585">
        <v>574</v>
      </c>
      <c r="L585">
        <f>Table7[Initial Monthly Deposit]*Table9[[#This Row],[Inflation Modifier]]</f>
        <v>1014.5374060782068</v>
      </c>
      <c r="M585">
        <f xml:space="preserve"> (1+Table7[Inflation])^(QUOTIENT(Table9[[#This Row],[Month]]-1,12))</f>
        <v>2.5363435151955169</v>
      </c>
      <c r="N585">
        <f>N584*(1+Table7[Monthly SF Inter])+Table9[[#This Row],[Monthly Payment]]-O584*(1+Table7[Monthly SF Inter])</f>
        <v>80490.217336742106</v>
      </c>
      <c r="O585">
        <f>IF(MOD(Table9[[#This Row],[Month]],12)=0,(IF(Table9[[#This Row],[Current Balance]]&lt;Table9[[#This Row],[Max Lump Sum ]],Table9[[#This Row],[Current Balance]],Table9[[#This Row],[Max Lump Sum ]])),0)</f>
        <v>0</v>
      </c>
      <c r="P585" s="21">
        <f>Table7[Max annual lump sum repayment]*SUM(C586:C597)</f>
        <v>7880.3958913442566</v>
      </c>
      <c r="Q585" s="25">
        <f>Q584*(1+Table7[Monthly SF Inter])+Table9[[#This Row],[Inflation Modifier]]-R584*(1+Table7[Monthly SF Inter])</f>
        <v>25.839333847785724</v>
      </c>
      <c r="R585" s="25">
        <f>IF(MOD(Table9[[#This Row],[Month]],12)=0,Table9[[#This Row],[Q2 ACC FACTOR]],0)</f>
        <v>0</v>
      </c>
      <c r="S585" s="25">
        <f>S584*(1+D584)+Table9[[#This Row],[ACC FACTOR PAYMENTS]]</f>
        <v>4176.7782637572809</v>
      </c>
    </row>
    <row r="586" spans="1:19" x14ac:dyDescent="0.25">
      <c r="A586" s="1">
        <v>574</v>
      </c>
      <c r="B586" s="1">
        <f t="shared" si="8"/>
        <v>0</v>
      </c>
      <c r="C586" s="7">
        <f>G$12/-PV(Table7[Monthly mortgage rate], (12*Table7[Amortization period (yrs)]),1 )</f>
        <v>4377.9977174134756</v>
      </c>
      <c r="D586" s="11">
        <f>IF(Table1[[#This Row],[Month]]&lt;=(12*Table7[mortgage term (yrs)]),Table7[Monthly mortgage rate],Table7[Monthly Exp Renewal Rate])</f>
        <v>4.9038466830562122E-3</v>
      </c>
      <c r="E586" s="21">
        <f>Table1[[#This Row],[Current mortgage rate]]*G585</f>
        <v>-20502.957265367811</v>
      </c>
      <c r="F586" s="5">
        <f>Table1[[#This Row],[Payment amount]]-Table1[[#This Row],[Interest paid]]</f>
        <v>24880.954982781288</v>
      </c>
      <c r="G586" s="20">
        <f>G585-Table1[[#This Row],[Principal repaid]]-Table1[[#This Row],[Annual paym]]</f>
        <v>-4205875.710836323</v>
      </c>
      <c r="H586" s="20">
        <f>H585-(Table1[[#This Row],[Payment amount]]-Table1[[#This Row],[Interest Paid W/O LSP]])</f>
        <v>-2610288.9307173961</v>
      </c>
      <c r="I586">
        <f>H585*Table1[[#This Row],[Current mortgage rate]]</f>
        <v>-12716.627294553824</v>
      </c>
      <c r="J586" s="25">
        <f>IF(Table1[[#This Row],[Month]]&gt;Table7[Amortization period (yrs)]*12,0,IF(Table1[[#This Row],[Month]]&lt;Table7[mortgage term (yrs)]*12,0,IF(Table1[[#This Row],[Month]]=Table7[mortgage term (yrs)]*12,-H$5,Table1[[#This Row],[Payment amount]]+B586)))</f>
        <v>0</v>
      </c>
      <c r="K586">
        <v>575</v>
      </c>
      <c r="L586">
        <f>Table7[Initial Monthly Deposit]*Table9[[#This Row],[Inflation Modifier]]</f>
        <v>1014.5374060782068</v>
      </c>
      <c r="M586">
        <f xml:space="preserve"> (1+Table7[Inflation])^(QUOTIENT(Table9[[#This Row],[Month]]-1,12))</f>
        <v>2.5363435151955169</v>
      </c>
      <c r="N586">
        <f>N585*(1+Table7[Monthly SF Inter])+Table9[[#This Row],[Monthly Payment]]-O585*(1+Table7[Monthly SF Inter])</f>
        <v>81836.689594888128</v>
      </c>
      <c r="O586">
        <f>IF(MOD(Table9[[#This Row],[Month]],12)=0,(IF(Table9[[#This Row],[Current Balance]]&lt;Table9[[#This Row],[Max Lump Sum ]],Table9[[#This Row],[Current Balance]],Table9[[#This Row],[Max Lump Sum ]])),0)</f>
        <v>0</v>
      </c>
      <c r="P586" s="21">
        <f>Table7[Max annual lump sum repayment]*SUM(C587:C598)</f>
        <v>7880.3958913442566</v>
      </c>
      <c r="Q586" s="25">
        <f>Q585*(1+Table7[Monthly SF Inter])+Table9[[#This Row],[Inflation Modifier]]-R585*(1+Table7[Monthly SF Inter])</f>
        <v>28.482236591445151</v>
      </c>
      <c r="R586" s="25">
        <f>IF(MOD(Table9[[#This Row],[Month]],12)=0,Table9[[#This Row],[Q2 ACC FACTOR]],0)</f>
        <v>0</v>
      </c>
      <c r="S586" s="25">
        <f>S585*(1+D585)+Table9[[#This Row],[ACC FACTOR PAYMENTS]]</f>
        <v>4197.260543991868</v>
      </c>
    </row>
    <row r="587" spans="1:19" x14ac:dyDescent="0.25">
      <c r="A587" s="1">
        <v>575</v>
      </c>
      <c r="B587" s="1">
        <f t="shared" si="8"/>
        <v>0</v>
      </c>
      <c r="C587" s="7">
        <f>G$12/-PV(Table7[Monthly mortgage rate], (12*Table7[Amortization period (yrs)]),1 )</f>
        <v>4377.9977174134756</v>
      </c>
      <c r="D587" s="11">
        <f>IF(Table1[[#This Row],[Month]]&lt;=(12*Table7[mortgage term (yrs)]),Table7[Monthly mortgage rate],Table7[Monthly Exp Renewal Rate])</f>
        <v>4.9038466830562122E-3</v>
      </c>
      <c r="E587" s="21">
        <f>Table1[[#This Row],[Current mortgage rate]]*G586</f>
        <v>-20624.969653931392</v>
      </c>
      <c r="F587" s="5">
        <f>Table1[[#This Row],[Payment amount]]-Table1[[#This Row],[Interest paid]]</f>
        <v>25002.967371344868</v>
      </c>
      <c r="G587" s="20">
        <f>G586-Table1[[#This Row],[Principal repaid]]-Table1[[#This Row],[Annual paym]]</f>
        <v>-4230878.6782076675</v>
      </c>
      <c r="H587" s="20">
        <f>H586-(Table1[[#This Row],[Payment amount]]-Table1[[#This Row],[Interest Paid W/O LSP]])</f>
        <v>-2627467.3851495264</v>
      </c>
      <c r="I587">
        <f>H586*Table1[[#This Row],[Current mortgage rate]]</f>
        <v>-12800.456714716849</v>
      </c>
      <c r="J587" s="25">
        <f>IF(Table1[[#This Row],[Month]]&gt;Table7[Amortization period (yrs)]*12,0,IF(Table1[[#This Row],[Month]]&lt;Table7[mortgage term (yrs)]*12,0,IF(Table1[[#This Row],[Month]]=Table7[mortgage term (yrs)]*12,-H$5,Table1[[#This Row],[Payment amount]]+B587)))</f>
        <v>0</v>
      </c>
      <c r="K587">
        <v>576</v>
      </c>
      <c r="L587">
        <f>Table7[Initial Monthly Deposit]*Table9[[#This Row],[Inflation Modifier]]</f>
        <v>1014.5374060782068</v>
      </c>
      <c r="M587">
        <f xml:space="preserve"> (1+Table7[Inflation])^(QUOTIENT(Table9[[#This Row],[Month]]-1,12))</f>
        <v>2.5363435151955169</v>
      </c>
      <c r="N587">
        <f>N586*(1+Table7[Monthly SF Inter])+Table9[[#This Row],[Monthly Payment]]-O586*(1+Table7[Monthly SF Inter])</f>
        <v>83188.714590802905</v>
      </c>
      <c r="O587">
        <f>IF(MOD(Table9[[#This Row],[Month]],12)=0,(IF(Table9[[#This Row],[Current Balance]]&lt;Table9[[#This Row],[Max Lump Sum ]],Table9[[#This Row],[Current Balance]],Table9[[#This Row],[Max Lump Sum ]])),0)</f>
        <v>7880.3958913442566</v>
      </c>
      <c r="P587" s="21">
        <f>Table7[Max annual lump sum repayment]*SUM(C588:C599)</f>
        <v>7880.3958913442566</v>
      </c>
      <c r="Q587" s="25">
        <f>Q586*(1+Table7[Monthly SF Inter])+Table9[[#This Row],[Inflation Modifier]]-R586*(1+Table7[Monthly SF Inter])</f>
        <v>31.136038442602029</v>
      </c>
      <c r="R587" s="25">
        <f>IF(MOD(Table9[[#This Row],[Month]],12)=0,Table9[[#This Row],[Q2 ACC FACTOR]],0)</f>
        <v>31.136038442602029</v>
      </c>
      <c r="S587" s="25">
        <f>S586*(1+D586)+Table9[[#This Row],[ACC FACTOR PAYMENTS]]</f>
        <v>4248.9793046310469</v>
      </c>
    </row>
    <row r="588" spans="1:19" x14ac:dyDescent="0.25">
      <c r="A588" s="1">
        <v>576</v>
      </c>
      <c r="B588" s="1">
        <f t="shared" si="8"/>
        <v>7880.3958913442566</v>
      </c>
      <c r="C588" s="7">
        <f>G$12/-PV(Table7[Monthly mortgage rate], (12*Table7[Amortization period (yrs)]),1 )</f>
        <v>4377.9977174134756</v>
      </c>
      <c r="D588" s="11">
        <f>IF(Table1[[#This Row],[Month]]&lt;=(12*Table7[mortgage term (yrs)]),Table7[Monthly mortgage rate],Table7[Monthly Exp Renewal Rate])</f>
        <v>4.9038466830562122E-3</v>
      </c>
      <c r="E588" s="21">
        <f>Table1[[#This Row],[Current mortgage rate]]*G587</f>
        <v>-20747.580372541921</v>
      </c>
      <c r="F588" s="5">
        <f>Table1[[#This Row],[Payment amount]]-Table1[[#This Row],[Interest paid]]</f>
        <v>25125.578089955397</v>
      </c>
      <c r="G588" s="20">
        <f>G587-Table1[[#This Row],[Principal repaid]]-Table1[[#This Row],[Annual paym]]</f>
        <v>-4263884.652188967</v>
      </c>
      <c r="H588" s="20">
        <f>H587-(Table1[[#This Row],[Payment amount]]-Table1[[#This Row],[Interest Paid W/O LSP]])</f>
        <v>-2644730.0800884436</v>
      </c>
      <c r="I588">
        <f>H587*Table1[[#This Row],[Current mortgage rate]]</f>
        <v>-12884.697221503884</v>
      </c>
      <c r="J588" s="25">
        <f>IF(Table1[[#This Row],[Month]]&gt;Table7[Amortization period (yrs)]*12,0,IF(Table1[[#This Row],[Month]]&lt;Table7[mortgage term (yrs)]*12,0,IF(Table1[[#This Row],[Month]]=Table7[mortgage term (yrs)]*12,-H$5,Table1[[#This Row],[Payment amount]]+B588)))</f>
        <v>0</v>
      </c>
      <c r="K588">
        <v>577</v>
      </c>
      <c r="L588">
        <f>Table7[Initial Monthly Deposit]*Table9[[#This Row],[Inflation Modifier]]</f>
        <v>1034.828154199771</v>
      </c>
      <c r="M588">
        <f xml:space="preserve"> (1+Table7[Inflation])^(QUOTIENT(Table9[[#This Row],[Month]]-1,12))</f>
        <v>2.5870703854994277</v>
      </c>
      <c r="N588">
        <f>N587*(1+Table7[Monthly SF Inter])+Table9[[#This Row],[Monthly Payment]]-O587*(1+Table7[Monthly SF Inter])</f>
        <v>76653.711993797129</v>
      </c>
      <c r="O588">
        <f>IF(MOD(Table9[[#This Row],[Month]],12)=0,(IF(Table9[[#This Row],[Current Balance]]&lt;Table9[[#This Row],[Max Lump Sum ]],Table9[[#This Row],[Current Balance]],Table9[[#This Row],[Max Lump Sum ]])),0)</f>
        <v>0</v>
      </c>
      <c r="P588" s="21">
        <f>Table7[Max annual lump sum repayment]*SUM(C589:C600)</f>
        <v>7880.3958913442566</v>
      </c>
      <c r="Q588" s="25">
        <f>Q587*(1+Table7[Monthly SF Inter])+Table9[[#This Row],[Inflation Modifier]]-R587*(1+Table7[Monthly SF Inter])</f>
        <v>2.5870703854994304</v>
      </c>
      <c r="R588" s="25">
        <f>IF(MOD(Table9[[#This Row],[Month]],12)=0,Table9[[#This Row],[Q2 ACC FACTOR]],0)</f>
        <v>0</v>
      </c>
      <c r="S588" s="25">
        <f>S587*(1+D587)+Table9[[#This Row],[ACC FACTOR PAYMENTS]]</f>
        <v>4269.8156477004368</v>
      </c>
    </row>
    <row r="589" spans="1:19" x14ac:dyDescent="0.25">
      <c r="A589" s="1">
        <v>577</v>
      </c>
      <c r="B589" s="1">
        <f t="shared" ref="B589:B652" si="9">O588</f>
        <v>0</v>
      </c>
      <c r="C589" s="7">
        <f>G$12/-PV(Table7[Monthly mortgage rate], (12*Table7[Amortization period (yrs)]),1 )</f>
        <v>4377.9977174134756</v>
      </c>
      <c r="D589" s="11">
        <f>IF(Table1[[#This Row],[Month]]&lt;=(12*Table7[mortgage term (yrs)]),Table7[Monthly mortgage rate],Table7[Monthly Exp Renewal Rate])</f>
        <v>4.9038466830562122E-3</v>
      </c>
      <c r="E589" s="21">
        <f>Table1[[#This Row],[Current mortgage rate]]*G588</f>
        <v>-20909.436608571155</v>
      </c>
      <c r="F589" s="5">
        <f>Table1[[#This Row],[Payment amount]]-Table1[[#This Row],[Interest paid]]</f>
        <v>25287.434325984632</v>
      </c>
      <c r="G589" s="20">
        <f>G588-Table1[[#This Row],[Principal repaid]]-Table1[[#This Row],[Annual paym]]</f>
        <v>-4289172.0865149517</v>
      </c>
      <c r="H589" s="20">
        <f>H588-(Table1[[#This Row],[Payment amount]]-Table1[[#This Row],[Interest Paid W/O LSP]])</f>
        <v>-2662077.4286366776</v>
      </c>
      <c r="I589">
        <f>H588*Table1[[#This Row],[Current mortgage rate]]</f>
        <v>-12969.350830820704</v>
      </c>
      <c r="J589" s="25">
        <f>IF(Table1[[#This Row],[Month]]&gt;Table7[Amortization period (yrs)]*12,0,IF(Table1[[#This Row],[Month]]&lt;Table7[mortgage term (yrs)]*12,0,IF(Table1[[#This Row],[Month]]=Table7[mortgage term (yrs)]*12,-H$5,Table1[[#This Row],[Payment amount]]+B589)))</f>
        <v>0</v>
      </c>
      <c r="K589">
        <v>578</v>
      </c>
      <c r="L589">
        <f>Table7[Initial Monthly Deposit]*Table9[[#This Row],[Inflation Modifier]]</f>
        <v>1034.828154199771</v>
      </c>
      <c r="M589">
        <f xml:space="preserve"> (1+Table7[Inflation])^(QUOTIENT(Table9[[#This Row],[Month]]-1,12))</f>
        <v>2.5870703854994277</v>
      </c>
      <c r="N589">
        <f>N588*(1+Table7[Monthly SF Inter])+Table9[[#This Row],[Monthly Payment]]-O588*(1+Table7[Monthly SF Inter])</f>
        <v>78004.653576348835</v>
      </c>
      <c r="O589">
        <f>IF(MOD(Table9[[#This Row],[Month]],12)=0,(IF(Table9[[#This Row],[Current Balance]]&lt;Table9[[#This Row],[Max Lump Sum ]],Table9[[#This Row],[Current Balance]],Table9[[#This Row],[Max Lump Sum ]])),0)</f>
        <v>0</v>
      </c>
      <c r="P589" s="21">
        <f>Table7[Max annual lump sum repayment]*SUM(C590:C601)</f>
        <v>7880.3958913442566</v>
      </c>
      <c r="Q589" s="25">
        <f>Q588*(1+Table7[Monthly SF Inter])+Table9[[#This Row],[Inflation Modifier]]-R588*(1+Table7[Monthly SF Inter])</f>
        <v>5.1848096305710358</v>
      </c>
      <c r="R589" s="25">
        <f>IF(MOD(Table9[[#This Row],[Month]],12)=0,Table9[[#This Row],[Q2 ACC FACTOR]],0)</f>
        <v>0</v>
      </c>
      <c r="S589" s="25">
        <f>S588*(1+D588)+Table9[[#This Row],[ACC FACTOR PAYMENTS]]</f>
        <v>4290.7541690016742</v>
      </c>
    </row>
    <row r="590" spans="1:19" x14ac:dyDescent="0.25">
      <c r="A590" s="1">
        <v>578</v>
      </c>
      <c r="B590" s="1">
        <f t="shared" si="9"/>
        <v>0</v>
      </c>
      <c r="C590" s="7">
        <f>G$12/-PV(Table7[Monthly mortgage rate], (12*Table7[Amortization period (yrs)]),1 )</f>
        <v>4377.9977174134756</v>
      </c>
      <c r="D590" s="11">
        <f>IF(Table1[[#This Row],[Month]]&lt;=(12*Table7[mortgage term (yrs)]),Table7[Monthly mortgage rate],Table7[Monthly Exp Renewal Rate])</f>
        <v>4.9038466830562122E-3</v>
      </c>
      <c r="E590" s="21">
        <f>Table1[[#This Row],[Current mortgage rate]]*G589</f>
        <v>-21033.442309513637</v>
      </c>
      <c r="F590" s="5">
        <f>Table1[[#This Row],[Payment amount]]-Table1[[#This Row],[Interest paid]]</f>
        <v>25411.440026927114</v>
      </c>
      <c r="G590" s="20">
        <f>G589-Table1[[#This Row],[Principal repaid]]-Table1[[#This Row],[Annual paym]]</f>
        <v>-4314583.5265418785</v>
      </c>
      <c r="H590" s="20">
        <f>H589-(Table1[[#This Row],[Payment amount]]-Table1[[#This Row],[Interest Paid W/O LSP]])</f>
        <v>-2679509.8459225497</v>
      </c>
      <c r="I590">
        <f>H589*Table1[[#This Row],[Current mortgage rate]]</f>
        <v>-13054.419568458781</v>
      </c>
      <c r="J590" s="25">
        <f>IF(Table1[[#This Row],[Month]]&gt;Table7[Amortization period (yrs)]*12,0,IF(Table1[[#This Row],[Month]]&lt;Table7[mortgage term (yrs)]*12,0,IF(Table1[[#This Row],[Month]]=Table7[mortgage term (yrs)]*12,-H$5,Table1[[#This Row],[Payment amount]]+B590)))</f>
        <v>0</v>
      </c>
      <c r="K590">
        <v>579</v>
      </c>
      <c r="L590">
        <f>Table7[Initial Monthly Deposit]*Table9[[#This Row],[Inflation Modifier]]</f>
        <v>1034.828154199771</v>
      </c>
      <c r="M590">
        <f xml:space="preserve"> (1+Table7[Inflation])^(QUOTIENT(Table9[[#This Row],[Month]]-1,12))</f>
        <v>2.5870703854994277</v>
      </c>
      <c r="N590">
        <f>N589*(1+Table7[Monthly SF Inter])+Table9[[#This Row],[Monthly Payment]]-O589*(1+Table7[Monthly SF Inter])</f>
        <v>79361.166327785337</v>
      </c>
      <c r="O590">
        <f>IF(MOD(Table9[[#This Row],[Month]],12)=0,(IF(Table9[[#This Row],[Current Balance]]&lt;Table9[[#This Row],[Max Lump Sum ]],Table9[[#This Row],[Current Balance]],Table9[[#This Row],[Max Lump Sum ]])),0)</f>
        <v>0</v>
      </c>
      <c r="P590" s="21">
        <f>Table7[Max annual lump sum repayment]*SUM(C591:C602)</f>
        <v>7880.3958913442566</v>
      </c>
      <c r="Q590" s="25">
        <f>Q589*(1+Table7[Monthly SF Inter])+Table9[[#This Row],[Inflation Modifier]]-R589*(1+Table7[Monthly SF Inter])</f>
        <v>7.7932617326898042</v>
      </c>
      <c r="R590" s="25">
        <f>IF(MOD(Table9[[#This Row],[Month]],12)=0,Table9[[#This Row],[Q2 ACC FACTOR]],0)</f>
        <v>0</v>
      </c>
      <c r="S590" s="25">
        <f>S589*(1+D589)+Table9[[#This Row],[ACC FACTOR PAYMENTS]]</f>
        <v>4311.7953696011427</v>
      </c>
    </row>
    <row r="591" spans="1:19" x14ac:dyDescent="0.25">
      <c r="A591" s="1">
        <v>579</v>
      </c>
      <c r="B591" s="1">
        <f t="shared" si="9"/>
        <v>0</v>
      </c>
      <c r="C591" s="7">
        <f>G$12/-PV(Table7[Monthly mortgage rate], (12*Table7[Amortization period (yrs)]),1 )</f>
        <v>4377.9977174134756</v>
      </c>
      <c r="D591" s="11">
        <f>IF(Table1[[#This Row],[Month]]&lt;=(12*Table7[mortgage term (yrs)]),Table7[Monthly mortgage rate],Table7[Monthly Exp Renewal Rate])</f>
        <v>4.9038466830562122E-3</v>
      </c>
      <c r="E591" s="21">
        <f>Table1[[#This Row],[Current mortgage rate]]*G590</f>
        <v>-21158.056115401367</v>
      </c>
      <c r="F591" s="5">
        <f>Table1[[#This Row],[Payment amount]]-Table1[[#This Row],[Interest paid]]</f>
        <v>25536.053832814843</v>
      </c>
      <c r="G591" s="20">
        <f>G590-Table1[[#This Row],[Principal repaid]]-Table1[[#This Row],[Annual paym]]</f>
        <v>-4340119.5803746935</v>
      </c>
      <c r="H591" s="20">
        <f>H590-(Table1[[#This Row],[Payment amount]]-Table1[[#This Row],[Interest Paid W/O LSP]])</f>
        <v>-2697027.7491101068</v>
      </c>
      <c r="I591">
        <f>H590*Table1[[#This Row],[Current mortgage rate]]</f>
        <v>-13139.905470143758</v>
      </c>
      <c r="J591" s="25">
        <f>IF(Table1[[#This Row],[Month]]&gt;Table7[Amortization period (yrs)]*12,0,IF(Table1[[#This Row],[Month]]&lt;Table7[mortgage term (yrs)]*12,0,IF(Table1[[#This Row],[Month]]=Table7[mortgage term (yrs)]*12,-H$5,Table1[[#This Row],[Payment amount]]+B591)))</f>
        <v>0</v>
      </c>
      <c r="K591">
        <v>580</v>
      </c>
      <c r="L591">
        <f>Table7[Initial Monthly Deposit]*Table9[[#This Row],[Inflation Modifier]]</f>
        <v>1034.828154199771</v>
      </c>
      <c r="M591">
        <f xml:space="preserve"> (1+Table7[Inflation])^(QUOTIENT(Table9[[#This Row],[Month]]-1,12))</f>
        <v>2.5870703854994277</v>
      </c>
      <c r="N591">
        <f>N590*(1+Table7[Monthly SF Inter])+Table9[[#This Row],[Monthly Payment]]-O590*(1+Table7[Monthly SF Inter])</f>
        <v>80723.273223136144</v>
      </c>
      <c r="O591">
        <f>IF(MOD(Table9[[#This Row],[Month]],12)=0,(IF(Table9[[#This Row],[Current Balance]]&lt;Table9[[#This Row],[Max Lump Sum ]],Table9[[#This Row],[Current Balance]],Table9[[#This Row],[Max Lump Sum ]])),0)</f>
        <v>0</v>
      </c>
      <c r="P591" s="21">
        <f>Table7[Max annual lump sum repayment]*SUM(C592:C603)</f>
        <v>7880.3958913442566</v>
      </c>
      <c r="Q591" s="25">
        <f>Q590*(1+Table7[Monthly SF Inter])+Table9[[#This Row],[Inflation Modifier]]-R590*(1+Table7[Monthly SF Inter])</f>
        <v>10.412470870772587</v>
      </c>
      <c r="R591" s="25">
        <f>IF(MOD(Table9[[#This Row],[Month]],12)=0,Table9[[#This Row],[Q2 ACC FACTOR]],0)</f>
        <v>0</v>
      </c>
      <c r="S591" s="25">
        <f>S590*(1+D590)+Table9[[#This Row],[ACC FACTOR PAYMENTS]]</f>
        <v>4332.9397530223787</v>
      </c>
    </row>
    <row r="592" spans="1:19" x14ac:dyDescent="0.25">
      <c r="A592" s="1">
        <v>580</v>
      </c>
      <c r="B592" s="1">
        <f t="shared" si="9"/>
        <v>0</v>
      </c>
      <c r="C592" s="7">
        <f>G$12/-PV(Table7[Monthly mortgage rate], (12*Table7[Amortization period (yrs)]),1 )</f>
        <v>4377.9977174134756</v>
      </c>
      <c r="D592" s="11">
        <f>IF(Table1[[#This Row],[Month]]&lt;=(12*Table7[mortgage term (yrs)]),Table7[Monthly mortgage rate],Table7[Monthly Exp Renewal Rate])</f>
        <v>4.9038466830562122E-3</v>
      </c>
      <c r="E592" s="21">
        <f>Table1[[#This Row],[Current mortgage rate]]*G591</f>
        <v>-21283.281008287759</v>
      </c>
      <c r="F592" s="5">
        <f>Table1[[#This Row],[Payment amount]]-Table1[[#This Row],[Interest paid]]</f>
        <v>25661.278725701235</v>
      </c>
      <c r="G592" s="20">
        <f>G591-Table1[[#This Row],[Principal repaid]]-Table1[[#This Row],[Annual paym]]</f>
        <v>-4365780.8591003949</v>
      </c>
      <c r="H592" s="20">
        <f>H591-(Table1[[#This Row],[Payment amount]]-Table1[[#This Row],[Interest Paid W/O LSP]])</f>
        <v>-2714631.5574091044</v>
      </c>
      <c r="I592">
        <f>H591*Table1[[#This Row],[Current mortgage rate]]</f>
        <v>-13225.810581584159</v>
      </c>
      <c r="J592" s="25">
        <f>IF(Table1[[#This Row],[Month]]&gt;Table7[Amortization period (yrs)]*12,0,IF(Table1[[#This Row],[Month]]&lt;Table7[mortgage term (yrs)]*12,0,IF(Table1[[#This Row],[Month]]=Table7[mortgage term (yrs)]*12,-H$5,Table1[[#This Row],[Payment amount]]+B592)))</f>
        <v>0</v>
      </c>
      <c r="K592">
        <v>581</v>
      </c>
      <c r="L592">
        <f>Table7[Initial Monthly Deposit]*Table9[[#This Row],[Inflation Modifier]]</f>
        <v>1034.828154199771</v>
      </c>
      <c r="M592">
        <f xml:space="preserve"> (1+Table7[Inflation])^(QUOTIENT(Table9[[#This Row],[Month]]-1,12))</f>
        <v>2.5870703854994277</v>
      </c>
      <c r="N592">
        <f>N591*(1+Table7[Monthly SF Inter])+Table9[[#This Row],[Monthly Payment]]-O591*(1+Table7[Monthly SF Inter])</f>
        <v>82090.997332177867</v>
      </c>
      <c r="O592">
        <f>IF(MOD(Table9[[#This Row],[Month]],12)=0,(IF(Table9[[#This Row],[Current Balance]]&lt;Table9[[#This Row],[Max Lump Sum ]],Table9[[#This Row],[Current Balance]],Table9[[#This Row],[Max Lump Sum ]])),0)</f>
        <v>0</v>
      </c>
      <c r="P592" s="21">
        <f>Table7[Max annual lump sum repayment]*SUM(C593:C604)</f>
        <v>7880.3958913442566</v>
      </c>
      <c r="Q592" s="25">
        <f>Q591*(1+Table7[Monthly SF Inter])+Table9[[#This Row],[Inflation Modifier]]-R591*(1+Table7[Monthly SF Inter])</f>
        <v>13.04248140592636</v>
      </c>
      <c r="R592" s="25">
        <f>IF(MOD(Table9[[#This Row],[Month]],12)=0,Table9[[#This Row],[Q2 ACC FACTOR]],0)</f>
        <v>0</v>
      </c>
      <c r="S592" s="25">
        <f>S591*(1+D591)+Table9[[#This Row],[ACC FACTOR PAYMENTS]]</f>
        <v>4354.18782525812</v>
      </c>
    </row>
    <row r="593" spans="1:19" x14ac:dyDescent="0.25">
      <c r="A593" s="1">
        <v>581</v>
      </c>
      <c r="B593" s="1">
        <f t="shared" si="9"/>
        <v>0</v>
      </c>
      <c r="C593" s="7">
        <f>G$12/-PV(Table7[Monthly mortgage rate], (12*Table7[Amortization period (yrs)]),1 )</f>
        <v>4377.9977174134756</v>
      </c>
      <c r="D593" s="11">
        <f>IF(Table1[[#This Row],[Month]]&lt;=(12*Table7[mortgage term (yrs)]),Table7[Monthly mortgage rate],Table7[Monthly Exp Renewal Rate])</f>
        <v>4.9038466830562122E-3</v>
      </c>
      <c r="E593" s="21">
        <f>Table1[[#This Row],[Current mortgage rate]]*G592</f>
        <v>-21409.119984849771</v>
      </c>
      <c r="F593" s="5">
        <f>Table1[[#This Row],[Payment amount]]-Table1[[#This Row],[Interest paid]]</f>
        <v>25787.117702263247</v>
      </c>
      <c r="G593" s="20">
        <f>G592-Table1[[#This Row],[Principal repaid]]-Table1[[#This Row],[Annual paym]]</f>
        <v>-4391567.9768026583</v>
      </c>
      <c r="H593" s="20">
        <f>H592-(Table1[[#This Row],[Payment amount]]-Table1[[#This Row],[Interest Paid W/O LSP]])</f>
        <v>-2732321.6920850384</v>
      </c>
      <c r="I593">
        <f>H592*Table1[[#This Row],[Current mortgage rate]]</f>
        <v>-13312.136958520356</v>
      </c>
      <c r="J593" s="25">
        <f>IF(Table1[[#This Row],[Month]]&gt;Table7[Amortization period (yrs)]*12,0,IF(Table1[[#This Row],[Month]]&lt;Table7[mortgage term (yrs)]*12,0,IF(Table1[[#This Row],[Month]]=Table7[mortgage term (yrs)]*12,-H$5,Table1[[#This Row],[Payment amount]]+B593)))</f>
        <v>0</v>
      </c>
      <c r="K593">
        <v>582</v>
      </c>
      <c r="L593">
        <f>Table7[Initial Monthly Deposit]*Table9[[#This Row],[Inflation Modifier]]</f>
        <v>1034.828154199771</v>
      </c>
      <c r="M593">
        <f xml:space="preserve"> (1+Table7[Inflation])^(QUOTIENT(Table9[[#This Row],[Month]]-1,12))</f>
        <v>2.5870703854994277</v>
      </c>
      <c r="N593">
        <f>N592*(1+Table7[Monthly SF Inter])+Table9[[#This Row],[Monthly Payment]]-O592*(1+Table7[Monthly SF Inter])</f>
        <v>83464.361819824917</v>
      </c>
      <c r="O593">
        <f>IF(MOD(Table9[[#This Row],[Month]],12)=0,(IF(Table9[[#This Row],[Current Balance]]&lt;Table9[[#This Row],[Max Lump Sum ]],Table9[[#This Row],[Current Balance]],Table9[[#This Row],[Max Lump Sum ]])),0)</f>
        <v>0</v>
      </c>
      <c r="P593" s="21">
        <f>Table7[Max annual lump sum repayment]*SUM(C594:C605)</f>
        <v>7880.3958913442566</v>
      </c>
      <c r="Q593" s="25">
        <f>Q592*(1+Table7[Monthly SF Inter])+Table9[[#This Row],[Inflation Modifier]]-R592*(1+Table7[Monthly SF Inter])</f>
        <v>15.683337882199542</v>
      </c>
      <c r="R593" s="25">
        <f>IF(MOD(Table9[[#This Row],[Month]],12)=0,Table9[[#This Row],[Q2 ACC FACTOR]],0)</f>
        <v>0</v>
      </c>
      <c r="S593" s="25">
        <f>S592*(1+D592)+Table9[[#This Row],[ACC FACTOR PAYMENTS]]</f>
        <v>4375.5400947824155</v>
      </c>
    </row>
    <row r="594" spans="1:19" x14ac:dyDescent="0.25">
      <c r="A594" s="1">
        <v>582</v>
      </c>
      <c r="B594" s="1">
        <f t="shared" si="9"/>
        <v>0</v>
      </c>
      <c r="C594" s="7">
        <f>G$12/-PV(Table7[Monthly mortgage rate], (12*Table7[Amortization period (yrs)]),1 )</f>
        <v>4377.9977174134756</v>
      </c>
      <c r="D594" s="11">
        <f>IF(Table1[[#This Row],[Month]]&lt;=(12*Table7[mortgage term (yrs)]),Table7[Monthly mortgage rate],Table7[Monthly Exp Renewal Rate])</f>
        <v>4.9038466830562122E-3</v>
      </c>
      <c r="E594" s="21">
        <f>Table1[[#This Row],[Current mortgage rate]]*G593</f>
        <v>-21535.576056459595</v>
      </c>
      <c r="F594" s="5">
        <f>Table1[[#This Row],[Payment amount]]-Table1[[#This Row],[Interest paid]]</f>
        <v>25913.573773873071</v>
      </c>
      <c r="G594" s="20">
        <f>G593-Table1[[#This Row],[Principal repaid]]-Table1[[#This Row],[Annual paym]]</f>
        <v>-4417481.5505765313</v>
      </c>
      <c r="H594" s="20">
        <f>H593-(Table1[[#This Row],[Payment amount]]-Table1[[#This Row],[Interest Paid W/O LSP]])</f>
        <v>-2750098.5764692258</v>
      </c>
      <c r="I594">
        <f>H593*Table1[[#This Row],[Current mortgage rate]]</f>
        <v>-13398.886666773753</v>
      </c>
      <c r="J594" s="25">
        <f>IF(Table1[[#This Row],[Month]]&gt;Table7[Amortization period (yrs)]*12,0,IF(Table1[[#This Row],[Month]]&lt;Table7[mortgage term (yrs)]*12,0,IF(Table1[[#This Row],[Month]]=Table7[mortgage term (yrs)]*12,-H$5,Table1[[#This Row],[Payment amount]]+B594)))</f>
        <v>0</v>
      </c>
      <c r="K594">
        <v>583</v>
      </c>
      <c r="L594">
        <f>Table7[Initial Monthly Deposit]*Table9[[#This Row],[Inflation Modifier]]</f>
        <v>1034.828154199771</v>
      </c>
      <c r="M594">
        <f xml:space="preserve"> (1+Table7[Inflation])^(QUOTIENT(Table9[[#This Row],[Month]]-1,12))</f>
        <v>2.5870703854994277</v>
      </c>
      <c r="N594">
        <f>N593*(1+Table7[Monthly SF Inter])+Table9[[#This Row],[Monthly Payment]]-O593*(1+Table7[Monthly SF Inter])</f>
        <v>84843.389946521856</v>
      </c>
      <c r="O594">
        <f>IF(MOD(Table9[[#This Row],[Month]],12)=0,(IF(Table9[[#This Row],[Current Balance]]&lt;Table9[[#This Row],[Max Lump Sum ]],Table9[[#This Row],[Current Balance]],Table9[[#This Row],[Max Lump Sum ]])),0)</f>
        <v>0</v>
      </c>
      <c r="P594" s="21">
        <f>Table7[Max annual lump sum repayment]*SUM(C595:C606)</f>
        <v>7880.3958913442566</v>
      </c>
      <c r="Q594" s="25">
        <f>Q593*(1+Table7[Monthly SF Inter])+Table9[[#This Row],[Inflation Modifier]]-R593*(1+Table7[Monthly SF Inter])</f>
        <v>18.335085027336454</v>
      </c>
      <c r="R594" s="25">
        <f>IF(MOD(Table9[[#This Row],[Month]],12)=0,Table9[[#This Row],[Q2 ACC FACTOR]],0)</f>
        <v>0</v>
      </c>
      <c r="S594" s="25">
        <f>S593*(1+D593)+Table9[[#This Row],[ACC FACTOR PAYMENTS]]</f>
        <v>4396.9970725627936</v>
      </c>
    </row>
    <row r="595" spans="1:19" x14ac:dyDescent="0.25">
      <c r="A595" s="1">
        <v>583</v>
      </c>
      <c r="B595" s="1">
        <f t="shared" si="9"/>
        <v>0</v>
      </c>
      <c r="C595" s="7">
        <f>G$12/-PV(Table7[Monthly mortgage rate], (12*Table7[Amortization period (yrs)]),1 )</f>
        <v>4377.9977174134756</v>
      </c>
      <c r="D595" s="11">
        <f>IF(Table1[[#This Row],[Month]]&lt;=(12*Table7[mortgage term (yrs)]),Table7[Monthly mortgage rate],Table7[Monthly Exp Renewal Rate])</f>
        <v>4.9038466830562122E-3</v>
      </c>
      <c r="E595" s="21">
        <f>Table1[[#This Row],[Current mortgage rate]]*G594</f>
        <v>-21662.652249256735</v>
      </c>
      <c r="F595" s="5">
        <f>Table1[[#This Row],[Payment amount]]-Table1[[#This Row],[Interest paid]]</f>
        <v>26040.649966670211</v>
      </c>
      <c r="G595" s="20">
        <f>G594-Table1[[#This Row],[Principal repaid]]-Table1[[#This Row],[Annual paym]]</f>
        <v>-4443522.2005432015</v>
      </c>
      <c r="H595" s="20">
        <f>H594-(Table1[[#This Row],[Payment amount]]-Table1[[#This Row],[Interest Paid W/O LSP]])</f>
        <v>-2767962.6359689357</v>
      </c>
      <c r="I595">
        <f>H594*Table1[[#This Row],[Current mortgage rate]]</f>
        <v>-13486.061782296223</v>
      </c>
      <c r="J595" s="25">
        <f>IF(Table1[[#This Row],[Month]]&gt;Table7[Amortization period (yrs)]*12,0,IF(Table1[[#This Row],[Month]]&lt;Table7[mortgage term (yrs)]*12,0,IF(Table1[[#This Row],[Month]]=Table7[mortgage term (yrs)]*12,-H$5,Table1[[#This Row],[Payment amount]]+B595)))</f>
        <v>0</v>
      </c>
      <c r="K595">
        <v>584</v>
      </c>
      <c r="L595">
        <f>Table7[Initial Monthly Deposit]*Table9[[#This Row],[Inflation Modifier]]</f>
        <v>1034.828154199771</v>
      </c>
      <c r="M595">
        <f xml:space="preserve"> (1+Table7[Inflation])^(QUOTIENT(Table9[[#This Row],[Month]]-1,12))</f>
        <v>2.5870703854994277</v>
      </c>
      <c r="N595">
        <f>N594*(1+Table7[Monthly SF Inter])+Table9[[#This Row],[Monthly Payment]]-O594*(1+Table7[Monthly SF Inter])</f>
        <v>86228.105068637349</v>
      </c>
      <c r="O595">
        <f>IF(MOD(Table9[[#This Row],[Month]],12)=0,(IF(Table9[[#This Row],[Current Balance]]&lt;Table9[[#This Row],[Max Lump Sum ]],Table9[[#This Row],[Current Balance]],Table9[[#This Row],[Max Lump Sum ]])),0)</f>
        <v>0</v>
      </c>
      <c r="P595" s="21">
        <f>Table7[Max annual lump sum repayment]*SUM(C596:C607)</f>
        <v>7880.3958913442566</v>
      </c>
      <c r="Q595" s="25">
        <f>Q594*(1+Table7[Monthly SF Inter])+Table9[[#This Row],[Inflation Modifier]]-R594*(1+Table7[Monthly SF Inter])</f>
        <v>20.997767753534848</v>
      </c>
      <c r="R595" s="25">
        <f>IF(MOD(Table9[[#This Row],[Month]],12)=0,Table9[[#This Row],[Q2 ACC FACTOR]],0)</f>
        <v>0</v>
      </c>
      <c r="S595" s="25">
        <f>S594*(1+D594)+Table9[[#This Row],[ACC FACTOR PAYMENTS]]</f>
        <v>4418.559272072489</v>
      </c>
    </row>
    <row r="596" spans="1:19" x14ac:dyDescent="0.25">
      <c r="A596" s="1">
        <v>584</v>
      </c>
      <c r="B596" s="1">
        <f t="shared" si="9"/>
        <v>0</v>
      </c>
      <c r="C596" s="7">
        <f>G$12/-PV(Table7[Monthly mortgage rate], (12*Table7[Amortization period (yrs)]),1 )</f>
        <v>4377.9977174134756</v>
      </c>
      <c r="D596" s="11">
        <f>IF(Table1[[#This Row],[Month]]&lt;=(12*Table7[mortgage term (yrs)]),Table7[Monthly mortgage rate],Table7[Monthly Exp Renewal Rate])</f>
        <v>4.9038466830562122E-3</v>
      </c>
      <c r="E596" s="21">
        <f>Table1[[#This Row],[Current mortgage rate]]*G595</f>
        <v>-21790.351604220421</v>
      </c>
      <c r="F596" s="5">
        <f>Table1[[#This Row],[Payment amount]]-Table1[[#This Row],[Interest paid]]</f>
        <v>26168.349321633897</v>
      </c>
      <c r="G596" s="20">
        <f>G595-Table1[[#This Row],[Principal repaid]]-Table1[[#This Row],[Annual paym]]</f>
        <v>-4469690.5498648351</v>
      </c>
      <c r="H596" s="20">
        <f>H595-(Table1[[#This Row],[Payment amount]]-Table1[[#This Row],[Interest Paid W/O LSP]])</f>
        <v>-2785914.2980775689</v>
      </c>
      <c r="I596">
        <f>H595*Table1[[#This Row],[Current mortgage rate]]</f>
        <v>-13573.664391219794</v>
      </c>
      <c r="J596" s="25">
        <f>IF(Table1[[#This Row],[Month]]&gt;Table7[Amortization period (yrs)]*12,0,IF(Table1[[#This Row],[Month]]&lt;Table7[mortgage term (yrs)]*12,0,IF(Table1[[#This Row],[Month]]=Table7[mortgage term (yrs)]*12,-H$5,Table1[[#This Row],[Payment amount]]+B596)))</f>
        <v>0</v>
      </c>
      <c r="K596">
        <v>585</v>
      </c>
      <c r="L596">
        <f>Table7[Initial Monthly Deposit]*Table9[[#This Row],[Inflation Modifier]]</f>
        <v>1034.828154199771</v>
      </c>
      <c r="M596">
        <f xml:space="preserve"> (1+Table7[Inflation])^(QUOTIENT(Table9[[#This Row],[Month]]-1,12))</f>
        <v>2.5870703854994277</v>
      </c>
      <c r="N596">
        <f>N595*(1+Table7[Monthly SF Inter])+Table9[[#This Row],[Monthly Payment]]-O595*(1+Table7[Monthly SF Inter])</f>
        <v>87618.530638859753</v>
      </c>
      <c r="O596">
        <f>IF(MOD(Table9[[#This Row],[Month]],12)=0,(IF(Table9[[#This Row],[Current Balance]]&lt;Table9[[#This Row],[Max Lump Sum ]],Table9[[#This Row],[Current Balance]],Table9[[#This Row],[Max Lump Sum ]])),0)</f>
        <v>0</v>
      </c>
      <c r="P596" s="21">
        <f>Table7[Max annual lump sum repayment]*SUM(C597:C608)</f>
        <v>7880.3958913442566</v>
      </c>
      <c r="Q596" s="25">
        <f>Q595*(1+Table7[Monthly SF Inter])+Table9[[#This Row],[Inflation Modifier]]-R595*(1+Table7[Monthly SF Inter])</f>
        <v>23.671431158206584</v>
      </c>
      <c r="R596" s="25">
        <f>IF(MOD(Table9[[#This Row],[Month]],12)=0,Table9[[#This Row],[Q2 ACC FACTOR]],0)</f>
        <v>0</v>
      </c>
      <c r="S596" s="25">
        <f>S595*(1+D595)+Table9[[#This Row],[ACC FACTOR PAYMENTS]]</f>
        <v>4440.2272093027286</v>
      </c>
    </row>
    <row r="597" spans="1:19" x14ac:dyDescent="0.25">
      <c r="A597" s="1">
        <v>585</v>
      </c>
      <c r="B597" s="1">
        <f t="shared" si="9"/>
        <v>0</v>
      </c>
      <c r="C597" s="7">
        <f>G$12/-PV(Table7[Monthly mortgage rate], (12*Table7[Amortization period (yrs)]),1 )</f>
        <v>4377.9977174134756</v>
      </c>
      <c r="D597" s="11">
        <f>IF(Table1[[#This Row],[Month]]&lt;=(12*Table7[mortgage term (yrs)]),Table7[Monthly mortgage rate],Table7[Monthly Exp Renewal Rate])</f>
        <v>4.9038466830562122E-3</v>
      </c>
      <c r="E597" s="21">
        <f>Table1[[#This Row],[Current mortgage rate]]*G596</f>
        <v>-21918.677177242367</v>
      </c>
      <c r="F597" s="5">
        <f>Table1[[#This Row],[Payment amount]]-Table1[[#This Row],[Interest paid]]</f>
        <v>26296.674894655844</v>
      </c>
      <c r="G597" s="20">
        <f>G596-Table1[[#This Row],[Principal repaid]]-Table1[[#This Row],[Annual paym]]</f>
        <v>-4495987.2247594912</v>
      </c>
      <c r="H597" s="20">
        <f>H596-(Table1[[#This Row],[Payment amount]]-Table1[[#This Row],[Interest Paid W/O LSP]])</f>
        <v>-2803953.9923848887</v>
      </c>
      <c r="I597">
        <f>H596*Table1[[#This Row],[Current mortgage rate]]</f>
        <v>-13661.696589906562</v>
      </c>
      <c r="J597" s="25">
        <f>IF(Table1[[#This Row],[Month]]&gt;Table7[Amortization period (yrs)]*12,0,IF(Table1[[#This Row],[Month]]&lt;Table7[mortgage term (yrs)]*12,0,IF(Table1[[#This Row],[Month]]=Table7[mortgage term (yrs)]*12,-H$5,Table1[[#This Row],[Payment amount]]+B597)))</f>
        <v>0</v>
      </c>
      <c r="K597">
        <v>586</v>
      </c>
      <c r="L597">
        <f>Table7[Initial Monthly Deposit]*Table9[[#This Row],[Inflation Modifier]]</f>
        <v>1034.828154199771</v>
      </c>
      <c r="M597">
        <f xml:space="preserve"> (1+Table7[Inflation])^(QUOTIENT(Table9[[#This Row],[Month]]-1,12))</f>
        <v>2.5870703854994277</v>
      </c>
      <c r="N597">
        <f>N596*(1+Table7[Monthly SF Inter])+Table9[[#This Row],[Monthly Payment]]-O596*(1+Table7[Monthly SF Inter])</f>
        <v>89014.690206594329</v>
      </c>
      <c r="O597">
        <f>IF(MOD(Table9[[#This Row],[Month]],12)=0,(IF(Table9[[#This Row],[Current Balance]]&lt;Table9[[#This Row],[Max Lump Sum ]],Table9[[#This Row],[Current Balance]],Table9[[#This Row],[Max Lump Sum ]])),0)</f>
        <v>0</v>
      </c>
      <c r="P597" s="21">
        <f>Table7[Max annual lump sum repayment]*SUM(C598:C609)</f>
        <v>7880.3958913442566</v>
      </c>
      <c r="Q597" s="25">
        <f>Q596*(1+Table7[Monthly SF Inter])+Table9[[#This Row],[Inflation Modifier]]-R596*(1+Table7[Monthly SF Inter])</f>
        <v>26.356120524741435</v>
      </c>
      <c r="R597" s="25">
        <f>IF(MOD(Table9[[#This Row],[Month]],12)=0,Table9[[#This Row],[Q2 ACC FACTOR]],0)</f>
        <v>0</v>
      </c>
      <c r="S597" s="25">
        <f>S596*(1+D596)+Table9[[#This Row],[ACC FACTOR PAYMENTS]]</f>
        <v>4462.001402775084</v>
      </c>
    </row>
    <row r="598" spans="1:19" x14ac:dyDescent="0.25">
      <c r="A598" s="1">
        <v>586</v>
      </c>
      <c r="B598" s="1">
        <f t="shared" si="9"/>
        <v>0</v>
      </c>
      <c r="C598" s="7">
        <f>G$12/-PV(Table7[Monthly mortgage rate], (12*Table7[Amortization period (yrs)]),1 )</f>
        <v>4377.9977174134756</v>
      </c>
      <c r="D598" s="11">
        <f>IF(Table1[[#This Row],[Month]]&lt;=(12*Table7[mortgage term (yrs)]),Table7[Monthly mortgage rate],Table7[Monthly Exp Renewal Rate])</f>
        <v>4.9038466830562122E-3</v>
      </c>
      <c r="E598" s="21">
        <f>Table1[[#This Row],[Current mortgage rate]]*G597</f>
        <v>-22047.632039199936</v>
      </c>
      <c r="F598" s="5">
        <f>Table1[[#This Row],[Payment amount]]-Table1[[#This Row],[Interest paid]]</f>
        <v>26425.629756613413</v>
      </c>
      <c r="G598" s="20">
        <f>G597-Table1[[#This Row],[Principal repaid]]-Table1[[#This Row],[Annual paym]]</f>
        <v>-4522412.8545161048</v>
      </c>
      <c r="H598" s="20">
        <f>H597-(Table1[[#This Row],[Payment amount]]-Table1[[#This Row],[Interest Paid W/O LSP]])</f>
        <v>-2822082.1505873012</v>
      </c>
      <c r="I598">
        <f>H597*Table1[[#This Row],[Current mortgage rate]]</f>
        <v>-13750.16048499886</v>
      </c>
      <c r="J598" s="25">
        <f>IF(Table1[[#This Row],[Month]]&gt;Table7[Amortization period (yrs)]*12,0,IF(Table1[[#This Row],[Month]]&lt;Table7[mortgage term (yrs)]*12,0,IF(Table1[[#This Row],[Month]]=Table7[mortgage term (yrs)]*12,-H$5,Table1[[#This Row],[Payment amount]]+B598)))</f>
        <v>0</v>
      </c>
      <c r="K598">
        <v>587</v>
      </c>
      <c r="L598">
        <f>Table7[Initial Monthly Deposit]*Table9[[#This Row],[Inflation Modifier]]</f>
        <v>1034.828154199771</v>
      </c>
      <c r="M598">
        <f xml:space="preserve"> (1+Table7[Inflation])^(QUOTIENT(Table9[[#This Row],[Month]]-1,12))</f>
        <v>2.5870703854994277</v>
      </c>
      <c r="N598">
        <f>N597*(1+Table7[Monthly SF Inter])+Table9[[#This Row],[Monthly Payment]]-O597*(1+Table7[Monthly SF Inter])</f>
        <v>90416.607418362095</v>
      </c>
      <c r="O598">
        <f>IF(MOD(Table9[[#This Row],[Month]],12)=0,(IF(Table9[[#This Row],[Current Balance]]&lt;Table9[[#This Row],[Max Lump Sum ]],Table9[[#This Row],[Current Balance]],Table9[[#This Row],[Max Lump Sum ]])),0)</f>
        <v>0</v>
      </c>
      <c r="P598" s="21">
        <f>Table7[Max annual lump sum repayment]*SUM(C599:C610)</f>
        <v>7880.3958913442566</v>
      </c>
      <c r="Q598" s="25">
        <f>Q597*(1+Table7[Monthly SF Inter])+Table9[[#This Row],[Inflation Modifier]]-R597*(1+Table7[Monthly SF Inter])</f>
        <v>29.051881323274049</v>
      </c>
      <c r="R598" s="25">
        <f>IF(MOD(Table9[[#This Row],[Month]],12)=0,Table9[[#This Row],[Q2 ACC FACTOR]],0)</f>
        <v>0</v>
      </c>
      <c r="S598" s="25">
        <f>S597*(1+D597)+Table9[[#This Row],[ACC FACTOR PAYMENTS]]</f>
        <v>4483.8823735538745</v>
      </c>
    </row>
    <row r="599" spans="1:19" x14ac:dyDescent="0.25">
      <c r="A599" s="1">
        <v>587</v>
      </c>
      <c r="B599" s="1">
        <f t="shared" si="9"/>
        <v>0</v>
      </c>
      <c r="C599" s="7">
        <f>G$12/-PV(Table7[Monthly mortgage rate], (12*Table7[Amortization period (yrs)]),1 )</f>
        <v>4377.9977174134756</v>
      </c>
      <c r="D599" s="11">
        <f>IF(Table1[[#This Row],[Month]]&lt;=(12*Table7[mortgage term (yrs)]),Table7[Monthly mortgage rate],Table7[Monthly Exp Renewal Rate])</f>
        <v>4.9038466830562122E-3</v>
      </c>
      <c r="E599" s="21">
        <f>Table1[[#This Row],[Current mortgage rate]]*G598</f>
        <v>-22177.219276029577</v>
      </c>
      <c r="F599" s="5">
        <f>Table1[[#This Row],[Payment amount]]-Table1[[#This Row],[Interest paid]]</f>
        <v>26555.216993443053</v>
      </c>
      <c r="G599" s="20">
        <f>G598-Table1[[#This Row],[Principal repaid]]-Table1[[#This Row],[Annual paym]]</f>
        <v>-4548968.0715095475</v>
      </c>
      <c r="H599" s="20">
        <f>H598-(Table1[[#This Row],[Payment amount]]-Table1[[#This Row],[Interest Paid W/O LSP]])</f>
        <v>-2840299.2064981842</v>
      </c>
      <c r="I599">
        <f>H598*Table1[[#This Row],[Current mortgage rate]]</f>
        <v>-13839.058193469678</v>
      </c>
      <c r="J599" s="25">
        <f>IF(Table1[[#This Row],[Month]]&gt;Table7[Amortization period (yrs)]*12,0,IF(Table1[[#This Row],[Month]]&lt;Table7[mortgage term (yrs)]*12,0,IF(Table1[[#This Row],[Month]]=Table7[mortgage term (yrs)]*12,-H$5,Table1[[#This Row],[Payment amount]]+B599)))</f>
        <v>0</v>
      </c>
      <c r="K599">
        <v>588</v>
      </c>
      <c r="L599">
        <f>Table7[Initial Monthly Deposit]*Table9[[#This Row],[Inflation Modifier]]</f>
        <v>1034.828154199771</v>
      </c>
      <c r="M599">
        <f xml:space="preserve"> (1+Table7[Inflation])^(QUOTIENT(Table9[[#This Row],[Month]]-1,12))</f>
        <v>2.5870703854994277</v>
      </c>
      <c r="N599">
        <f>N598*(1+Table7[Monthly SF Inter])+Table9[[#This Row],[Monthly Payment]]-O598*(1+Table7[Monthly SF Inter])</f>
        <v>91824.306018200325</v>
      </c>
      <c r="O599">
        <f>IF(MOD(Table9[[#This Row],[Month]],12)=0,(IF(Table9[[#This Row],[Current Balance]]&lt;Table9[[#This Row],[Max Lump Sum ]],Table9[[#This Row],[Current Balance]],Table9[[#This Row],[Max Lump Sum ]])),0)</f>
        <v>7880.3958913442566</v>
      </c>
      <c r="P599" s="21">
        <f>Table7[Max annual lump sum repayment]*SUM(C600:C611)</f>
        <v>7880.3958913442566</v>
      </c>
      <c r="Q599" s="25">
        <f>Q598*(1+Table7[Monthly SF Inter])+Table9[[#This Row],[Inflation Modifier]]-R598*(1+Table7[Monthly SF Inter])</f>
        <v>31.758759211454059</v>
      </c>
      <c r="R599" s="25">
        <f>IF(MOD(Table9[[#This Row],[Month]],12)=0,Table9[[#This Row],[Q2 ACC FACTOR]],0)</f>
        <v>31.758759211454059</v>
      </c>
      <c r="S599" s="25">
        <f>S598*(1+D598)+Table9[[#This Row],[ACC FACTOR PAYMENTS]]</f>
        <v>4537.6294044700953</v>
      </c>
    </row>
    <row r="600" spans="1:19" x14ac:dyDescent="0.25">
      <c r="A600" s="1">
        <v>588</v>
      </c>
      <c r="B600" s="1">
        <f t="shared" si="9"/>
        <v>7880.3958913442566</v>
      </c>
      <c r="C600" s="7">
        <f>G$12/-PV(Table7[Monthly mortgage rate], (12*Table7[Amortization period (yrs)]),1 )</f>
        <v>4377.9977174134756</v>
      </c>
      <c r="D600" s="11">
        <f>IF(Table1[[#This Row],[Month]]&lt;=(12*Table7[mortgage term (yrs)]),Table7[Monthly mortgage rate],Table7[Monthly Exp Renewal Rate])</f>
        <v>4.9038466830562122E-3</v>
      </c>
      <c r="E600" s="21">
        <f>Table1[[#This Row],[Current mortgage rate]]*G599</f>
        <v>-22307.441988800711</v>
      </c>
      <c r="F600" s="5">
        <f>Table1[[#This Row],[Payment amount]]-Table1[[#This Row],[Interest paid]]</f>
        <v>26685.439706214187</v>
      </c>
      <c r="G600" s="20">
        <f>G599-Table1[[#This Row],[Principal repaid]]-Table1[[#This Row],[Annual paym]]</f>
        <v>-4583533.9071071055</v>
      </c>
      <c r="H600" s="20">
        <f>H599-(Table1[[#This Row],[Payment amount]]-Table1[[#This Row],[Interest Paid W/O LSP]])</f>
        <v>-2858605.5960582709</v>
      </c>
      <c r="I600">
        <f>H599*Table1[[#This Row],[Current mortgage rate]]</f>
        <v>-13928.391842673313</v>
      </c>
      <c r="J600" s="25">
        <f>IF(Table1[[#This Row],[Month]]&gt;Table7[Amortization period (yrs)]*12,0,IF(Table1[[#This Row],[Month]]&lt;Table7[mortgage term (yrs)]*12,0,IF(Table1[[#This Row],[Month]]=Table7[mortgage term (yrs)]*12,-H$5,Table1[[#This Row],[Payment amount]]+B600)))</f>
        <v>0</v>
      </c>
      <c r="K600">
        <v>589</v>
      </c>
      <c r="L600">
        <f>Table7[Initial Monthly Deposit]*Table9[[#This Row],[Inflation Modifier]]</f>
        <v>1055.5247172837664</v>
      </c>
      <c r="M600">
        <f xml:space="preserve"> (1+Table7[Inflation])^(QUOTIENT(Table9[[#This Row],[Month]]-1,12))</f>
        <v>2.6388117932094164</v>
      </c>
      <c r="N600">
        <f>N599*(1+Table7[Monthly SF Inter])+Table9[[#This Row],[Monthly Payment]]-O599*(1+Table7[Monthly SF Inter])</f>
        <v>85345.612433316652</v>
      </c>
      <c r="O600">
        <f>IF(MOD(Table9[[#This Row],[Month]],12)=0,(IF(Table9[[#This Row],[Current Balance]]&lt;Table9[[#This Row],[Max Lump Sum ]],Table9[[#This Row],[Current Balance]],Table9[[#This Row],[Max Lump Sum ]])),0)</f>
        <v>0</v>
      </c>
      <c r="P600" s="21">
        <f>Table7[Max annual lump sum repayment]*SUM(C601:C612)</f>
        <v>7880.3958913442566</v>
      </c>
      <c r="Q600" s="25">
        <f>Q599*(1+Table7[Monthly SF Inter])+Table9[[#This Row],[Inflation Modifier]]-R599*(1+Table7[Monthly SF Inter])</f>
        <v>2.6388117932094133</v>
      </c>
      <c r="R600" s="25">
        <f>IF(MOD(Table9[[#This Row],[Month]],12)=0,Table9[[#This Row],[Q2 ACC FACTOR]],0)</f>
        <v>0</v>
      </c>
      <c r="S600" s="25">
        <f>S599*(1+D599)+Table9[[#This Row],[ACC FACTOR PAYMENTS]]</f>
        <v>4559.8812433741441</v>
      </c>
    </row>
    <row r="601" spans="1:19" x14ac:dyDescent="0.25">
      <c r="A601" s="1">
        <v>589</v>
      </c>
      <c r="B601" s="1">
        <f t="shared" si="9"/>
        <v>0</v>
      </c>
      <c r="C601" s="7">
        <f>G$12/-PV(Table7[Monthly mortgage rate], (12*Table7[Amortization period (yrs)]),1 )</f>
        <v>4377.9977174134756</v>
      </c>
      <c r="D601" s="11">
        <f>IF(Table1[[#This Row],[Month]]&lt;=(12*Table7[mortgage term (yrs)]),Table7[Monthly mortgage rate],Table7[Monthly Exp Renewal Rate])</f>
        <v>4.9038466830562122E-3</v>
      </c>
      <c r="E601" s="21">
        <f>Table1[[#This Row],[Current mortgage rate]]*G600</f>
        <v>-22476.947547042859</v>
      </c>
      <c r="F601" s="5">
        <f>Table1[[#This Row],[Payment amount]]-Table1[[#This Row],[Interest paid]]</f>
        <v>26854.945264456335</v>
      </c>
      <c r="G601" s="20">
        <f>G600-Table1[[#This Row],[Principal repaid]]-Table1[[#This Row],[Annual paym]]</f>
        <v>-4610388.8523715623</v>
      </c>
      <c r="H601" s="20">
        <f>H600-(Table1[[#This Row],[Payment amount]]-Table1[[#This Row],[Interest Paid W/O LSP]])</f>
        <v>-2877001.7573460806</v>
      </c>
      <c r="I601">
        <f>H600*Table1[[#This Row],[Current mortgage rate]]</f>
        <v>-14018.163570396278</v>
      </c>
      <c r="J601" s="25">
        <f>IF(Table1[[#This Row],[Month]]&gt;Table7[Amortization period (yrs)]*12,0,IF(Table1[[#This Row],[Month]]&lt;Table7[mortgage term (yrs)]*12,0,IF(Table1[[#This Row],[Month]]=Table7[mortgage term (yrs)]*12,-H$5,Table1[[#This Row],[Payment amount]]+B601)))</f>
        <v>0</v>
      </c>
      <c r="K601">
        <v>590</v>
      </c>
      <c r="L601">
        <f>Table7[Initial Monthly Deposit]*Table9[[#This Row],[Inflation Modifier]]</f>
        <v>1055.5247172837664</v>
      </c>
      <c r="M601">
        <f xml:space="preserve"> (1+Table7[Inflation])^(QUOTIENT(Table9[[#This Row],[Month]]-1,12))</f>
        <v>2.6388117932094164</v>
      </c>
      <c r="N601">
        <f>N600*(1+Table7[Monthly SF Inter])+Table9[[#This Row],[Monthly Payment]]-O600*(1+Table7[Monthly SF Inter])</f>
        <v>86753.095241596384</v>
      </c>
      <c r="O601">
        <f>IF(MOD(Table9[[#This Row],[Month]],12)=0,(IF(Table9[[#This Row],[Current Balance]]&lt;Table9[[#This Row],[Max Lump Sum ]],Table9[[#This Row],[Current Balance]],Table9[[#This Row],[Max Lump Sum ]])),0)</f>
        <v>0</v>
      </c>
      <c r="P601" s="21">
        <f>Table7[Max annual lump sum repayment]*SUM(C602:C613)</f>
        <v>7880.3958913442566</v>
      </c>
      <c r="Q601" s="25">
        <f>Q600*(1+Table7[Monthly SF Inter])+Table9[[#This Row],[Inflation Modifier]]-R600*(1+Table7[Monthly SF Inter])</f>
        <v>5.2885058231824509</v>
      </c>
      <c r="R601" s="25">
        <f>IF(MOD(Table9[[#This Row],[Month]],12)=0,Table9[[#This Row],[Q2 ACC FACTOR]],0)</f>
        <v>0</v>
      </c>
      <c r="S601" s="25">
        <f>S600*(1+D600)+Table9[[#This Row],[ACC FACTOR PAYMENTS]]</f>
        <v>4582.2422018845946</v>
      </c>
    </row>
    <row r="602" spans="1:19" x14ac:dyDescent="0.25">
      <c r="A602" s="1">
        <v>590</v>
      </c>
      <c r="B602" s="1">
        <f t="shared" si="9"/>
        <v>0</v>
      </c>
      <c r="C602" s="7">
        <f>G$12/-PV(Table7[Monthly mortgage rate], (12*Table7[Amortization period (yrs)]),1 )</f>
        <v>4377.9977174134756</v>
      </c>
      <c r="D602" s="11">
        <f>IF(Table1[[#This Row],[Month]]&lt;=(12*Table7[mortgage term (yrs)]),Table7[Monthly mortgage rate],Table7[Monthly Exp Renewal Rate])</f>
        <v>4.9038466830562122E-3</v>
      </c>
      <c r="E602" s="21">
        <f>Table1[[#This Row],[Current mortgage rate]]*G601</f>
        <v>-22608.640081301623</v>
      </c>
      <c r="F602" s="5">
        <f>Table1[[#This Row],[Payment amount]]-Table1[[#This Row],[Interest paid]]</f>
        <v>26986.637798715099</v>
      </c>
      <c r="G602" s="20">
        <f>G601-Table1[[#This Row],[Principal repaid]]-Table1[[#This Row],[Annual paym]]</f>
        <v>-4637375.4901702777</v>
      </c>
      <c r="H602" s="20">
        <f>H601-(Table1[[#This Row],[Payment amount]]-Table1[[#This Row],[Interest Paid W/O LSP]])</f>
        <v>-2895488.1305884025</v>
      </c>
      <c r="I602">
        <f>H601*Table1[[#This Row],[Current mortgage rate]]</f>
        <v>-14108.375524908472</v>
      </c>
      <c r="J602" s="25">
        <f>IF(Table1[[#This Row],[Month]]&gt;Table7[Amortization period (yrs)]*12,0,IF(Table1[[#This Row],[Month]]&lt;Table7[mortgage term (yrs)]*12,0,IF(Table1[[#This Row],[Month]]=Table7[mortgage term (yrs)]*12,-H$5,Table1[[#This Row],[Payment amount]]+B602)))</f>
        <v>0</v>
      </c>
      <c r="K602">
        <v>591</v>
      </c>
      <c r="L602">
        <f>Table7[Initial Monthly Deposit]*Table9[[#This Row],[Inflation Modifier]]</f>
        <v>1055.5247172837664</v>
      </c>
      <c r="M602">
        <f xml:space="preserve"> (1+Table7[Inflation])^(QUOTIENT(Table9[[#This Row],[Month]]-1,12))</f>
        <v>2.6388117932094164</v>
      </c>
      <c r="N602">
        <f>N601*(1+Table7[Monthly SF Inter])+Table9[[#This Row],[Monthly Payment]]-O601*(1+Table7[Monthly SF Inter])</f>
        <v>88166.382389996099</v>
      </c>
      <c r="O602">
        <f>IF(MOD(Table9[[#This Row],[Month]],12)=0,(IF(Table9[[#This Row],[Current Balance]]&lt;Table9[[#This Row],[Max Lump Sum ]],Table9[[#This Row],[Current Balance]],Table9[[#This Row],[Max Lump Sum ]])),0)</f>
        <v>0</v>
      </c>
      <c r="P602" s="21">
        <f>Table7[Max annual lump sum repayment]*SUM(C603:C614)</f>
        <v>7880.3958913442566</v>
      </c>
      <c r="Q602" s="25">
        <f>Q601*(1+Table7[Monthly SF Inter])+Table9[[#This Row],[Inflation Modifier]]-R601*(1+Table7[Monthly SF Inter])</f>
        <v>7.9491269673435951</v>
      </c>
      <c r="R602" s="25">
        <f>IF(MOD(Table9[[#This Row],[Month]],12)=0,Table9[[#This Row],[Q2 ACC FACTOR]],0)</f>
        <v>0</v>
      </c>
      <c r="S602" s="25">
        <f>S601*(1+D601)+Table9[[#This Row],[ACC FACTOR PAYMENTS]]</f>
        <v>4604.7128151072666</v>
      </c>
    </row>
    <row r="603" spans="1:19" x14ac:dyDescent="0.25">
      <c r="A603" s="1">
        <v>591</v>
      </c>
      <c r="B603" s="1">
        <f t="shared" si="9"/>
        <v>0</v>
      </c>
      <c r="C603" s="7">
        <f>G$12/-PV(Table7[Monthly mortgage rate], (12*Table7[Amortization period (yrs)]),1 )</f>
        <v>4377.9977174134756</v>
      </c>
      <c r="D603" s="11">
        <f>IF(Table1[[#This Row],[Month]]&lt;=(12*Table7[mortgage term (yrs)]),Table7[Monthly mortgage rate],Table7[Monthly Exp Renewal Rate])</f>
        <v>4.9038466830562122E-3</v>
      </c>
      <c r="E603" s="21">
        <f>Table1[[#This Row],[Current mortgage rate]]*G602</f>
        <v>-22740.978415557693</v>
      </c>
      <c r="F603" s="5">
        <f>Table1[[#This Row],[Payment amount]]-Table1[[#This Row],[Interest paid]]</f>
        <v>27118.976132971169</v>
      </c>
      <c r="G603" s="20">
        <f>G602-Table1[[#This Row],[Principal repaid]]-Table1[[#This Row],[Annual paym]]</f>
        <v>-4664494.4663032489</v>
      </c>
      <c r="H603" s="20">
        <f>H602-(Table1[[#This Row],[Payment amount]]-Table1[[#This Row],[Interest Paid W/O LSP]])</f>
        <v>-2914065.1581708305</v>
      </c>
      <c r="I603">
        <f>H602*Table1[[#This Row],[Current mortgage rate]]</f>
        <v>-14199.029865014571</v>
      </c>
      <c r="J603" s="25">
        <f>IF(Table1[[#This Row],[Month]]&gt;Table7[Amortization period (yrs)]*12,0,IF(Table1[[#This Row],[Month]]&lt;Table7[mortgage term (yrs)]*12,0,IF(Table1[[#This Row],[Month]]=Table7[mortgage term (yrs)]*12,-H$5,Table1[[#This Row],[Payment amount]]+B603)))</f>
        <v>0</v>
      </c>
      <c r="K603">
        <v>592</v>
      </c>
      <c r="L603">
        <f>Table7[Initial Monthly Deposit]*Table9[[#This Row],[Inflation Modifier]]</f>
        <v>1055.5247172837664</v>
      </c>
      <c r="M603">
        <f xml:space="preserve"> (1+Table7[Inflation])^(QUOTIENT(Table9[[#This Row],[Month]]-1,12))</f>
        <v>2.6388117932094164</v>
      </c>
      <c r="N603">
        <f>N602*(1+Table7[Monthly SF Inter])+Table9[[#This Row],[Monthly Payment]]-O602*(1+Table7[Monthly SF Inter])</f>
        <v>89585.497815123788</v>
      </c>
      <c r="O603">
        <f>IF(MOD(Table9[[#This Row],[Month]],12)=0,(IF(Table9[[#This Row],[Current Balance]]&lt;Table9[[#This Row],[Max Lump Sum ]],Table9[[#This Row],[Current Balance]],Table9[[#This Row],[Max Lump Sum ]])),0)</f>
        <v>0</v>
      </c>
      <c r="P603" s="21">
        <f>Table7[Max annual lump sum repayment]*SUM(C604:C615)</f>
        <v>7880.3958913442566</v>
      </c>
      <c r="Q603" s="25">
        <f>Q602*(1+Table7[Monthly SF Inter])+Table9[[#This Row],[Inflation Modifier]]-R602*(1+Table7[Monthly SF Inter])</f>
        <v>10.620720288188036</v>
      </c>
      <c r="R603" s="25">
        <f>IF(MOD(Table9[[#This Row],[Month]],12)=0,Table9[[#This Row],[Q2 ACC FACTOR]],0)</f>
        <v>0</v>
      </c>
      <c r="S603" s="25">
        <f>S602*(1+D602)+Table9[[#This Row],[ACC FACTOR PAYMENTS]]</f>
        <v>4627.2936207720568</v>
      </c>
    </row>
    <row r="604" spans="1:19" x14ac:dyDescent="0.25">
      <c r="A604" s="1">
        <v>592</v>
      </c>
      <c r="B604" s="1">
        <f t="shared" si="9"/>
        <v>0</v>
      </c>
      <c r="C604" s="7">
        <f>G$12/-PV(Table7[Monthly mortgage rate], (12*Table7[Amortization period (yrs)]),1 )</f>
        <v>4377.9977174134756</v>
      </c>
      <c r="D604" s="11">
        <f>IF(Table1[[#This Row],[Month]]&lt;=(12*Table7[mortgage term (yrs)]),Table7[Monthly mortgage rate],Table7[Monthly Exp Renewal Rate])</f>
        <v>4.9038466830562122E-3</v>
      </c>
      <c r="E604" s="21">
        <f>Table1[[#This Row],[Current mortgage rate]]*G603</f>
        <v>-22873.965716715244</v>
      </c>
      <c r="F604" s="5">
        <f>Table1[[#This Row],[Payment amount]]-Table1[[#This Row],[Interest paid]]</f>
        <v>27251.96343412872</v>
      </c>
      <c r="G604" s="20">
        <f>G603-Table1[[#This Row],[Principal repaid]]-Table1[[#This Row],[Annual paym]]</f>
        <v>-4691746.4297373779</v>
      </c>
      <c r="H604" s="20">
        <f>H603-(Table1[[#This Row],[Payment amount]]-Table1[[#This Row],[Interest Paid W/O LSP]])</f>
        <v>-2932733.2846483495</v>
      </c>
      <c r="I604">
        <f>H603*Table1[[#This Row],[Current mortgage rate]]</f>
        <v>-14290.128760105703</v>
      </c>
      <c r="J604" s="25">
        <f>IF(Table1[[#This Row],[Month]]&gt;Table7[Amortization period (yrs)]*12,0,IF(Table1[[#This Row],[Month]]&lt;Table7[mortgage term (yrs)]*12,0,IF(Table1[[#This Row],[Month]]=Table7[mortgage term (yrs)]*12,-H$5,Table1[[#This Row],[Payment amount]]+B604)))</f>
        <v>0</v>
      </c>
      <c r="K604">
        <v>593</v>
      </c>
      <c r="L604">
        <f>Table7[Initial Monthly Deposit]*Table9[[#This Row],[Inflation Modifier]]</f>
        <v>1055.5247172837664</v>
      </c>
      <c r="M604">
        <f xml:space="preserve"> (1+Table7[Inflation])^(QUOTIENT(Table9[[#This Row],[Month]]-1,12))</f>
        <v>2.6388117932094164</v>
      </c>
      <c r="N604">
        <f>N603*(1+Table7[Monthly SF Inter])+Table9[[#This Row],[Monthly Payment]]-O603*(1+Table7[Monthly SF Inter])</f>
        <v>91010.465552299996</v>
      </c>
      <c r="O604">
        <f>IF(MOD(Table9[[#This Row],[Month]],12)=0,(IF(Table9[[#This Row],[Current Balance]]&lt;Table9[[#This Row],[Max Lump Sum ]],Table9[[#This Row],[Current Balance]],Table9[[#This Row],[Max Lump Sum ]])),0)</f>
        <v>0</v>
      </c>
      <c r="P604" s="21">
        <f>Table7[Max annual lump sum repayment]*SUM(C605:C616)</f>
        <v>7880.3958913442566</v>
      </c>
      <c r="Q604" s="25">
        <f>Q603*(1+Table7[Monthly SF Inter])+Table9[[#This Row],[Inflation Modifier]]-R603*(1+Table7[Monthly SF Inter])</f>
        <v>13.303331034044882</v>
      </c>
      <c r="R604" s="25">
        <f>IF(MOD(Table9[[#This Row],[Month]],12)=0,Table9[[#This Row],[Q2 ACC FACTOR]],0)</f>
        <v>0</v>
      </c>
      <c r="S604" s="25">
        <f>S603*(1+D603)+Table9[[#This Row],[ACC FACTOR PAYMENTS]]</f>
        <v>4649.9851592458072</v>
      </c>
    </row>
    <row r="605" spans="1:19" x14ac:dyDescent="0.25">
      <c r="A605" s="1">
        <v>593</v>
      </c>
      <c r="B605" s="1">
        <f t="shared" si="9"/>
        <v>0</v>
      </c>
      <c r="C605" s="7">
        <f>G$12/-PV(Table7[Monthly mortgage rate], (12*Table7[Amortization period (yrs)]),1 )</f>
        <v>4377.9977174134756</v>
      </c>
      <c r="D605" s="11">
        <f>IF(Table1[[#This Row],[Month]]&lt;=(12*Table7[mortgage term (yrs)]),Table7[Monthly mortgage rate],Table7[Monthly Exp Renewal Rate])</f>
        <v>4.9038466830562122E-3</v>
      </c>
      <c r="E605" s="21">
        <f>Table1[[#This Row],[Current mortgage rate]]*G604</f>
        <v>-23007.605167208465</v>
      </c>
      <c r="F605" s="5">
        <f>Table1[[#This Row],[Payment amount]]-Table1[[#This Row],[Interest paid]]</f>
        <v>27385.602884621941</v>
      </c>
      <c r="G605" s="20">
        <f>G604-Table1[[#This Row],[Principal repaid]]-Table1[[#This Row],[Annual paym]]</f>
        <v>-4719132.0326220002</v>
      </c>
      <c r="H605" s="20">
        <f>H604-(Table1[[#This Row],[Payment amount]]-Table1[[#This Row],[Interest Paid W/O LSP]])</f>
        <v>-2951492.9567559743</v>
      </c>
      <c r="I605">
        <f>H604*Table1[[#This Row],[Current mortgage rate]]</f>
        <v>-14381.674390211359</v>
      </c>
      <c r="J605" s="25">
        <f>IF(Table1[[#This Row],[Month]]&gt;Table7[Amortization period (yrs)]*12,0,IF(Table1[[#This Row],[Month]]&lt;Table7[mortgage term (yrs)]*12,0,IF(Table1[[#This Row],[Month]]=Table7[mortgage term (yrs)]*12,-H$5,Table1[[#This Row],[Payment amount]]+B605)))</f>
        <v>0</v>
      </c>
      <c r="K605">
        <v>594</v>
      </c>
      <c r="L605">
        <f>Table7[Initial Monthly Deposit]*Table9[[#This Row],[Inflation Modifier]]</f>
        <v>1055.5247172837664</v>
      </c>
      <c r="M605">
        <f xml:space="preserve"> (1+Table7[Inflation])^(QUOTIENT(Table9[[#This Row],[Month]]-1,12))</f>
        <v>2.6388117932094164</v>
      </c>
      <c r="N605">
        <f>N604*(1+Table7[Monthly SF Inter])+Table9[[#This Row],[Monthly Payment]]-O604*(1+Table7[Monthly SF Inter])</f>
        <v>92441.309735964867</v>
      </c>
      <c r="O605">
        <f>IF(MOD(Table9[[#This Row],[Month]],12)=0,(IF(Table9[[#This Row],[Current Balance]]&lt;Table9[[#This Row],[Max Lump Sum ]],Table9[[#This Row],[Current Balance]],Table9[[#This Row],[Max Lump Sum ]])),0)</f>
        <v>0</v>
      </c>
      <c r="P605" s="21">
        <f>Table7[Max annual lump sum repayment]*SUM(C606:C617)</f>
        <v>7880.3958913442566</v>
      </c>
      <c r="Q605" s="25">
        <f>Q604*(1+Table7[Monthly SF Inter])+Table9[[#This Row],[Inflation Modifier]]-R604*(1+Table7[Monthly SF Inter])</f>
        <v>15.99700463984353</v>
      </c>
      <c r="R605" s="25">
        <f>IF(MOD(Table9[[#This Row],[Month]],12)=0,Table9[[#This Row],[Q2 ACC FACTOR]],0)</f>
        <v>0</v>
      </c>
      <c r="S605" s="25">
        <f>S604*(1+D604)+Table9[[#This Row],[ACC FACTOR PAYMENTS]]</f>
        <v>4672.7879735452352</v>
      </c>
    </row>
    <row r="606" spans="1:19" x14ac:dyDescent="0.25">
      <c r="A606" s="1">
        <v>594</v>
      </c>
      <c r="B606" s="1">
        <f t="shared" si="9"/>
        <v>0</v>
      </c>
      <c r="C606" s="7">
        <f>G$12/-PV(Table7[Monthly mortgage rate], (12*Table7[Amortization period (yrs)]),1 )</f>
        <v>4377.9977174134756</v>
      </c>
      <c r="D606" s="11">
        <f>IF(Table1[[#This Row],[Month]]&lt;=(12*Table7[mortgage term (yrs)]),Table7[Monthly mortgage rate],Table7[Monthly Exp Renewal Rate])</f>
        <v>4.9038466830562122E-3</v>
      </c>
      <c r="E606" s="21">
        <f>Table1[[#This Row],[Current mortgage rate]]*G605</f>
        <v>-23141.899965077715</v>
      </c>
      <c r="F606" s="5">
        <f>Table1[[#This Row],[Payment amount]]-Table1[[#This Row],[Interest paid]]</f>
        <v>27519.897682491192</v>
      </c>
      <c r="G606" s="20">
        <f>G605-Table1[[#This Row],[Principal repaid]]-Table1[[#This Row],[Annual paym]]</f>
        <v>-4746651.930304491</v>
      </c>
      <c r="H606" s="20">
        <f>H605-(Table1[[#This Row],[Payment amount]]-Table1[[#This Row],[Interest Paid W/O LSP]])</f>
        <v>-2970344.6234194394</v>
      </c>
      <c r="I606">
        <f>H605*Table1[[#This Row],[Current mortgage rate]]</f>
        <v>-14473.668946051557</v>
      </c>
      <c r="J606" s="25">
        <f>IF(Table1[[#This Row],[Month]]&gt;Table7[Amortization period (yrs)]*12,0,IF(Table1[[#This Row],[Month]]&lt;Table7[mortgage term (yrs)]*12,0,IF(Table1[[#This Row],[Month]]=Table7[mortgage term (yrs)]*12,-H$5,Table1[[#This Row],[Payment amount]]+B606)))</f>
        <v>0</v>
      </c>
      <c r="K606">
        <v>595</v>
      </c>
      <c r="L606">
        <f>Table7[Initial Monthly Deposit]*Table9[[#This Row],[Inflation Modifier]]</f>
        <v>1055.5247172837664</v>
      </c>
      <c r="M606">
        <f xml:space="preserve"> (1+Table7[Inflation])^(QUOTIENT(Table9[[#This Row],[Month]]-1,12))</f>
        <v>2.6388117932094164</v>
      </c>
      <c r="N606">
        <f>N605*(1+Table7[Monthly SF Inter])+Table9[[#This Row],[Monthly Payment]]-O605*(1+Table7[Monthly SF Inter])</f>
        <v>93878.054600086965</v>
      </c>
      <c r="O606">
        <f>IF(MOD(Table9[[#This Row],[Month]],12)=0,(IF(Table9[[#This Row],[Current Balance]]&lt;Table9[[#This Row],[Max Lump Sum ]],Table9[[#This Row],[Current Balance]],Table9[[#This Row],[Max Lump Sum ]])),0)</f>
        <v>0</v>
      </c>
      <c r="P606" s="21">
        <f>Table7[Max annual lump sum repayment]*SUM(C607:C618)</f>
        <v>7880.3958913442566</v>
      </c>
      <c r="Q606" s="25">
        <f>Q605*(1+Table7[Monthly SF Inter])+Table9[[#This Row],[Inflation Modifier]]-R605*(1+Table7[Monthly SF Inter])</f>
        <v>18.701786727883182</v>
      </c>
      <c r="R606" s="25">
        <f>IF(MOD(Table9[[#This Row],[Month]],12)=0,Table9[[#This Row],[Q2 ACC FACTOR]],0)</f>
        <v>0</v>
      </c>
      <c r="S606" s="25">
        <f>S605*(1+D605)+Table9[[#This Row],[ACC FACTOR PAYMENTS]]</f>
        <v>4695.7026093499298</v>
      </c>
    </row>
    <row r="607" spans="1:19" x14ac:dyDescent="0.25">
      <c r="A607" s="1">
        <v>595</v>
      </c>
      <c r="B607" s="1">
        <f t="shared" si="9"/>
        <v>0</v>
      </c>
      <c r="C607" s="7">
        <f>G$12/-PV(Table7[Monthly mortgage rate], (12*Table7[Amortization period (yrs)]),1 )</f>
        <v>4377.9977174134756</v>
      </c>
      <c r="D607" s="11">
        <f>IF(Table1[[#This Row],[Month]]&lt;=(12*Table7[mortgage term (yrs)]),Table7[Monthly mortgage rate],Table7[Monthly Exp Renewal Rate])</f>
        <v>4.9038466830562122E-3</v>
      </c>
      <c r="E607" s="21">
        <f>Table1[[#This Row],[Current mortgage rate]]*G606</f>
        <v>-23276.853324046046</v>
      </c>
      <c r="F607" s="5">
        <f>Table1[[#This Row],[Payment amount]]-Table1[[#This Row],[Interest paid]]</f>
        <v>27654.851041459522</v>
      </c>
      <c r="G607" s="20">
        <f>G606-Table1[[#This Row],[Principal repaid]]-Table1[[#This Row],[Annual paym]]</f>
        <v>-4774306.7813459504</v>
      </c>
      <c r="H607" s="20">
        <f>H606-(Table1[[#This Row],[Payment amount]]-Table1[[#This Row],[Interest Paid W/O LSP]])</f>
        <v>-2989288.7357659424</v>
      </c>
      <c r="I607">
        <f>H606*Table1[[#This Row],[Current mortgage rate]]</f>
        <v>-14566.114629089272</v>
      </c>
      <c r="J607" s="25">
        <f>IF(Table1[[#This Row],[Month]]&gt;Table7[Amortization period (yrs)]*12,0,IF(Table1[[#This Row],[Month]]&lt;Table7[mortgage term (yrs)]*12,0,IF(Table1[[#This Row],[Month]]=Table7[mortgage term (yrs)]*12,-H$5,Table1[[#This Row],[Payment amount]]+B607)))</f>
        <v>0</v>
      </c>
      <c r="K607">
        <v>596</v>
      </c>
      <c r="L607">
        <f>Table7[Initial Monthly Deposit]*Table9[[#This Row],[Inflation Modifier]]</f>
        <v>1055.5247172837664</v>
      </c>
      <c r="M607">
        <f xml:space="preserve"> (1+Table7[Inflation])^(QUOTIENT(Table9[[#This Row],[Month]]-1,12))</f>
        <v>2.6388117932094164</v>
      </c>
      <c r="N607">
        <f>N606*(1+Table7[Monthly SF Inter])+Table9[[#This Row],[Monthly Payment]]-O606*(1+Table7[Monthly SF Inter])</f>
        <v>95320.724478573684</v>
      </c>
      <c r="O607">
        <f>IF(MOD(Table9[[#This Row],[Month]],12)=0,(IF(Table9[[#This Row],[Current Balance]]&lt;Table9[[#This Row],[Max Lump Sum ]],Table9[[#This Row],[Current Balance]],Table9[[#This Row],[Max Lump Sum ]])),0)</f>
        <v>0</v>
      </c>
      <c r="P607" s="21">
        <f>Table7[Max annual lump sum repayment]*SUM(C608:C619)</f>
        <v>7880.3958913442566</v>
      </c>
      <c r="Q607" s="25">
        <f>Q606*(1+Table7[Monthly SF Inter])+Table9[[#This Row],[Inflation Modifier]]-R606*(1+Table7[Monthly SF Inter])</f>
        <v>21.417723108605546</v>
      </c>
      <c r="R607" s="25">
        <f>IF(MOD(Table9[[#This Row],[Month]],12)=0,Table9[[#This Row],[Q2 ACC FACTOR]],0)</f>
        <v>0</v>
      </c>
      <c r="S607" s="25">
        <f>S606*(1+D606)+Table9[[#This Row],[ACC FACTOR PAYMENTS]]</f>
        <v>4718.7296150154089</v>
      </c>
    </row>
    <row r="608" spans="1:19" x14ac:dyDescent="0.25">
      <c r="A608" s="1">
        <v>596</v>
      </c>
      <c r="B608" s="1">
        <f t="shared" si="9"/>
        <v>0</v>
      </c>
      <c r="C608" s="7">
        <f>G$12/-PV(Table7[Monthly mortgage rate], (12*Table7[Amortization period (yrs)]),1 )</f>
        <v>4377.9977174134756</v>
      </c>
      <c r="D608" s="11">
        <f>IF(Table1[[#This Row],[Month]]&lt;=(12*Table7[mortgage term (yrs)]),Table7[Monthly mortgage rate],Table7[Monthly Exp Renewal Rate])</f>
        <v>4.9038466830562122E-3</v>
      </c>
      <c r="E608" s="21">
        <f>Table1[[#This Row],[Current mortgage rate]]*G607</f>
        <v>-23412.46847359612</v>
      </c>
      <c r="F608" s="5">
        <f>Table1[[#This Row],[Payment amount]]-Table1[[#This Row],[Interest paid]]</f>
        <v>27790.466191009597</v>
      </c>
      <c r="G608" s="20">
        <f>G607-Table1[[#This Row],[Principal repaid]]-Table1[[#This Row],[Annual paym]]</f>
        <v>-4802097.2475369601</v>
      </c>
      <c r="H608" s="20">
        <f>H607-(Table1[[#This Row],[Payment amount]]-Table1[[#This Row],[Interest Paid W/O LSP]])</f>
        <v>-3008325.7471349388</v>
      </c>
      <c r="I608">
        <f>H607*Table1[[#This Row],[Current mortgage rate]]</f>
        <v>-14659.013651583115</v>
      </c>
      <c r="J608" s="25">
        <f>IF(Table1[[#This Row],[Month]]&gt;Table7[Amortization period (yrs)]*12,0,IF(Table1[[#This Row],[Month]]&lt;Table7[mortgage term (yrs)]*12,0,IF(Table1[[#This Row],[Month]]=Table7[mortgage term (yrs)]*12,-H$5,Table1[[#This Row],[Payment amount]]+B608)))</f>
        <v>0</v>
      </c>
      <c r="K608">
        <v>597</v>
      </c>
      <c r="L608">
        <f>Table7[Initial Monthly Deposit]*Table9[[#This Row],[Inflation Modifier]]</f>
        <v>1055.5247172837664</v>
      </c>
      <c r="M608">
        <f xml:space="preserve"> (1+Table7[Inflation])^(QUOTIENT(Table9[[#This Row],[Month]]-1,12))</f>
        <v>2.6388117932094164</v>
      </c>
      <c r="N608">
        <f>N607*(1+Table7[Monthly SF Inter])+Table9[[#This Row],[Monthly Payment]]-O607*(1+Table7[Monthly SF Inter])</f>
        <v>96769.343805683398</v>
      </c>
      <c r="O608">
        <f>IF(MOD(Table9[[#This Row],[Month]],12)=0,(IF(Table9[[#This Row],[Current Balance]]&lt;Table9[[#This Row],[Max Lump Sum ]],Table9[[#This Row],[Current Balance]],Table9[[#This Row],[Max Lump Sum ]])),0)</f>
        <v>0</v>
      </c>
      <c r="P608" s="21">
        <f>Table7[Max annual lump sum repayment]*SUM(C609:C620)</f>
        <v>7880.3958913442566</v>
      </c>
      <c r="Q608" s="25">
        <f>Q607*(1+Table7[Monthly SF Inter])+Table9[[#This Row],[Inflation Modifier]]-R607*(1+Table7[Monthly SF Inter])</f>
        <v>24.14485978137072</v>
      </c>
      <c r="R608" s="25">
        <f>IF(MOD(Table9[[#This Row],[Month]],12)=0,Table9[[#This Row],[Q2 ACC FACTOR]],0)</f>
        <v>0</v>
      </c>
      <c r="S608" s="25">
        <f>S607*(1+D607)+Table9[[#This Row],[ACC FACTOR PAYMENTS]]</f>
        <v>4741.8695415862412</v>
      </c>
    </row>
    <row r="609" spans="1:19" x14ac:dyDescent="0.25">
      <c r="A609" s="1">
        <v>597</v>
      </c>
      <c r="B609" s="1">
        <f t="shared" si="9"/>
        <v>0</v>
      </c>
      <c r="C609" s="7">
        <f>G$12/-PV(Table7[Monthly mortgage rate], (12*Table7[Amortization period (yrs)]),1 )</f>
        <v>4377.9977174134756</v>
      </c>
      <c r="D609" s="11">
        <f>IF(Table1[[#This Row],[Month]]&lt;=(12*Table7[mortgage term (yrs)]),Table7[Monthly mortgage rate],Table7[Monthly Exp Renewal Rate])</f>
        <v>4.9038466830562122E-3</v>
      </c>
      <c r="E609" s="21">
        <f>Table1[[#This Row],[Current mortgage rate]]*G608</f>
        <v>-23548.748659047487</v>
      </c>
      <c r="F609" s="5">
        <f>Table1[[#This Row],[Payment amount]]-Table1[[#This Row],[Interest paid]]</f>
        <v>27926.746376460964</v>
      </c>
      <c r="G609" s="20">
        <f>G608-Table1[[#This Row],[Principal repaid]]-Table1[[#This Row],[Annual paym]]</f>
        <v>-4830023.9939134214</v>
      </c>
      <c r="H609" s="20">
        <f>H608-(Table1[[#This Row],[Payment amount]]-Table1[[#This Row],[Interest Paid W/O LSP]])</f>
        <v>-3027456.1130889924</v>
      </c>
      <c r="I609">
        <f>H608*Table1[[#This Row],[Current mortgage rate]]</f>
        <v>-14752.368236640272</v>
      </c>
      <c r="J609" s="25">
        <f>IF(Table1[[#This Row],[Month]]&gt;Table7[Amortization period (yrs)]*12,0,IF(Table1[[#This Row],[Month]]&lt;Table7[mortgage term (yrs)]*12,0,IF(Table1[[#This Row],[Month]]=Table7[mortgage term (yrs)]*12,-H$5,Table1[[#This Row],[Payment amount]]+B609)))</f>
        <v>0</v>
      </c>
      <c r="K609">
        <v>598</v>
      </c>
      <c r="L609">
        <f>Table7[Initial Monthly Deposit]*Table9[[#This Row],[Inflation Modifier]]</f>
        <v>1055.5247172837664</v>
      </c>
      <c r="M609">
        <f xml:space="preserve"> (1+Table7[Inflation])^(QUOTIENT(Table9[[#This Row],[Month]]-1,12))</f>
        <v>2.6388117932094164</v>
      </c>
      <c r="N609">
        <f>N608*(1+Table7[Monthly SF Inter])+Table9[[#This Row],[Monthly Payment]]-O608*(1+Table7[Monthly SF Inter])</f>
        <v>98223.93711643928</v>
      </c>
      <c r="O609">
        <f>IF(MOD(Table9[[#This Row],[Month]],12)=0,(IF(Table9[[#This Row],[Current Balance]]&lt;Table9[[#This Row],[Max Lump Sum ]],Table9[[#This Row],[Current Balance]],Table9[[#This Row],[Max Lump Sum ]])),0)</f>
        <v>0</v>
      </c>
      <c r="P609" s="21">
        <f>Table7[Max annual lump sum repayment]*SUM(C610:C621)</f>
        <v>7880.3958913442566</v>
      </c>
      <c r="Q609" s="25">
        <f>Q608*(1+Table7[Monthly SF Inter])+Table9[[#This Row],[Inflation Modifier]]-R608*(1+Table7[Monthly SF Inter])</f>
        <v>26.883242935236272</v>
      </c>
      <c r="R609" s="25">
        <f>IF(MOD(Table9[[#This Row],[Month]],12)=0,Table9[[#This Row],[Q2 ACC FACTOR]],0)</f>
        <v>0</v>
      </c>
      <c r="S609" s="25">
        <f>S608*(1+D608)+Table9[[#This Row],[ACC FACTOR PAYMENTS]]</f>
        <v>4765.1229428092338</v>
      </c>
    </row>
    <row r="610" spans="1:19" x14ac:dyDescent="0.25">
      <c r="A610" s="1">
        <v>598</v>
      </c>
      <c r="B610" s="1">
        <f t="shared" si="9"/>
        <v>0</v>
      </c>
      <c r="C610" s="7">
        <f>G$12/-PV(Table7[Monthly mortgage rate], (12*Table7[Amortization period (yrs)]),1 )</f>
        <v>4377.9977174134756</v>
      </c>
      <c r="D610" s="11">
        <f>IF(Table1[[#This Row],[Month]]&lt;=(12*Table7[mortgage term (yrs)]),Table7[Monthly mortgage rate],Table7[Monthly Exp Renewal Rate])</f>
        <v>4.9038466830562122E-3</v>
      </c>
      <c r="E610" s="21">
        <f>Table1[[#This Row],[Current mortgage rate]]*G609</f>
        <v>-23685.697141634249</v>
      </c>
      <c r="F610" s="5">
        <f>Table1[[#This Row],[Payment amount]]-Table1[[#This Row],[Interest paid]]</f>
        <v>28063.694859047726</v>
      </c>
      <c r="G610" s="20">
        <f>G609-Table1[[#This Row],[Principal repaid]]-Table1[[#This Row],[Annual paym]]</f>
        <v>-4858087.6887724688</v>
      </c>
      <c r="H610" s="20">
        <f>H609-(Table1[[#This Row],[Payment amount]]-Table1[[#This Row],[Interest Paid W/O LSP]])</f>
        <v>-3046680.2914246754</v>
      </c>
      <c r="I610">
        <f>H609*Table1[[#This Row],[Current mortgage rate]]</f>
        <v>-14846.180618269709</v>
      </c>
      <c r="J610" s="25">
        <f>IF(Table1[[#This Row],[Month]]&gt;Table7[Amortization period (yrs)]*12,0,IF(Table1[[#This Row],[Month]]&lt;Table7[mortgage term (yrs)]*12,0,IF(Table1[[#This Row],[Month]]=Table7[mortgage term (yrs)]*12,-H$5,Table1[[#This Row],[Payment amount]]+B610)))</f>
        <v>0</v>
      </c>
      <c r="K610">
        <v>599</v>
      </c>
      <c r="L610">
        <f>Table7[Initial Monthly Deposit]*Table9[[#This Row],[Inflation Modifier]]</f>
        <v>1055.5247172837664</v>
      </c>
      <c r="M610">
        <f xml:space="preserve"> (1+Table7[Inflation])^(QUOTIENT(Table9[[#This Row],[Month]]-1,12))</f>
        <v>2.6388117932094164</v>
      </c>
      <c r="N610">
        <f>N609*(1+Table7[Monthly SF Inter])+Table9[[#This Row],[Monthly Payment]]-O609*(1+Table7[Monthly SF Inter])</f>
        <v>99684.529047044882</v>
      </c>
      <c r="O610">
        <f>IF(MOD(Table9[[#This Row],[Month]],12)=0,(IF(Table9[[#This Row],[Current Balance]]&lt;Table9[[#This Row],[Max Lump Sum ]],Table9[[#This Row],[Current Balance]],Table9[[#This Row],[Max Lump Sum ]])),0)</f>
        <v>0</v>
      </c>
      <c r="P610" s="21">
        <f>Table7[Max annual lump sum repayment]*SUM(C611:C622)</f>
        <v>7880.3958913442566</v>
      </c>
      <c r="Q610" s="25">
        <f>Q609*(1+Table7[Monthly SF Inter])+Table9[[#This Row],[Inflation Modifier]]-R609*(1+Table7[Monthly SF Inter])</f>
        <v>29.63291894973954</v>
      </c>
      <c r="R610" s="25">
        <f>IF(MOD(Table9[[#This Row],[Month]],12)=0,Table9[[#This Row],[Q2 ACC FACTOR]],0)</f>
        <v>0</v>
      </c>
      <c r="S610" s="25">
        <f>S609*(1+D609)+Table9[[#This Row],[ACC FACTOR PAYMENTS]]</f>
        <v>4788.4903751466836</v>
      </c>
    </row>
    <row r="611" spans="1:19" x14ac:dyDescent="0.25">
      <c r="A611" s="1">
        <v>599</v>
      </c>
      <c r="B611" s="1">
        <f t="shared" si="9"/>
        <v>0</v>
      </c>
      <c r="C611" s="7">
        <f>G$12/-PV(Table7[Monthly mortgage rate], (12*Table7[Amortization period (yrs)]),1 )</f>
        <v>4377.9977174134756</v>
      </c>
      <c r="D611" s="11">
        <f>IF(Table1[[#This Row],[Month]]&lt;=(12*Table7[mortgage term (yrs)]),Table7[Monthly mortgage rate],Table7[Monthly Exp Renewal Rate])</f>
        <v>4.9038466830562122E-3</v>
      </c>
      <c r="E611" s="21">
        <f>Table1[[#This Row],[Current mortgage rate]]*G610</f>
        <v>-23823.317198583092</v>
      </c>
      <c r="F611" s="5">
        <f>Table1[[#This Row],[Payment amount]]-Table1[[#This Row],[Interest paid]]</f>
        <v>28201.314915996569</v>
      </c>
      <c r="G611" s="20">
        <f>G610-Table1[[#This Row],[Principal repaid]]-Table1[[#This Row],[Annual paym]]</f>
        <v>-4886289.0036884658</v>
      </c>
      <c r="H611" s="20">
        <f>H610-(Table1[[#This Row],[Payment amount]]-Table1[[#This Row],[Interest Paid W/O LSP]])</f>
        <v>-3065998.7421835246</v>
      </c>
      <c r="I611">
        <f>H610*Table1[[#This Row],[Current mortgage rate]]</f>
        <v>-14940.453041435629</v>
      </c>
      <c r="J611" s="25">
        <f>IF(Table1[[#This Row],[Month]]&gt;Table7[Amortization period (yrs)]*12,0,IF(Table1[[#This Row],[Month]]&lt;Table7[mortgage term (yrs)]*12,0,IF(Table1[[#This Row],[Month]]=Table7[mortgage term (yrs)]*12,-H$5,Table1[[#This Row],[Payment amount]]+B611)))</f>
        <v>0</v>
      </c>
      <c r="K611">
        <v>600</v>
      </c>
      <c r="L611">
        <f>Table7[Initial Monthly Deposit]*Table9[[#This Row],[Inflation Modifier]]</f>
        <v>1055.5247172837664</v>
      </c>
      <c r="M611">
        <f xml:space="preserve"> (1+Table7[Inflation])^(QUOTIENT(Table9[[#This Row],[Month]]-1,12))</f>
        <v>2.6388117932094164</v>
      </c>
      <c r="N611">
        <f>N610*(1+Table7[Monthly SF Inter])+Table9[[#This Row],[Monthly Payment]]-O610*(1+Table7[Monthly SF Inter])</f>
        <v>101151.14433530137</v>
      </c>
      <c r="O611">
        <f>IF(MOD(Table9[[#This Row],[Month]],12)=0,(IF(Table9[[#This Row],[Current Balance]]&lt;Table9[[#This Row],[Max Lump Sum ]],Table9[[#This Row],[Current Balance]],Table9[[#This Row],[Max Lump Sum ]])),0)</f>
        <v>7880.3958913442566</v>
      </c>
      <c r="P611" s="21">
        <f>Table7[Max annual lump sum repayment]*SUM(C612:C623)</f>
        <v>7880.3958913442566</v>
      </c>
      <c r="Q611" s="25">
        <f>Q610*(1+Table7[Monthly SF Inter])+Table9[[#This Row],[Inflation Modifier]]-R610*(1+Table7[Monthly SF Inter])</f>
        <v>32.393934395683154</v>
      </c>
      <c r="R611" s="25">
        <f>IF(MOD(Table9[[#This Row],[Month]],12)=0,Table9[[#This Row],[Q2 ACC FACTOR]],0)</f>
        <v>32.393934395683154</v>
      </c>
      <c r="S611" s="25">
        <f>S610*(1+D610)+Table9[[#This Row],[ACC FACTOR PAYMENTS]]</f>
        <v>4844.3663321853765</v>
      </c>
    </row>
    <row r="612" spans="1:19" x14ac:dyDescent="0.25">
      <c r="A612" s="1">
        <v>600</v>
      </c>
      <c r="B612" s="1">
        <f t="shared" si="9"/>
        <v>7880.3958913442566</v>
      </c>
      <c r="C612" s="7">
        <f>G$12/-PV(Table7[Monthly mortgage rate], (12*Table7[Amortization period (yrs)]),1 )</f>
        <v>4377.9977174134756</v>
      </c>
      <c r="D612" s="11">
        <f>IF(Table1[[#This Row],[Month]]&lt;=(12*Table7[mortgage term (yrs)]),Table7[Monthly mortgage rate],Table7[Monthly Exp Renewal Rate])</f>
        <v>4.9038466830562122E-3</v>
      </c>
      <c r="E612" s="21">
        <f>Table1[[#This Row],[Current mortgage rate]]*G611</f>
        <v>-23961.612123191728</v>
      </c>
      <c r="F612" s="5">
        <f>Table1[[#This Row],[Payment amount]]-Table1[[#This Row],[Interest paid]]</f>
        <v>28339.609840605204</v>
      </c>
      <c r="G612" s="20">
        <f>G611-Table1[[#This Row],[Principal repaid]]-Table1[[#This Row],[Annual paym]]</f>
        <v>-4922509.0094204154</v>
      </c>
      <c r="H612" s="20">
        <f>H611-(Table1[[#This Row],[Payment amount]]-Table1[[#This Row],[Interest Paid W/O LSP]])</f>
        <v>-3085411.9276630492</v>
      </c>
      <c r="I612">
        <f>H611*Table1[[#This Row],[Current mortgage rate]]</f>
        <v>-15035.187762111196</v>
      </c>
      <c r="J612" s="25">
        <f>IF(Table1[[#This Row],[Month]]&gt;Table7[Amortization period (yrs)]*12,0,IF(Table1[[#This Row],[Month]]&lt;Table7[mortgage term (yrs)]*12,0,IF(Table1[[#This Row],[Month]]=Table7[mortgage term (yrs)]*12,-H$5,Table1[[#This Row],[Payment amount]]+B612)))</f>
        <v>0</v>
      </c>
      <c r="K612">
        <v>601</v>
      </c>
      <c r="L612">
        <f>Table7[Initial Monthly Deposit]*Table9[[#This Row],[Inflation Modifier]]</f>
        <v>1076.635211629442</v>
      </c>
      <c r="M612">
        <f xml:space="preserve"> (1+Table7[Inflation])^(QUOTIENT(Table9[[#This Row],[Month]]-1,12))</f>
        <v>2.6915880290736047</v>
      </c>
      <c r="N612">
        <f>N611*(1+Table7[Monthly SF Inter])+Table9[[#This Row],[Monthly Payment]]-O611*(1+Table7[Monthly SF Inter])</f>
        <v>94732.024337540177</v>
      </c>
      <c r="O612">
        <f>IF(MOD(Table9[[#This Row],[Month]],12)=0,(IF(Table9[[#This Row],[Current Balance]]&lt;Table9[[#This Row],[Max Lump Sum ]],Table9[[#This Row],[Current Balance]],Table9[[#This Row],[Max Lump Sum ]])),0)</f>
        <v>0</v>
      </c>
      <c r="P612" s="21">
        <f>Table7[Max annual lump sum repayment]*SUM(C613:C624)</f>
        <v>7880.3958913442566</v>
      </c>
      <c r="Q612" s="25">
        <f>Q611*(1+Table7[Monthly SF Inter])+Table9[[#This Row],[Inflation Modifier]]-R611*(1+Table7[Monthly SF Inter])</f>
        <v>2.6915880290736069</v>
      </c>
      <c r="R612" s="25">
        <f>IF(MOD(Table9[[#This Row],[Month]],12)=0,Table9[[#This Row],[Q2 ACC FACTOR]],0)</f>
        <v>0</v>
      </c>
      <c r="S612" s="25">
        <f>S611*(1+D611)+Table9[[#This Row],[ACC FACTOR PAYMENTS]]</f>
        <v>4868.1223619549728</v>
      </c>
    </row>
    <row r="613" spans="1:19" x14ac:dyDescent="0.25">
      <c r="A613" s="1">
        <v>601</v>
      </c>
      <c r="B613" s="1">
        <f t="shared" si="9"/>
        <v>0</v>
      </c>
      <c r="C613" s="7">
        <f>G$12/-PV(Table7[Monthly mortgage rate], (12*Table7[Amortization period (yrs)]),1 )</f>
        <v>4377.9977174134756</v>
      </c>
      <c r="D613" s="11">
        <f>IF(Table1[[#This Row],[Month]]&lt;=(12*Table7[mortgage term (yrs)]),Table7[Monthly mortgage rate],Table7[Monthly Exp Renewal Rate])</f>
        <v>4.9038466830562122E-3</v>
      </c>
      <c r="E613" s="21">
        <f>Table1[[#This Row],[Current mortgage rate]]*G612</f>
        <v>-24139.229478160625</v>
      </c>
      <c r="F613" s="5">
        <f>Table1[[#This Row],[Payment amount]]-Table1[[#This Row],[Interest paid]]</f>
        <v>28517.227195574102</v>
      </c>
      <c r="G613" s="20">
        <f>G612-Table1[[#This Row],[Principal repaid]]-Table1[[#This Row],[Annual paym]]</f>
        <v>-4951026.2366159894</v>
      </c>
      <c r="H613" s="20">
        <f>H612-(Table1[[#This Row],[Payment amount]]-Table1[[#This Row],[Interest Paid W/O LSP]])</f>
        <v>-3104920.312427795</v>
      </c>
      <c r="I613">
        <f>H612*Table1[[#This Row],[Current mortgage rate]]</f>
        <v>-15130.387047332517</v>
      </c>
      <c r="J613" s="25">
        <f>IF(Table1[[#This Row],[Month]]&gt;Table7[Amortization period (yrs)]*12,0,IF(Table1[[#This Row],[Month]]&lt;Table7[mortgage term (yrs)]*12,0,IF(Table1[[#This Row],[Month]]=Table7[mortgage term (yrs)]*12,-H$5,Table1[[#This Row],[Payment amount]]+B613)))</f>
        <v>0</v>
      </c>
      <c r="K613">
        <v>602</v>
      </c>
      <c r="L613">
        <f>Table7[Initial Monthly Deposit]*Table9[[#This Row],[Inflation Modifier]]</f>
        <v>1076.635211629442</v>
      </c>
      <c r="M613">
        <f xml:space="preserve"> (1+Table7[Inflation])^(QUOTIENT(Table9[[#This Row],[Month]]-1,12))</f>
        <v>2.6915880290736047</v>
      </c>
      <c r="N613">
        <f>N612*(1+Table7[Monthly SF Inter])+Table9[[#This Row],[Monthly Payment]]-O612*(1+Table7[Monthly SF Inter])</f>
        <v>96199.326409379617</v>
      </c>
      <c r="O613">
        <f>IF(MOD(Table9[[#This Row],[Month]],12)=0,(IF(Table9[[#This Row],[Current Balance]]&lt;Table9[[#This Row],[Max Lump Sum ]],Table9[[#This Row],[Current Balance]],Table9[[#This Row],[Max Lump Sum ]])),0)</f>
        <v>0</v>
      </c>
      <c r="P613" s="21">
        <f>Table7[Max annual lump sum repayment]*SUM(C614:C625)</f>
        <v>7880.3958913442566</v>
      </c>
      <c r="Q613" s="25">
        <f>Q612*(1+Table7[Monthly SF Inter])+Table9[[#This Row],[Inflation Modifier]]-R612*(1+Table7[Monthly SF Inter])</f>
        <v>5.3942759396461053</v>
      </c>
      <c r="R613" s="25">
        <f>IF(MOD(Table9[[#This Row],[Month]],12)=0,Table9[[#This Row],[Q2 ACC FACTOR]],0)</f>
        <v>0</v>
      </c>
      <c r="S613" s="25">
        <f>S612*(1+D612)+Table9[[#This Row],[ACC FACTOR PAYMENTS]]</f>
        <v>4891.9948876523576</v>
      </c>
    </row>
    <row r="614" spans="1:19" x14ac:dyDescent="0.25">
      <c r="A614" s="1">
        <v>602</v>
      </c>
      <c r="B614" s="1">
        <f t="shared" si="9"/>
        <v>0</v>
      </c>
      <c r="C614" s="7">
        <f>G$12/-PV(Table7[Monthly mortgage rate], (12*Table7[Amortization period (yrs)]),1 )</f>
        <v>4377.9977174134756</v>
      </c>
      <c r="D614" s="11">
        <f>IF(Table1[[#This Row],[Month]]&lt;=(12*Table7[mortgage term (yrs)]),Table7[Monthly mortgage rate],Table7[Monthly Exp Renewal Rate])</f>
        <v>4.9038466830562122E-3</v>
      </c>
      <c r="E614" s="21">
        <f>Table1[[#This Row],[Current mortgage rate]]*G613</f>
        <v>-24279.073588153602</v>
      </c>
      <c r="F614" s="5">
        <f>Table1[[#This Row],[Payment amount]]-Table1[[#This Row],[Interest paid]]</f>
        <v>28657.071305567079</v>
      </c>
      <c r="G614" s="20">
        <f>G613-Table1[[#This Row],[Principal repaid]]-Table1[[#This Row],[Annual paym]]</f>
        <v>-4979683.3079215568</v>
      </c>
      <c r="H614" s="20">
        <f>H613-(Table1[[#This Row],[Payment amount]]-Table1[[#This Row],[Interest Paid W/O LSP]])</f>
        <v>-3124524.3633204615</v>
      </c>
      <c r="I614">
        <f>H613*Table1[[#This Row],[Current mortgage rate]]</f>
        <v>-15226.0531752529</v>
      </c>
      <c r="J614" s="25">
        <f>IF(Table1[[#This Row],[Month]]&gt;Table7[Amortization period (yrs)]*12,0,IF(Table1[[#This Row],[Month]]&lt;Table7[mortgage term (yrs)]*12,0,IF(Table1[[#This Row],[Month]]=Table7[mortgage term (yrs)]*12,-H$5,Table1[[#This Row],[Payment amount]]+B614)))</f>
        <v>0</v>
      </c>
      <c r="K614">
        <v>603</v>
      </c>
      <c r="L614">
        <f>Table7[Initial Monthly Deposit]*Table9[[#This Row],[Inflation Modifier]]</f>
        <v>1076.635211629442</v>
      </c>
      <c r="M614">
        <f xml:space="preserve"> (1+Table7[Inflation])^(QUOTIENT(Table9[[#This Row],[Month]]-1,12))</f>
        <v>2.6915880290736047</v>
      </c>
      <c r="N614">
        <f>N613*(1+Table7[Monthly SF Inter])+Table9[[#This Row],[Monthly Payment]]-O613*(1+Table7[Monthly SF Inter])</f>
        <v>97672.679510925154</v>
      </c>
      <c r="O614">
        <f>IF(MOD(Table9[[#This Row],[Month]],12)=0,(IF(Table9[[#This Row],[Current Balance]]&lt;Table9[[#This Row],[Max Lump Sum ]],Table9[[#This Row],[Current Balance]],Table9[[#This Row],[Max Lump Sum ]])),0)</f>
        <v>0</v>
      </c>
      <c r="P614" s="21">
        <f>Table7[Max annual lump sum repayment]*SUM(C615:C626)</f>
        <v>7880.3958913442566</v>
      </c>
      <c r="Q614" s="25">
        <f>Q613*(1+Table7[Monthly SF Inter])+Table9[[#This Row],[Inflation Modifier]]-R613*(1+Table7[Monthly SF Inter])</f>
        <v>8.1081095066904716</v>
      </c>
      <c r="R614" s="25">
        <f>IF(MOD(Table9[[#This Row],[Month]],12)=0,Table9[[#This Row],[Q2 ACC FACTOR]],0)</f>
        <v>0</v>
      </c>
      <c r="S614" s="25">
        <f>S613*(1+D613)+Table9[[#This Row],[ACC FACTOR PAYMENTS]]</f>
        <v>4915.9844805556995</v>
      </c>
    </row>
    <row r="615" spans="1:19" x14ac:dyDescent="0.25">
      <c r="A615" s="1">
        <v>603</v>
      </c>
      <c r="B615" s="1">
        <f t="shared" si="9"/>
        <v>0</v>
      </c>
      <c r="C615" s="7">
        <f>G$12/-PV(Table7[Monthly mortgage rate], (12*Table7[Amortization period (yrs)]),1 )</f>
        <v>4377.9977174134756</v>
      </c>
      <c r="D615" s="11">
        <f>IF(Table1[[#This Row],[Month]]&lt;=(12*Table7[mortgage term (yrs)]),Table7[Monthly mortgage rate],Table7[Monthly Exp Renewal Rate])</f>
        <v>4.9038466830562122E-3</v>
      </c>
      <c r="E615" s="21">
        <f>Table1[[#This Row],[Current mortgage rate]]*G614</f>
        <v>-24419.603472221512</v>
      </c>
      <c r="F615" s="5">
        <f>Table1[[#This Row],[Payment amount]]-Table1[[#This Row],[Interest paid]]</f>
        <v>28797.601189634988</v>
      </c>
      <c r="G615" s="20">
        <f>G614-Table1[[#This Row],[Principal repaid]]-Table1[[#This Row],[Annual paym]]</f>
        <v>-5008480.9091111915</v>
      </c>
      <c r="H615" s="20">
        <f>H614-(Table1[[#This Row],[Payment amount]]-Table1[[#This Row],[Interest Paid W/O LSP]])</f>
        <v>-3144224.5494730724</v>
      </c>
      <c r="I615">
        <f>H614*Table1[[#This Row],[Current mortgage rate]]</f>
        <v>-15322.188435197368</v>
      </c>
      <c r="J615" s="25">
        <f>IF(Table1[[#This Row],[Month]]&gt;Table7[Amortization period (yrs)]*12,0,IF(Table1[[#This Row],[Month]]&lt;Table7[mortgage term (yrs)]*12,0,IF(Table1[[#This Row],[Month]]=Table7[mortgage term (yrs)]*12,-H$5,Table1[[#This Row],[Payment amount]]+B615)))</f>
        <v>0</v>
      </c>
      <c r="K615">
        <v>604</v>
      </c>
      <c r="L615">
        <f>Table7[Initial Monthly Deposit]*Table9[[#This Row],[Inflation Modifier]]</f>
        <v>1076.635211629442</v>
      </c>
      <c r="M615">
        <f xml:space="preserve"> (1+Table7[Inflation])^(QUOTIENT(Table9[[#This Row],[Month]]-1,12))</f>
        <v>2.6915880290736047</v>
      </c>
      <c r="N615">
        <f>N614*(1+Table7[Monthly SF Inter])+Table9[[#This Row],[Monthly Payment]]-O614*(1+Table7[Monthly SF Inter])</f>
        <v>99152.108596111779</v>
      </c>
      <c r="O615">
        <f>IF(MOD(Table9[[#This Row],[Month]],12)=0,(IF(Table9[[#This Row],[Current Balance]]&lt;Table9[[#This Row],[Max Lump Sum ]],Table9[[#This Row],[Current Balance]],Table9[[#This Row],[Max Lump Sum ]])),0)</f>
        <v>0</v>
      </c>
      <c r="P615" s="21">
        <f>Table7[Max annual lump sum repayment]*SUM(C616:C627)</f>
        <v>7880.3958913442566</v>
      </c>
      <c r="Q615" s="25">
        <f>Q614*(1+Table7[Monthly SF Inter])+Table9[[#This Row],[Inflation Modifier]]-R614*(1+Table7[Monthly SF Inter])</f>
        <v>10.8331346939518</v>
      </c>
      <c r="R615" s="25">
        <f>IF(MOD(Table9[[#This Row],[Month]],12)=0,Table9[[#This Row],[Q2 ACC FACTOR]],0)</f>
        <v>0</v>
      </c>
      <c r="S615" s="25">
        <f>S614*(1+D614)+Table9[[#This Row],[ACC FACTOR PAYMENTS]]</f>
        <v>4940.091714744628</v>
      </c>
    </row>
    <row r="616" spans="1:19" x14ac:dyDescent="0.25">
      <c r="A616" s="1">
        <v>604</v>
      </c>
      <c r="B616" s="1">
        <f t="shared" si="9"/>
        <v>0</v>
      </c>
      <c r="C616" s="7">
        <f>G$12/-PV(Table7[Monthly mortgage rate], (12*Table7[Amortization period (yrs)]),1 )</f>
        <v>4377.9977174134756</v>
      </c>
      <c r="D616" s="11">
        <f>IF(Table1[[#This Row],[Month]]&lt;=(12*Table7[mortgage term (yrs)]),Table7[Monthly mortgage rate],Table7[Monthly Exp Renewal Rate])</f>
        <v>4.9038466830562122E-3</v>
      </c>
      <c r="E616" s="21">
        <f>Table1[[#This Row],[Current mortgage rate]]*G615</f>
        <v>-24560.82249329528</v>
      </c>
      <c r="F616" s="5">
        <f>Table1[[#This Row],[Payment amount]]-Table1[[#This Row],[Interest paid]]</f>
        <v>28938.820210708756</v>
      </c>
      <c r="G616" s="20">
        <f>G615-Table1[[#This Row],[Principal repaid]]-Table1[[#This Row],[Annual paym]]</f>
        <v>-5037419.7293218998</v>
      </c>
      <c r="H616" s="20">
        <f>H615-(Table1[[#This Row],[Payment amount]]-Table1[[#This Row],[Interest Paid W/O LSP]])</f>
        <v>-3164021.3423182033</v>
      </c>
      <c r="I616">
        <f>H615*Table1[[#This Row],[Current mortgage rate]]</f>
        <v>-15418.79512771744</v>
      </c>
      <c r="J616" s="25">
        <f>IF(Table1[[#This Row],[Month]]&gt;Table7[Amortization period (yrs)]*12,0,IF(Table1[[#This Row],[Month]]&lt;Table7[mortgage term (yrs)]*12,0,IF(Table1[[#This Row],[Month]]=Table7[mortgage term (yrs)]*12,-H$5,Table1[[#This Row],[Payment amount]]+B616)))</f>
        <v>0</v>
      </c>
      <c r="K616">
        <v>605</v>
      </c>
      <c r="L616">
        <f>Table7[Initial Monthly Deposit]*Table9[[#This Row],[Inflation Modifier]]</f>
        <v>1076.635211629442</v>
      </c>
      <c r="M616">
        <f xml:space="preserve"> (1+Table7[Inflation])^(QUOTIENT(Table9[[#This Row],[Month]]-1,12))</f>
        <v>2.6915880290736047</v>
      </c>
      <c r="N616">
        <f>N615*(1+Table7[Monthly SF Inter])+Table9[[#This Row],[Monthly Payment]]-O615*(1+Table7[Monthly SF Inter])</f>
        <v>100637.63872178239</v>
      </c>
      <c r="O616">
        <f>IF(MOD(Table9[[#This Row],[Month]],12)=0,(IF(Table9[[#This Row],[Current Balance]]&lt;Table9[[#This Row],[Max Lump Sum ]],Table9[[#This Row],[Current Balance]],Table9[[#This Row],[Max Lump Sum ]])),0)</f>
        <v>0</v>
      </c>
      <c r="P616" s="21">
        <f>Table7[Max annual lump sum repayment]*SUM(C617:C628)</f>
        <v>7880.3958913442566</v>
      </c>
      <c r="Q616" s="25">
        <f>Q615*(1+Table7[Monthly SF Inter])+Table9[[#This Row],[Inflation Modifier]]-R615*(1+Table7[Monthly SF Inter])</f>
        <v>13.569397654725783</v>
      </c>
      <c r="R616" s="25">
        <f>IF(MOD(Table9[[#This Row],[Month]],12)=0,Table9[[#This Row],[Q2 ACC FACTOR]],0)</f>
        <v>0</v>
      </c>
      <c r="S616" s="25">
        <f>S615*(1+D615)+Table9[[#This Row],[ACC FACTOR PAYMENTS]]</f>
        <v>4964.3171671139717</v>
      </c>
    </row>
    <row r="617" spans="1:19" x14ac:dyDescent="0.25">
      <c r="A617" s="1">
        <v>605</v>
      </c>
      <c r="B617" s="1">
        <f t="shared" si="9"/>
        <v>0</v>
      </c>
      <c r="C617" s="7">
        <f>G$12/-PV(Table7[Monthly mortgage rate], (12*Table7[Amortization period (yrs)]),1 )</f>
        <v>4377.9977174134756</v>
      </c>
      <c r="D617" s="11">
        <f>IF(Table1[[#This Row],[Month]]&lt;=(12*Table7[mortgage term (yrs)]),Table7[Monthly mortgage rate],Table7[Monthly Exp Renewal Rate])</f>
        <v>4.9038466830562122E-3</v>
      </c>
      <c r="E617" s="21">
        <f>Table1[[#This Row],[Current mortgage rate]]*G616</f>
        <v>-24702.734030797121</v>
      </c>
      <c r="F617" s="5">
        <f>Table1[[#This Row],[Payment amount]]-Table1[[#This Row],[Interest paid]]</f>
        <v>29080.731748210597</v>
      </c>
      <c r="G617" s="20">
        <f>G616-Table1[[#This Row],[Principal repaid]]-Table1[[#This Row],[Annual paym]]</f>
        <v>-5066500.4610701101</v>
      </c>
      <c r="H617" s="20">
        <f>H616-(Table1[[#This Row],[Payment amount]]-Table1[[#This Row],[Interest Paid W/O LSP]])</f>
        <v>-3183915.2156002629</v>
      </c>
      <c r="I617">
        <f>H616*Table1[[#This Row],[Current mortgage rate]]</f>
        <v>-15515.875564646185</v>
      </c>
      <c r="J617" s="25">
        <f>IF(Table1[[#This Row],[Month]]&gt;Table7[Amortization period (yrs)]*12,0,IF(Table1[[#This Row],[Month]]&lt;Table7[mortgage term (yrs)]*12,0,IF(Table1[[#This Row],[Month]]=Table7[mortgage term (yrs)]*12,-H$5,Table1[[#This Row],[Payment amount]]+B617)))</f>
        <v>0</v>
      </c>
      <c r="K617">
        <v>606</v>
      </c>
      <c r="L617">
        <f>Table7[Initial Monthly Deposit]*Table9[[#This Row],[Inflation Modifier]]</f>
        <v>1076.635211629442</v>
      </c>
      <c r="M617">
        <f xml:space="preserve"> (1+Table7[Inflation])^(QUOTIENT(Table9[[#This Row],[Month]]-1,12))</f>
        <v>2.6915880290736047</v>
      </c>
      <c r="N617">
        <f>N616*(1+Table7[Monthly SF Inter])+Table9[[#This Row],[Monthly Payment]]-O616*(1+Table7[Monthly SF Inter])</f>
        <v>102129.2950481122</v>
      </c>
      <c r="O617">
        <f>IF(MOD(Table9[[#This Row],[Month]],12)=0,(IF(Table9[[#This Row],[Current Balance]]&lt;Table9[[#This Row],[Max Lump Sum ]],Table9[[#This Row],[Current Balance]],Table9[[#This Row],[Max Lump Sum ]])),0)</f>
        <v>0</v>
      </c>
      <c r="P617" s="21">
        <f>Table7[Max annual lump sum repayment]*SUM(C618:C629)</f>
        <v>7880.3958913442566</v>
      </c>
      <c r="Q617" s="25">
        <f>Q616*(1+Table7[Monthly SF Inter])+Table9[[#This Row],[Inflation Modifier]]-R616*(1+Table7[Monthly SF Inter])</f>
        <v>16.316944732640405</v>
      </c>
      <c r="R617" s="25">
        <f>IF(MOD(Table9[[#This Row],[Month]],12)=0,Table9[[#This Row],[Q2 ACC FACTOR]],0)</f>
        <v>0</v>
      </c>
      <c r="S617" s="25">
        <f>S616*(1+D616)+Table9[[#This Row],[ACC FACTOR PAYMENTS]]</f>
        <v>4988.6614173875623</v>
      </c>
    </row>
    <row r="618" spans="1:19" x14ac:dyDescent="0.25">
      <c r="A618" s="1">
        <v>606</v>
      </c>
      <c r="B618" s="1">
        <f t="shared" si="9"/>
        <v>0</v>
      </c>
      <c r="C618" s="7">
        <f>G$12/-PV(Table7[Monthly mortgage rate], (12*Table7[Amortization period (yrs)]),1 )</f>
        <v>4377.9977174134756</v>
      </c>
      <c r="D618" s="11">
        <f>IF(Table1[[#This Row],[Month]]&lt;=(12*Table7[mortgage term (yrs)]),Table7[Monthly mortgage rate],Table7[Monthly Exp Renewal Rate])</f>
        <v>4.9038466830562122E-3</v>
      </c>
      <c r="E618" s="21">
        <f>Table1[[#This Row],[Current mortgage rate]]*G617</f>
        <v>-24845.341480721429</v>
      </c>
      <c r="F618" s="5">
        <f>Table1[[#This Row],[Payment amount]]-Table1[[#This Row],[Interest paid]]</f>
        <v>29223.339198134905</v>
      </c>
      <c r="G618" s="20">
        <f>G617-Table1[[#This Row],[Principal repaid]]-Table1[[#This Row],[Annual paym]]</f>
        <v>-5095723.8002682449</v>
      </c>
      <c r="H618" s="20">
        <f>H617-(Table1[[#This Row],[Payment amount]]-Table1[[#This Row],[Interest Paid W/O LSP]])</f>
        <v>-3203906.64538683</v>
      </c>
      <c r="I618">
        <f>H617*Table1[[#This Row],[Current mortgage rate]]</f>
        <v>-15613.432069153554</v>
      </c>
      <c r="J618" s="25">
        <f>IF(Table1[[#This Row],[Month]]&gt;Table7[Amortization period (yrs)]*12,0,IF(Table1[[#This Row],[Month]]&lt;Table7[mortgage term (yrs)]*12,0,IF(Table1[[#This Row],[Month]]=Table7[mortgage term (yrs)]*12,-H$5,Table1[[#This Row],[Payment amount]]+B618)))</f>
        <v>0</v>
      </c>
      <c r="K618">
        <v>607</v>
      </c>
      <c r="L618">
        <f>Table7[Initial Monthly Deposit]*Table9[[#This Row],[Inflation Modifier]]</f>
        <v>1076.635211629442</v>
      </c>
      <c r="M618">
        <f xml:space="preserve"> (1+Table7[Inflation])^(QUOTIENT(Table9[[#This Row],[Month]]-1,12))</f>
        <v>2.6915880290736047</v>
      </c>
      <c r="N618">
        <f>N617*(1+Table7[Monthly SF Inter])+Table9[[#This Row],[Monthly Payment]]-O617*(1+Table7[Monthly SF Inter])</f>
        <v>103627.10283903482</v>
      </c>
      <c r="O618">
        <f>IF(MOD(Table9[[#This Row],[Month]],12)=0,(IF(Table9[[#This Row],[Current Balance]]&lt;Table9[[#This Row],[Max Lump Sum ]],Table9[[#This Row],[Current Balance]],Table9[[#This Row],[Max Lump Sum ]])),0)</f>
        <v>0</v>
      </c>
      <c r="P618" s="21">
        <f>Table7[Max annual lump sum repayment]*SUM(C619:C630)</f>
        <v>7880.3958913442566</v>
      </c>
      <c r="Q618" s="25">
        <f>Q617*(1+Table7[Monthly SF Inter])+Table9[[#This Row],[Inflation Modifier]]-R617*(1+Table7[Monthly SF Inter])</f>
        <v>19.075822462440847</v>
      </c>
      <c r="R618" s="25">
        <f>IF(MOD(Table9[[#This Row],[Month]],12)=0,Table9[[#This Row],[Q2 ACC FACTOR]],0)</f>
        <v>0</v>
      </c>
      <c r="S618" s="25">
        <f>S617*(1+D617)+Table9[[#This Row],[ACC FACTOR PAYMENTS]]</f>
        <v>5013.1250481321085</v>
      </c>
    </row>
    <row r="619" spans="1:19" x14ac:dyDescent="0.25">
      <c r="A619" s="1">
        <v>607</v>
      </c>
      <c r="B619" s="1">
        <f t="shared" si="9"/>
        <v>0</v>
      </c>
      <c r="C619" s="7">
        <f>G$12/-PV(Table7[Monthly mortgage rate], (12*Table7[Amortization period (yrs)]),1 )</f>
        <v>4377.9977174134756</v>
      </c>
      <c r="D619" s="11">
        <f>IF(Table1[[#This Row],[Month]]&lt;=(12*Table7[mortgage term (yrs)]),Table7[Monthly mortgage rate],Table7[Monthly Exp Renewal Rate])</f>
        <v>4.9038466830562122E-3</v>
      </c>
      <c r="E619" s="21">
        <f>Table1[[#This Row],[Current mortgage rate]]*G618</f>
        <v>-24988.648255716031</v>
      </c>
      <c r="F619" s="5">
        <f>Table1[[#This Row],[Payment amount]]-Table1[[#This Row],[Interest paid]]</f>
        <v>29366.645973129507</v>
      </c>
      <c r="G619" s="20">
        <f>G618-Table1[[#This Row],[Principal repaid]]-Table1[[#This Row],[Annual paym]]</f>
        <v>-5125090.4462413741</v>
      </c>
      <c r="H619" s="20">
        <f>H618-(Table1[[#This Row],[Payment amount]]-Table1[[#This Row],[Interest Paid W/O LSP]])</f>
        <v>-3223996.1100800452</v>
      </c>
      <c r="I619">
        <f>H618*Table1[[#This Row],[Current mortgage rate]]</f>
        <v>-15711.466975801963</v>
      </c>
      <c r="J619" s="25">
        <f>IF(Table1[[#This Row],[Month]]&gt;Table7[Amortization period (yrs)]*12,0,IF(Table1[[#This Row],[Month]]&lt;Table7[mortgage term (yrs)]*12,0,IF(Table1[[#This Row],[Month]]=Table7[mortgage term (yrs)]*12,-H$5,Table1[[#This Row],[Payment amount]]+B619)))</f>
        <v>0</v>
      </c>
      <c r="K619">
        <v>608</v>
      </c>
      <c r="L619">
        <f>Table7[Initial Monthly Deposit]*Table9[[#This Row],[Inflation Modifier]]</f>
        <v>1076.635211629442</v>
      </c>
      <c r="M619">
        <f xml:space="preserve"> (1+Table7[Inflation])^(QUOTIENT(Table9[[#This Row],[Month]]-1,12))</f>
        <v>2.6915880290736047</v>
      </c>
      <c r="N619">
        <f>N618*(1+Table7[Monthly SF Inter])+Table9[[#This Row],[Monthly Payment]]-O618*(1+Table7[Monthly SF Inter])</f>
        <v>105131.08746267026</v>
      </c>
      <c r="O619">
        <f>IF(MOD(Table9[[#This Row],[Month]],12)=0,(IF(Table9[[#This Row],[Current Balance]]&lt;Table9[[#This Row],[Max Lump Sum ]],Table9[[#This Row],[Current Balance]],Table9[[#This Row],[Max Lump Sum ]])),0)</f>
        <v>0</v>
      </c>
      <c r="P619" s="21">
        <f>Table7[Max annual lump sum repayment]*SUM(C620:C631)</f>
        <v>7880.3958913442566</v>
      </c>
      <c r="Q619" s="25">
        <f>Q618*(1+Table7[Monthly SF Inter])+Table9[[#This Row],[Inflation Modifier]]-R618*(1+Table7[Monthly SF Inter])</f>
        <v>21.846077570777656</v>
      </c>
      <c r="R619" s="25">
        <f>IF(MOD(Table9[[#This Row],[Month]],12)=0,Table9[[#This Row],[Q2 ACC FACTOR]],0)</f>
        <v>0</v>
      </c>
      <c r="S619" s="25">
        <f>S618*(1+D618)+Table9[[#This Row],[ACC FACTOR PAYMENTS]]</f>
        <v>5037.7086447711372</v>
      </c>
    </row>
    <row r="620" spans="1:19" x14ac:dyDescent="0.25">
      <c r="A620" s="1">
        <v>608</v>
      </c>
      <c r="B620" s="1">
        <f t="shared" si="9"/>
        <v>0</v>
      </c>
      <c r="C620" s="7">
        <f>G$12/-PV(Table7[Monthly mortgage rate], (12*Table7[Amortization period (yrs)]),1 )</f>
        <v>4377.9977174134756</v>
      </c>
      <c r="D620" s="11">
        <f>IF(Table1[[#This Row],[Month]]&lt;=(12*Table7[mortgage term (yrs)]),Table7[Monthly mortgage rate],Table7[Monthly Exp Renewal Rate])</f>
        <v>4.9038466830562122E-3</v>
      </c>
      <c r="E620" s="21">
        <f>Table1[[#This Row],[Current mortgage rate]]*G619</f>
        <v>-25132.657785163843</v>
      </c>
      <c r="F620" s="5">
        <f>Table1[[#This Row],[Payment amount]]-Table1[[#This Row],[Interest paid]]</f>
        <v>29510.65550257732</v>
      </c>
      <c r="G620" s="20">
        <f>G619-Table1[[#This Row],[Principal repaid]]-Table1[[#This Row],[Annual paym]]</f>
        <v>-5154601.1017439514</v>
      </c>
      <c r="H620" s="20">
        <f>H619-(Table1[[#This Row],[Payment amount]]-Table1[[#This Row],[Interest Paid W/O LSP]])</f>
        <v>-3244184.0904280609</v>
      </c>
      <c r="I620">
        <f>H619*Table1[[#This Row],[Current mortgage rate]]</f>
        <v>-15809.98263060216</v>
      </c>
      <c r="J620" s="25">
        <f>IF(Table1[[#This Row],[Month]]&gt;Table7[Amortization period (yrs)]*12,0,IF(Table1[[#This Row],[Month]]&lt;Table7[mortgage term (yrs)]*12,0,IF(Table1[[#This Row],[Month]]=Table7[mortgage term (yrs)]*12,-H$5,Table1[[#This Row],[Payment amount]]+B620)))</f>
        <v>0</v>
      </c>
      <c r="K620">
        <v>609</v>
      </c>
      <c r="L620">
        <f>Table7[Initial Monthly Deposit]*Table9[[#This Row],[Inflation Modifier]]</f>
        <v>1076.635211629442</v>
      </c>
      <c r="M620">
        <f xml:space="preserve"> (1+Table7[Inflation])^(QUOTIENT(Table9[[#This Row],[Month]]-1,12))</f>
        <v>2.6915880290736047</v>
      </c>
      <c r="N620">
        <f>N619*(1+Table7[Monthly SF Inter])+Table9[[#This Row],[Monthly Payment]]-O619*(1+Table7[Monthly SF Inter])</f>
        <v>106641.27439175444</v>
      </c>
      <c r="O620">
        <f>IF(MOD(Table9[[#This Row],[Month]],12)=0,(IF(Table9[[#This Row],[Current Balance]]&lt;Table9[[#This Row],[Max Lump Sum ]],Table9[[#This Row],[Current Balance]],Table9[[#This Row],[Max Lump Sum ]])),0)</f>
        <v>0</v>
      </c>
      <c r="P620" s="21">
        <f>Table7[Max annual lump sum repayment]*SUM(C621:C632)</f>
        <v>7880.3958913442566</v>
      </c>
      <c r="Q620" s="25">
        <f>Q619*(1+Table7[Monthly SF Inter])+Table9[[#This Row],[Inflation Modifier]]-R619*(1+Table7[Monthly SF Inter])</f>
        <v>24.627756976998128</v>
      </c>
      <c r="R620" s="25">
        <f>IF(MOD(Table9[[#This Row],[Month]],12)=0,Table9[[#This Row],[Q2 ACC FACTOR]],0)</f>
        <v>0</v>
      </c>
      <c r="S620" s="25">
        <f>S619*(1+D619)+Table9[[#This Row],[ACC FACTOR PAYMENTS]]</f>
        <v>5062.4127955990016</v>
      </c>
    </row>
    <row r="621" spans="1:19" x14ac:dyDescent="0.25">
      <c r="A621" s="1">
        <v>609</v>
      </c>
      <c r="B621" s="1">
        <f t="shared" si="9"/>
        <v>0</v>
      </c>
      <c r="C621" s="7">
        <f>G$12/-PV(Table7[Monthly mortgage rate], (12*Table7[Amortization period (yrs)]),1 )</f>
        <v>4377.9977174134756</v>
      </c>
      <c r="D621" s="11">
        <f>IF(Table1[[#This Row],[Month]]&lt;=(12*Table7[mortgage term (yrs)]),Table7[Monthly mortgage rate],Table7[Monthly Exp Renewal Rate])</f>
        <v>4.9038466830562122E-3</v>
      </c>
      <c r="E621" s="21">
        <f>Table1[[#This Row],[Current mortgage rate]]*G620</f>
        <v>-25277.373515264972</v>
      </c>
      <c r="F621" s="5">
        <f>Table1[[#This Row],[Payment amount]]-Table1[[#This Row],[Interest paid]]</f>
        <v>29655.371232678448</v>
      </c>
      <c r="G621" s="20">
        <f>G620-Table1[[#This Row],[Principal repaid]]-Table1[[#This Row],[Annual paym]]</f>
        <v>-5184256.4729766296</v>
      </c>
      <c r="H621" s="20">
        <f>H620-(Table1[[#This Row],[Payment amount]]-Table1[[#This Row],[Interest Paid W/O LSP]])</f>
        <v>-3264471.0695365439</v>
      </c>
      <c r="I621">
        <f>H620*Table1[[#This Row],[Current mortgage rate]]</f>
        <v>-15908.981391069381</v>
      </c>
      <c r="J621" s="25">
        <f>IF(Table1[[#This Row],[Month]]&gt;Table7[Amortization period (yrs)]*12,0,IF(Table1[[#This Row],[Month]]&lt;Table7[mortgage term (yrs)]*12,0,IF(Table1[[#This Row],[Month]]=Table7[mortgage term (yrs)]*12,-H$5,Table1[[#This Row],[Payment amount]]+B621)))</f>
        <v>0</v>
      </c>
      <c r="K621">
        <v>610</v>
      </c>
      <c r="L621">
        <f>Table7[Initial Monthly Deposit]*Table9[[#This Row],[Inflation Modifier]]</f>
        <v>1076.635211629442</v>
      </c>
      <c r="M621">
        <f xml:space="preserve"> (1+Table7[Inflation])^(QUOTIENT(Table9[[#This Row],[Month]]-1,12))</f>
        <v>2.6915880290736047</v>
      </c>
      <c r="N621">
        <f>N620*(1+Table7[Monthly SF Inter])+Table9[[#This Row],[Monthly Payment]]-O620*(1+Table7[Monthly SF Inter])</f>
        <v>108157.68920407073</v>
      </c>
      <c r="O621">
        <f>IF(MOD(Table9[[#This Row],[Month]],12)=0,(IF(Table9[[#This Row],[Current Balance]]&lt;Table9[[#This Row],[Max Lump Sum ]],Table9[[#This Row],[Current Balance]],Table9[[#This Row],[Max Lump Sum ]])),0)</f>
        <v>0</v>
      </c>
      <c r="P621" s="21">
        <f>Table7[Max annual lump sum repayment]*SUM(C622:C633)</f>
        <v>7880.3958913442566</v>
      </c>
      <c r="Q621" s="25">
        <f>Q620*(1+Table7[Monthly SF Inter])+Table9[[#This Row],[Inflation Modifier]]-R620*(1+Table7[Monthly SF Inter])</f>
        <v>27.420907793940987</v>
      </c>
      <c r="R621" s="25">
        <f>IF(MOD(Table9[[#This Row],[Month]],12)=0,Table9[[#This Row],[Q2 ACC FACTOR]],0)</f>
        <v>0</v>
      </c>
      <c r="S621" s="25">
        <f>S620*(1+D620)+Table9[[#This Row],[ACC FACTOR PAYMENTS]]</f>
        <v>5087.2380917949613</v>
      </c>
    </row>
    <row r="622" spans="1:19" x14ac:dyDescent="0.25">
      <c r="A622" s="1">
        <v>610</v>
      </c>
      <c r="B622" s="1">
        <f t="shared" si="9"/>
        <v>0</v>
      </c>
      <c r="C622" s="7">
        <f>G$12/-PV(Table7[Monthly mortgage rate], (12*Table7[Amortization period (yrs)]),1 )</f>
        <v>4377.9977174134756</v>
      </c>
      <c r="D622" s="11">
        <f>IF(Table1[[#This Row],[Month]]&lt;=(12*Table7[mortgage term (yrs)]),Table7[Monthly mortgage rate],Table7[Monthly Exp Renewal Rate])</f>
        <v>4.9038466830562122E-3</v>
      </c>
      <c r="E622" s="21">
        <f>Table1[[#This Row],[Current mortgage rate]]*G621</f>
        <v>-25422.798909119141</v>
      </c>
      <c r="F622" s="5">
        <f>Table1[[#This Row],[Payment amount]]-Table1[[#This Row],[Interest paid]]</f>
        <v>29800.796626532618</v>
      </c>
      <c r="G622" s="20">
        <f>G621-Table1[[#This Row],[Principal repaid]]-Table1[[#This Row],[Annual paym]]</f>
        <v>-5214057.2696031621</v>
      </c>
      <c r="H622" s="20">
        <f>H621-(Table1[[#This Row],[Payment amount]]-Table1[[#This Row],[Interest Paid W/O LSP]])</f>
        <v>-3284857.5328802373</v>
      </c>
      <c r="I622">
        <f>H621*Table1[[#This Row],[Current mortgage rate]]</f>
        <v>-16008.465626279747</v>
      </c>
      <c r="J622" s="25">
        <f>IF(Table1[[#This Row],[Month]]&gt;Table7[Amortization period (yrs)]*12,0,IF(Table1[[#This Row],[Month]]&lt;Table7[mortgage term (yrs)]*12,0,IF(Table1[[#This Row],[Month]]=Table7[mortgage term (yrs)]*12,-H$5,Table1[[#This Row],[Payment amount]]+B622)))</f>
        <v>0</v>
      </c>
      <c r="K622">
        <v>611</v>
      </c>
      <c r="L622">
        <f>Table7[Initial Monthly Deposit]*Table9[[#This Row],[Inflation Modifier]]</f>
        <v>1076.635211629442</v>
      </c>
      <c r="M622">
        <f xml:space="preserve"> (1+Table7[Inflation])^(QUOTIENT(Table9[[#This Row],[Month]]-1,12))</f>
        <v>2.6915880290736047</v>
      </c>
      <c r="N622">
        <f>N621*(1+Table7[Monthly SF Inter])+Table9[[#This Row],[Monthly Payment]]-O621*(1+Table7[Monthly SF Inter])</f>
        <v>109680.35758288311</v>
      </c>
      <c r="O622">
        <f>IF(MOD(Table9[[#This Row],[Month]],12)=0,(IF(Table9[[#This Row],[Current Balance]]&lt;Table9[[#This Row],[Max Lump Sum ]],Table9[[#This Row],[Current Balance]],Table9[[#This Row],[Max Lump Sum ]])),0)</f>
        <v>0</v>
      </c>
      <c r="P622" s="21">
        <f>Table7[Max annual lump sum repayment]*SUM(C623:C634)</f>
        <v>7880.3958913442566</v>
      </c>
      <c r="Q622" s="25">
        <f>Q621*(1+Table7[Monthly SF Inter])+Table9[[#This Row],[Inflation Modifier]]-R621*(1+Table7[Monthly SF Inter])</f>
        <v>30.225577328734317</v>
      </c>
      <c r="R622" s="25">
        <f>IF(MOD(Table9[[#This Row],[Month]],12)=0,Table9[[#This Row],[Q2 ACC FACTOR]],0)</f>
        <v>0</v>
      </c>
      <c r="S622" s="25">
        <f>S621*(1+D621)+Table9[[#This Row],[ACC FACTOR PAYMENTS]]</f>
        <v>5112.1851274373275</v>
      </c>
    </row>
    <row r="623" spans="1:19" x14ac:dyDescent="0.25">
      <c r="A623" s="1">
        <v>611</v>
      </c>
      <c r="B623" s="1">
        <f t="shared" si="9"/>
        <v>0</v>
      </c>
      <c r="C623" s="7">
        <f>G$12/-PV(Table7[Monthly mortgage rate], (12*Table7[Amortization period (yrs)]),1 )</f>
        <v>4377.9977174134756</v>
      </c>
      <c r="D623" s="11">
        <f>IF(Table1[[#This Row],[Month]]&lt;=(12*Table7[mortgage term (yrs)]),Table7[Monthly mortgage rate],Table7[Monthly Exp Renewal Rate])</f>
        <v>4.9038466830562122E-3</v>
      </c>
      <c r="E623" s="21">
        <f>Table1[[#This Row],[Current mortgage rate]]*G622</f>
        <v>-25568.937446808595</v>
      </c>
      <c r="F623" s="5">
        <f>Table1[[#This Row],[Payment amount]]-Table1[[#This Row],[Interest paid]]</f>
        <v>29946.935164222072</v>
      </c>
      <c r="G623" s="20">
        <f>G622-Table1[[#This Row],[Principal repaid]]-Table1[[#This Row],[Annual paym]]</f>
        <v>-5244004.2047673846</v>
      </c>
      <c r="H623" s="20">
        <f>H622-(Table1[[#This Row],[Payment amount]]-Table1[[#This Row],[Interest Paid W/O LSP]])</f>
        <v>-3305343.9683145778</v>
      </c>
      <c r="I623">
        <f>H622*Table1[[#This Row],[Current mortgage rate]]</f>
        <v>-16108.437716926965</v>
      </c>
      <c r="J623" s="25">
        <f>IF(Table1[[#This Row],[Month]]&gt;Table7[Amortization period (yrs)]*12,0,IF(Table1[[#This Row],[Month]]&lt;Table7[mortgage term (yrs)]*12,0,IF(Table1[[#This Row],[Month]]=Table7[mortgage term (yrs)]*12,-H$5,Table1[[#This Row],[Payment amount]]+B623)))</f>
        <v>0</v>
      </c>
      <c r="K623">
        <v>612</v>
      </c>
      <c r="L623">
        <f>Table7[Initial Monthly Deposit]*Table9[[#This Row],[Inflation Modifier]]</f>
        <v>1076.635211629442</v>
      </c>
      <c r="M623">
        <f xml:space="preserve"> (1+Table7[Inflation])^(QUOTIENT(Table9[[#This Row],[Month]]-1,12))</f>
        <v>2.6915880290736047</v>
      </c>
      <c r="N623">
        <f>N622*(1+Table7[Monthly SF Inter])+Table9[[#This Row],[Monthly Payment]]-O622*(1+Table7[Monthly SF Inter])</f>
        <v>111209.30531737115</v>
      </c>
      <c r="O623">
        <f>IF(MOD(Table9[[#This Row],[Month]],12)=0,(IF(Table9[[#This Row],[Current Balance]]&lt;Table9[[#This Row],[Max Lump Sum ]],Table9[[#This Row],[Current Balance]],Table9[[#This Row],[Max Lump Sum ]])),0)</f>
        <v>7880.3958913442566</v>
      </c>
      <c r="P623" s="21">
        <f>Table7[Max annual lump sum repayment]*SUM(C624:C635)</f>
        <v>7880.3958913442566</v>
      </c>
      <c r="Q623" s="25">
        <f>Q622*(1+Table7[Monthly SF Inter])+Table9[[#This Row],[Inflation Modifier]]-R622*(1+Table7[Monthly SF Inter])</f>
        <v>33.0418130835968</v>
      </c>
      <c r="R623" s="25">
        <f>IF(MOD(Table9[[#This Row],[Month]],12)=0,Table9[[#This Row],[Q2 ACC FACTOR]],0)</f>
        <v>33.0418130835968</v>
      </c>
      <c r="S623" s="25">
        <f>S622*(1+D622)+Table9[[#This Row],[ACC FACTOR PAYMENTS]]</f>
        <v>5170.2963126012774</v>
      </c>
    </row>
    <row r="624" spans="1:19" x14ac:dyDescent="0.25">
      <c r="A624" s="1">
        <v>612</v>
      </c>
      <c r="B624" s="1">
        <f t="shared" si="9"/>
        <v>7880.3958913442566</v>
      </c>
      <c r="C624" s="7">
        <f>G$12/-PV(Table7[Monthly mortgage rate], (12*Table7[Amortization period (yrs)]),1 )</f>
        <v>4377.9977174134756</v>
      </c>
      <c r="D624" s="11">
        <f>IF(Table1[[#This Row],[Month]]&lt;=(12*Table7[mortgage term (yrs)]),Table7[Monthly mortgage rate],Table7[Monthly Exp Renewal Rate])</f>
        <v>4.9038466830562122E-3</v>
      </c>
      <c r="E624" s="21">
        <f>Table1[[#This Row],[Current mortgage rate]]*G623</f>
        <v>-25715.792625481368</v>
      </c>
      <c r="F624" s="5">
        <f>Table1[[#This Row],[Payment amount]]-Table1[[#This Row],[Interest paid]]</f>
        <v>30093.790342894845</v>
      </c>
      <c r="G624" s="20">
        <f>G623-Table1[[#This Row],[Principal repaid]]-Table1[[#This Row],[Annual paym]]</f>
        <v>-5281978.3910016231</v>
      </c>
      <c r="H624" s="20">
        <f>H623-(Table1[[#This Row],[Payment amount]]-Table1[[#This Row],[Interest Paid W/O LSP]])</f>
        <v>-3325930.8660873706</v>
      </c>
      <c r="I624">
        <f>H623*Table1[[#This Row],[Current mortgage rate]]</f>
        <v>-16208.900055379299</v>
      </c>
      <c r="J624" s="25">
        <f>IF(Table1[[#This Row],[Month]]&gt;Table7[Amortization period (yrs)]*12,0,IF(Table1[[#This Row],[Month]]&lt;Table7[mortgage term (yrs)]*12,0,IF(Table1[[#This Row],[Month]]=Table7[mortgage term (yrs)]*12,-H$5,Table1[[#This Row],[Payment amount]]+B624)))</f>
        <v>0</v>
      </c>
      <c r="K624">
        <v>613</v>
      </c>
      <c r="L624">
        <f>Table7[Initial Monthly Deposit]*Table9[[#This Row],[Inflation Modifier]]</f>
        <v>1098.1679158620307</v>
      </c>
      <c r="M624">
        <f xml:space="preserve"> (1+Table7[Inflation])^(QUOTIENT(Table9[[#This Row],[Month]]-1,12))</f>
        <v>2.7454197896550765</v>
      </c>
      <c r="N624">
        <f>N623*(1+Table7[Monthly SF Inter])+Table9[[#This Row],[Monthly Payment]]-O623*(1+Table7[Monthly SF Inter])</f>
        <v>104853.1970294674</v>
      </c>
      <c r="O624">
        <f>IF(MOD(Table9[[#This Row],[Month]],12)=0,(IF(Table9[[#This Row],[Current Balance]]&lt;Table9[[#This Row],[Max Lump Sum ]],Table9[[#This Row],[Current Balance]],Table9[[#This Row],[Max Lump Sum ]])),0)</f>
        <v>0</v>
      </c>
      <c r="P624" s="21">
        <f>Table7[Max annual lump sum repayment]*SUM(C625:C636)</f>
        <v>7880.3958913442566</v>
      </c>
      <c r="Q624" s="25">
        <f>Q623*(1+Table7[Monthly SF Inter])+Table9[[#This Row],[Inflation Modifier]]-R623*(1+Table7[Monthly SF Inter])</f>
        <v>2.7454197896550738</v>
      </c>
      <c r="R624" s="25">
        <f>IF(MOD(Table9[[#This Row],[Month]],12)=0,Table9[[#This Row],[Q2 ACC FACTOR]],0)</f>
        <v>0</v>
      </c>
      <c r="S624" s="25">
        <f>S623*(1+D623)+Table9[[#This Row],[ACC FACTOR PAYMENTS]]</f>
        <v>5195.650653024245</v>
      </c>
    </row>
    <row r="625" spans="1:19" x14ac:dyDescent="0.25">
      <c r="A625" s="1">
        <v>613</v>
      </c>
      <c r="B625" s="1">
        <f t="shared" si="9"/>
        <v>0</v>
      </c>
      <c r="C625" s="7">
        <f>G$12/-PV(Table7[Monthly mortgage rate], (12*Table7[Amortization period (yrs)]),1 )</f>
        <v>4377.9977174134756</v>
      </c>
      <c r="D625" s="11">
        <f>IF(Table1[[#This Row],[Month]]&lt;=(12*Table7[mortgage term (yrs)]),Table7[Monthly mortgage rate],Table7[Monthly Exp Renewal Rate])</f>
        <v>4.9038466830562122E-3</v>
      </c>
      <c r="E625" s="21">
        <f>Table1[[#This Row],[Current mortgage rate]]*G624</f>
        <v>-25902.0122126879</v>
      </c>
      <c r="F625" s="5">
        <f>Table1[[#This Row],[Payment amount]]-Table1[[#This Row],[Interest paid]]</f>
        <v>30280.009930101376</v>
      </c>
      <c r="G625" s="20">
        <f>G624-Table1[[#This Row],[Principal repaid]]-Table1[[#This Row],[Annual paym]]</f>
        <v>-5312258.4009317243</v>
      </c>
      <c r="H625" s="20">
        <f>H624-(Table1[[#This Row],[Payment amount]]-Table1[[#This Row],[Interest Paid W/O LSP]])</f>
        <v>-3346618.7188505209</v>
      </c>
      <c r="I625">
        <f>H624*Table1[[#This Row],[Current mortgage rate]]</f>
        <v>-16309.855045736827</v>
      </c>
      <c r="J625" s="25">
        <f>IF(Table1[[#This Row],[Month]]&gt;Table7[Amortization period (yrs)]*12,0,IF(Table1[[#This Row],[Month]]&lt;Table7[mortgage term (yrs)]*12,0,IF(Table1[[#This Row],[Month]]=Table7[mortgage term (yrs)]*12,-H$5,Table1[[#This Row],[Payment amount]]+B625)))</f>
        <v>0</v>
      </c>
      <c r="K625">
        <v>614</v>
      </c>
      <c r="L625">
        <f>Table7[Initial Monthly Deposit]*Table9[[#This Row],[Inflation Modifier]]</f>
        <v>1098.1679158620307</v>
      </c>
      <c r="M625">
        <f xml:space="preserve"> (1+Table7[Inflation])^(QUOTIENT(Table9[[#This Row],[Month]]-1,12))</f>
        <v>2.7454197896550765</v>
      </c>
      <c r="N625">
        <f>N624*(1+Table7[Monthly SF Inter])+Table9[[#This Row],[Monthly Payment]]-O624*(1+Table7[Monthly SF Inter])</f>
        <v>106383.77066612906</v>
      </c>
      <c r="O625">
        <f>IF(MOD(Table9[[#This Row],[Month]],12)=0,(IF(Table9[[#This Row],[Current Balance]]&lt;Table9[[#This Row],[Max Lump Sum ]],Table9[[#This Row],[Current Balance]],Table9[[#This Row],[Max Lump Sum ]])),0)</f>
        <v>0</v>
      </c>
      <c r="P625" s="21">
        <f>Table7[Max annual lump sum repayment]*SUM(C626:C637)</f>
        <v>7880.3958913442566</v>
      </c>
      <c r="Q625" s="25">
        <f>Q624*(1+Table7[Monthly SF Inter])+Table9[[#This Row],[Inflation Modifier]]-R624*(1+Table7[Monthly SF Inter])</f>
        <v>5.5021614584390219</v>
      </c>
      <c r="R625" s="25">
        <f>IF(MOD(Table9[[#This Row],[Month]],12)=0,Table9[[#This Row],[Q2 ACC FACTOR]],0)</f>
        <v>0</v>
      </c>
      <c r="S625" s="25">
        <f>S624*(1+D624)+Table9[[#This Row],[ACC FACTOR PAYMENTS]]</f>
        <v>5221.1293272453968</v>
      </c>
    </row>
    <row r="626" spans="1:19" x14ac:dyDescent="0.25">
      <c r="A626" s="1">
        <v>614</v>
      </c>
      <c r="B626" s="1">
        <f t="shared" si="9"/>
        <v>0</v>
      </c>
      <c r="C626" s="7">
        <f>G$12/-PV(Table7[Monthly mortgage rate], (12*Table7[Amortization period (yrs)]),1 )</f>
        <v>4377.9977174134756</v>
      </c>
      <c r="D626" s="11">
        <f>IF(Table1[[#This Row],[Month]]&lt;=(12*Table7[mortgage term (yrs)]),Table7[Monthly mortgage rate],Table7[Monthly Exp Renewal Rate])</f>
        <v>4.9038466830562122E-3</v>
      </c>
      <c r="E626" s="21">
        <f>Table1[[#This Row],[Current mortgage rate]]*G625</f>
        <v>-26050.500738946535</v>
      </c>
      <c r="F626" s="5">
        <f>Table1[[#This Row],[Payment amount]]-Table1[[#This Row],[Interest paid]]</f>
        <v>30428.498456360012</v>
      </c>
      <c r="G626" s="20">
        <f>G625-Table1[[#This Row],[Principal repaid]]-Table1[[#This Row],[Annual paym]]</f>
        <v>-5342686.8993880842</v>
      </c>
      <c r="H626" s="20">
        <f>H625-(Table1[[#This Row],[Payment amount]]-Table1[[#This Row],[Interest Paid W/O LSP]])</f>
        <v>-3367408.0216718232</v>
      </c>
      <c r="I626">
        <f>H625*Table1[[#This Row],[Current mortgage rate]]</f>
        <v>-16411.305103888957</v>
      </c>
      <c r="J626" s="25">
        <f>IF(Table1[[#This Row],[Month]]&gt;Table7[Amortization period (yrs)]*12,0,IF(Table1[[#This Row],[Month]]&lt;Table7[mortgage term (yrs)]*12,0,IF(Table1[[#This Row],[Month]]=Table7[mortgage term (yrs)]*12,-H$5,Table1[[#This Row],[Payment amount]]+B626)))</f>
        <v>0</v>
      </c>
      <c r="K626">
        <v>615</v>
      </c>
      <c r="L626">
        <f>Table7[Initial Monthly Deposit]*Table9[[#This Row],[Inflation Modifier]]</f>
        <v>1098.1679158620307</v>
      </c>
      <c r="M626">
        <f xml:space="preserve"> (1+Table7[Inflation])^(QUOTIENT(Table9[[#This Row],[Month]]-1,12))</f>
        <v>2.7454197896550765</v>
      </c>
      <c r="N626">
        <f>N625*(1+Table7[Monthly SF Inter])+Table9[[#This Row],[Monthly Payment]]-O625*(1+Table7[Monthly SF Inter])</f>
        <v>107920.65625908149</v>
      </c>
      <c r="O626">
        <f>IF(MOD(Table9[[#This Row],[Month]],12)=0,(IF(Table9[[#This Row],[Current Balance]]&lt;Table9[[#This Row],[Max Lump Sum ]],Table9[[#This Row],[Current Balance]],Table9[[#This Row],[Max Lump Sum ]])),0)</f>
        <v>0</v>
      </c>
      <c r="P626" s="21">
        <f>Table7[Max annual lump sum repayment]*SUM(C627:C638)</f>
        <v>7880.3958913442566</v>
      </c>
      <c r="Q626" s="25">
        <f>Q625*(1+Table7[Monthly SF Inter])+Table9[[#This Row],[Inflation Modifier]]-R625*(1+Table7[Monthly SF Inter])</f>
        <v>8.2702716968242758</v>
      </c>
      <c r="R626" s="25">
        <f>IF(MOD(Table9[[#This Row],[Month]],12)=0,Table9[[#This Row],[Q2 ACC FACTOR]],0)</f>
        <v>0</v>
      </c>
      <c r="S626" s="25">
        <f>S625*(1+D625)+Table9[[#This Row],[ACC FACTOR PAYMENTS]]</f>
        <v>5246.7329449786166</v>
      </c>
    </row>
    <row r="627" spans="1:19" x14ac:dyDescent="0.25">
      <c r="A627" s="1">
        <v>615</v>
      </c>
      <c r="B627" s="1">
        <f t="shared" si="9"/>
        <v>0</v>
      </c>
      <c r="C627" s="7">
        <f>G$12/-PV(Table7[Monthly mortgage rate], (12*Table7[Amortization period (yrs)]),1 )</f>
        <v>4377.9977174134756</v>
      </c>
      <c r="D627" s="11">
        <f>IF(Table1[[#This Row],[Month]]&lt;=(12*Table7[mortgage term (yrs)]),Table7[Monthly mortgage rate],Table7[Monthly Exp Renewal Rate])</f>
        <v>4.9038466830562122E-3</v>
      </c>
      <c r="E627" s="21">
        <f>Table1[[#This Row],[Current mortgage rate]]*G626</f>
        <v>-26199.717430172135</v>
      </c>
      <c r="F627" s="5">
        <f>Table1[[#This Row],[Payment amount]]-Table1[[#This Row],[Interest paid]]</f>
        <v>30577.715147585612</v>
      </c>
      <c r="G627" s="20">
        <f>G626-Table1[[#This Row],[Principal repaid]]-Table1[[#This Row],[Annual paym]]</f>
        <v>-5373264.6145356698</v>
      </c>
      <c r="H627" s="20">
        <f>H626-(Table1[[#This Row],[Payment amount]]-Table1[[#This Row],[Interest Paid W/O LSP]])</f>
        <v>-3388299.2720468091</v>
      </c>
      <c r="I627">
        <f>H626*Table1[[#This Row],[Current mortgage rate]]</f>
        <v>-16513.252657572251</v>
      </c>
      <c r="J627" s="25">
        <f>IF(Table1[[#This Row],[Month]]&gt;Table7[Amortization period (yrs)]*12,0,IF(Table1[[#This Row],[Month]]&lt;Table7[mortgage term (yrs)]*12,0,IF(Table1[[#This Row],[Month]]=Table7[mortgage term (yrs)]*12,-H$5,Table1[[#This Row],[Payment amount]]+B627)))</f>
        <v>0</v>
      </c>
      <c r="K627">
        <v>616</v>
      </c>
      <c r="L627">
        <f>Table7[Initial Monthly Deposit]*Table9[[#This Row],[Inflation Modifier]]</f>
        <v>1098.1679158620307</v>
      </c>
      <c r="M627">
        <f xml:space="preserve"> (1+Table7[Inflation])^(QUOTIENT(Table9[[#This Row],[Month]]-1,12))</f>
        <v>2.7454197896550765</v>
      </c>
      <c r="N627">
        <f>N626*(1+Table7[Monthly SF Inter])+Table9[[#This Row],[Monthly Payment]]-O626*(1+Table7[Monthly SF Inter])</f>
        <v>109463.87983829885</v>
      </c>
      <c r="O627">
        <f>IF(MOD(Table9[[#This Row],[Month]],12)=0,(IF(Table9[[#This Row],[Current Balance]]&lt;Table9[[#This Row],[Max Lump Sum ]],Table9[[#This Row],[Current Balance]],Table9[[#This Row],[Max Lump Sum ]])),0)</f>
        <v>0</v>
      </c>
      <c r="P627" s="21">
        <f>Table7[Max annual lump sum repayment]*SUM(C628:C639)</f>
        <v>7880.3958913442566</v>
      </c>
      <c r="Q627" s="25">
        <f>Q626*(1+Table7[Monthly SF Inter])+Table9[[#This Row],[Inflation Modifier]]-R626*(1+Table7[Monthly SF Inter])</f>
        <v>11.049797387830832</v>
      </c>
      <c r="R627" s="25">
        <f>IF(MOD(Table9[[#This Row],[Month]],12)=0,Table9[[#This Row],[Q2 ACC FACTOR]],0)</f>
        <v>0</v>
      </c>
      <c r="S627" s="25">
        <f>S626*(1+D626)+Table9[[#This Row],[ACC FACTOR PAYMENTS]]</f>
        <v>5272.4621189277314</v>
      </c>
    </row>
    <row r="628" spans="1:19" x14ac:dyDescent="0.25">
      <c r="A628" s="1">
        <v>616</v>
      </c>
      <c r="B628" s="1">
        <f t="shared" si="9"/>
        <v>0</v>
      </c>
      <c r="C628" s="7">
        <f>G$12/-PV(Table7[Monthly mortgage rate], (12*Table7[Amortization period (yrs)]),1 )</f>
        <v>4377.9977174134756</v>
      </c>
      <c r="D628" s="11">
        <f>IF(Table1[[#This Row],[Month]]&lt;=(12*Table7[mortgage term (yrs)]),Table7[Monthly mortgage rate],Table7[Monthly Exp Renewal Rate])</f>
        <v>4.9038466830562122E-3</v>
      </c>
      <c r="E628" s="21">
        <f>Table1[[#This Row],[Current mortgage rate]]*G627</f>
        <v>-26349.665857174059</v>
      </c>
      <c r="F628" s="5">
        <f>Table1[[#This Row],[Payment amount]]-Table1[[#This Row],[Interest paid]]</f>
        <v>30727.663574587536</v>
      </c>
      <c r="G628" s="20">
        <f>G627-Table1[[#This Row],[Principal repaid]]-Table1[[#This Row],[Annual paym]]</f>
        <v>-5403992.2781102573</v>
      </c>
      <c r="H628" s="20">
        <f>H627-(Table1[[#This Row],[Payment amount]]-Table1[[#This Row],[Interest Paid W/O LSP]])</f>
        <v>-3409292.969910651</v>
      </c>
      <c r="I628">
        <f>H627*Table1[[#This Row],[Current mortgage rate]]</f>
        <v>-16615.700146428524</v>
      </c>
      <c r="J628" s="25">
        <f>IF(Table1[[#This Row],[Month]]&gt;Table7[Amortization period (yrs)]*12,0,IF(Table1[[#This Row],[Month]]&lt;Table7[mortgage term (yrs)]*12,0,IF(Table1[[#This Row],[Month]]=Table7[mortgage term (yrs)]*12,-H$5,Table1[[#This Row],[Payment amount]]+B628)))</f>
        <v>0</v>
      </c>
      <c r="K628">
        <v>617</v>
      </c>
      <c r="L628">
        <f>Table7[Initial Monthly Deposit]*Table9[[#This Row],[Inflation Modifier]]</f>
        <v>1098.1679158620307</v>
      </c>
      <c r="M628">
        <f xml:space="preserve"> (1+Table7[Inflation])^(QUOTIENT(Table9[[#This Row],[Month]]-1,12))</f>
        <v>2.7454197896550765</v>
      </c>
      <c r="N628">
        <f>N627*(1+Table7[Monthly SF Inter])+Table9[[#This Row],[Monthly Payment]]-O627*(1+Table7[Monthly SF Inter])</f>
        <v>111013.46754110072</v>
      </c>
      <c r="O628">
        <f>IF(MOD(Table9[[#This Row],[Month]],12)=0,(IF(Table9[[#This Row],[Current Balance]]&lt;Table9[[#This Row],[Max Lump Sum ]],Table9[[#This Row],[Current Balance]],Table9[[#This Row],[Max Lump Sum ]])),0)</f>
        <v>0</v>
      </c>
      <c r="P628" s="21">
        <f>Table7[Max annual lump sum repayment]*SUM(C629:C640)</f>
        <v>7880.3958913442566</v>
      </c>
      <c r="Q628" s="25">
        <f>Q627*(1+Table7[Monthly SF Inter])+Table9[[#This Row],[Inflation Modifier]]-R627*(1+Table7[Monthly SF Inter])</f>
        <v>13.840785607820294</v>
      </c>
      <c r="R628" s="25">
        <f>IF(MOD(Table9[[#This Row],[Month]],12)=0,Table9[[#This Row],[Q2 ACC FACTOR]],0)</f>
        <v>0</v>
      </c>
      <c r="S628" s="25">
        <f>S627*(1+D627)+Table9[[#This Row],[ACC FACTOR PAYMENTS]]</f>
        <v>5298.3174648011745</v>
      </c>
    </row>
    <row r="629" spans="1:19" x14ac:dyDescent="0.25">
      <c r="A629" s="1">
        <v>617</v>
      </c>
      <c r="B629" s="1">
        <f t="shared" si="9"/>
        <v>0</v>
      </c>
      <c r="C629" s="7">
        <f>G$12/-PV(Table7[Monthly mortgage rate], (12*Table7[Amortization period (yrs)]),1 )</f>
        <v>4377.9977174134756</v>
      </c>
      <c r="D629" s="11">
        <f>IF(Table1[[#This Row],[Month]]&lt;=(12*Table7[mortgage term (yrs)]),Table7[Monthly mortgage rate],Table7[Monthly Exp Renewal Rate])</f>
        <v>4.9038466830562122E-3</v>
      </c>
      <c r="E629" s="21">
        <f>Table1[[#This Row],[Current mortgage rate]]*G628</f>
        <v>-26500.349608272369</v>
      </c>
      <c r="F629" s="5">
        <f>Table1[[#This Row],[Payment amount]]-Table1[[#This Row],[Interest paid]]</f>
        <v>30878.347325685845</v>
      </c>
      <c r="G629" s="20">
        <f>G628-Table1[[#This Row],[Principal repaid]]-Table1[[#This Row],[Annual paym]]</f>
        <v>-5434870.6254359428</v>
      </c>
      <c r="H629" s="20">
        <f>H628-(Table1[[#This Row],[Payment amount]]-Table1[[#This Row],[Interest Paid W/O LSP]])</f>
        <v>-3430389.6176501275</v>
      </c>
      <c r="I629">
        <f>H628*Table1[[#This Row],[Current mortgage rate]]</f>
        <v>-16718.650022063208</v>
      </c>
      <c r="J629" s="25">
        <f>IF(Table1[[#This Row],[Month]]&gt;Table7[Amortization period (yrs)]*12,0,IF(Table1[[#This Row],[Month]]&lt;Table7[mortgage term (yrs)]*12,0,IF(Table1[[#This Row],[Month]]=Table7[mortgage term (yrs)]*12,-H$5,Table1[[#This Row],[Payment amount]]+B629)))</f>
        <v>0</v>
      </c>
      <c r="K629">
        <v>618</v>
      </c>
      <c r="L629">
        <f>Table7[Initial Monthly Deposit]*Table9[[#This Row],[Inflation Modifier]]</f>
        <v>1098.1679158620307</v>
      </c>
      <c r="M629">
        <f xml:space="preserve"> (1+Table7[Inflation])^(QUOTIENT(Table9[[#This Row],[Month]]-1,12))</f>
        <v>2.7454197896550765</v>
      </c>
      <c r="N629">
        <f>N628*(1+Table7[Monthly SF Inter])+Table9[[#This Row],[Monthly Payment]]-O628*(1+Table7[Monthly SF Inter])</f>
        <v>112569.44561259478</v>
      </c>
      <c r="O629">
        <f>IF(MOD(Table9[[#This Row],[Month]],12)=0,(IF(Table9[[#This Row],[Current Balance]]&lt;Table9[[#This Row],[Max Lump Sum ]],Table9[[#This Row],[Current Balance]],Table9[[#This Row],[Max Lump Sum ]])),0)</f>
        <v>0</v>
      </c>
      <c r="P629" s="21">
        <f>Table7[Max annual lump sum repayment]*SUM(C630:C641)</f>
        <v>7880.3958913442566</v>
      </c>
      <c r="Q629" s="25">
        <f>Q628*(1+Table7[Monthly SF Inter])+Table9[[#This Row],[Inflation Modifier]]-R628*(1+Table7[Monthly SF Inter])</f>
        <v>16.643283627293208</v>
      </c>
      <c r="R629" s="25">
        <f>IF(MOD(Table9[[#This Row],[Month]],12)=0,Table9[[#This Row],[Q2 ACC FACTOR]],0)</f>
        <v>0</v>
      </c>
      <c r="S629" s="25">
        <f>S628*(1+D628)+Table9[[#This Row],[ACC FACTOR PAYMENTS]]</f>
        <v>5324.2996013267184</v>
      </c>
    </row>
    <row r="630" spans="1:19" x14ac:dyDescent="0.25">
      <c r="A630" s="1">
        <v>618</v>
      </c>
      <c r="B630" s="1">
        <f t="shared" si="9"/>
        <v>0</v>
      </c>
      <c r="C630" s="7">
        <f>G$12/-PV(Table7[Monthly mortgage rate], (12*Table7[Amortization period (yrs)]),1 )</f>
        <v>4377.9977174134756</v>
      </c>
      <c r="D630" s="11">
        <f>IF(Table1[[#This Row],[Month]]&lt;=(12*Table7[mortgage term (yrs)]),Table7[Monthly mortgage rate],Table7[Monthly Exp Renewal Rate])</f>
        <v>4.9038466830562122E-3</v>
      </c>
      <c r="E630" s="21">
        <f>Table1[[#This Row],[Current mortgage rate]]*G629</f>
        <v>-26651.772289383691</v>
      </c>
      <c r="F630" s="5">
        <f>Table1[[#This Row],[Payment amount]]-Table1[[#This Row],[Interest paid]]</f>
        <v>31029.770006797167</v>
      </c>
      <c r="G630" s="20">
        <f>G629-Table1[[#This Row],[Principal repaid]]-Table1[[#This Row],[Annual paym]]</f>
        <v>-5465900.3954427401</v>
      </c>
      <c r="H630" s="20">
        <f>H629-(Table1[[#This Row],[Payment amount]]-Table1[[#This Row],[Interest Paid W/O LSP]])</f>
        <v>-3451589.7201156449</v>
      </c>
      <c r="I630">
        <f>H629*Table1[[#This Row],[Current mortgage rate]]</f>
        <v>-16822.104748104044</v>
      </c>
      <c r="J630" s="25">
        <f>IF(Table1[[#This Row],[Month]]&gt;Table7[Amortization period (yrs)]*12,0,IF(Table1[[#This Row],[Month]]&lt;Table7[mortgage term (yrs)]*12,0,IF(Table1[[#This Row],[Month]]=Table7[mortgage term (yrs)]*12,-H$5,Table1[[#This Row],[Payment amount]]+B630)))</f>
        <v>0</v>
      </c>
      <c r="K630">
        <v>619</v>
      </c>
      <c r="L630">
        <f>Table7[Initial Monthly Deposit]*Table9[[#This Row],[Inflation Modifier]]</f>
        <v>1098.1679158620307</v>
      </c>
      <c r="M630">
        <f xml:space="preserve"> (1+Table7[Inflation])^(QUOTIENT(Table9[[#This Row],[Month]]-1,12))</f>
        <v>2.7454197896550765</v>
      </c>
      <c r="N630">
        <f>N629*(1+Table7[Monthly SF Inter])+Table9[[#This Row],[Monthly Payment]]-O629*(1+Table7[Monthly SF Inter])</f>
        <v>114131.84040612129</v>
      </c>
      <c r="O630">
        <f>IF(MOD(Table9[[#This Row],[Month]],12)=0,(IF(Table9[[#This Row],[Current Balance]]&lt;Table9[[#This Row],[Max Lump Sum ]],Table9[[#This Row],[Current Balance]],Table9[[#This Row],[Max Lump Sum ]])),0)</f>
        <v>0</v>
      </c>
      <c r="P630" s="21">
        <f>Table7[Max annual lump sum repayment]*SUM(C631:C642)</f>
        <v>7880.3958913442566</v>
      </c>
      <c r="Q630" s="25">
        <f>Q629*(1+Table7[Monthly SF Inter])+Table9[[#This Row],[Inflation Modifier]]-R629*(1+Table7[Monthly SF Inter])</f>
        <v>19.457338911689661</v>
      </c>
      <c r="R630" s="25">
        <f>IF(MOD(Table9[[#This Row],[Month]],12)=0,Table9[[#This Row],[Q2 ACC FACTOR]],0)</f>
        <v>0</v>
      </c>
      <c r="S630" s="25">
        <f>S629*(1+D629)+Table9[[#This Row],[ACC FACTOR PAYMENTS]]</f>
        <v>5350.4091502662823</v>
      </c>
    </row>
    <row r="631" spans="1:19" x14ac:dyDescent="0.25">
      <c r="A631" s="1">
        <v>619</v>
      </c>
      <c r="B631" s="1">
        <f t="shared" si="9"/>
        <v>0</v>
      </c>
      <c r="C631" s="7">
        <f>G$12/-PV(Table7[Monthly mortgage rate], (12*Table7[Amortization period (yrs)]),1 )</f>
        <v>4377.9977174134756</v>
      </c>
      <c r="D631" s="11">
        <f>IF(Table1[[#This Row],[Month]]&lt;=(12*Table7[mortgage term (yrs)]),Table7[Monthly mortgage rate],Table7[Monthly Exp Renewal Rate])</f>
        <v>4.9038466830562122E-3</v>
      </c>
      <c r="E631" s="21">
        <f>Table1[[#This Row],[Current mortgage rate]]*G630</f>
        <v>-26803.937524107518</v>
      </c>
      <c r="F631" s="5">
        <f>Table1[[#This Row],[Payment amount]]-Table1[[#This Row],[Interest paid]]</f>
        <v>31181.935241520994</v>
      </c>
      <c r="G631" s="20">
        <f>G630-Table1[[#This Row],[Principal repaid]]-Table1[[#This Row],[Annual paym]]</f>
        <v>-5497082.3306842614</v>
      </c>
      <c r="H631" s="20">
        <f>H630-(Table1[[#This Row],[Payment amount]]-Table1[[#This Row],[Interest Paid W/O LSP]])</f>
        <v>-3472893.7846333184</v>
      </c>
      <c r="I631">
        <f>H630*Table1[[#This Row],[Current mortgage rate]]</f>
        <v>-16926.066800260025</v>
      </c>
      <c r="J631" s="25">
        <f>IF(Table1[[#This Row],[Month]]&gt;Table7[Amortization period (yrs)]*12,0,IF(Table1[[#This Row],[Month]]&lt;Table7[mortgage term (yrs)]*12,0,IF(Table1[[#This Row],[Month]]=Table7[mortgage term (yrs)]*12,-H$5,Table1[[#This Row],[Payment amount]]+B631)))</f>
        <v>0</v>
      </c>
      <c r="K631">
        <v>620</v>
      </c>
      <c r="L631">
        <f>Table7[Initial Monthly Deposit]*Table9[[#This Row],[Inflation Modifier]]</f>
        <v>1098.1679158620307</v>
      </c>
      <c r="M631">
        <f xml:space="preserve"> (1+Table7[Inflation])^(QUOTIENT(Table9[[#This Row],[Month]]-1,12))</f>
        <v>2.7454197896550765</v>
      </c>
      <c r="N631">
        <f>N630*(1+Table7[Monthly SF Inter])+Table9[[#This Row],[Monthly Payment]]-O630*(1+Table7[Monthly SF Inter])</f>
        <v>115700.6783836995</v>
      </c>
      <c r="O631">
        <f>IF(MOD(Table9[[#This Row],[Month]],12)=0,(IF(Table9[[#This Row],[Current Balance]]&lt;Table9[[#This Row],[Max Lump Sum ]],Table9[[#This Row],[Current Balance]],Table9[[#This Row],[Max Lump Sum ]])),0)</f>
        <v>0</v>
      </c>
      <c r="P631" s="21">
        <f>Table7[Max annual lump sum repayment]*SUM(C632:C643)</f>
        <v>7880.3958913442566</v>
      </c>
      <c r="Q631" s="25">
        <f>Q630*(1+Table7[Monthly SF Inter])+Table9[[#This Row],[Inflation Modifier]]-R630*(1+Table7[Monthly SF Inter])</f>
        <v>22.282999122193207</v>
      </c>
      <c r="R631" s="25">
        <f>IF(MOD(Table9[[#This Row],[Month]],12)=0,Table9[[#This Row],[Q2 ACC FACTOR]],0)</f>
        <v>0</v>
      </c>
      <c r="S631" s="25">
        <f>S630*(1+D630)+Table9[[#This Row],[ACC FACTOR PAYMENTS]]</f>
        <v>5376.6467364308091</v>
      </c>
    </row>
    <row r="632" spans="1:19" x14ac:dyDescent="0.25">
      <c r="A632" s="1">
        <v>620</v>
      </c>
      <c r="B632" s="1">
        <f t="shared" si="9"/>
        <v>0</v>
      </c>
      <c r="C632" s="7">
        <f>G$12/-PV(Table7[Monthly mortgage rate], (12*Table7[Amortization period (yrs)]),1 )</f>
        <v>4377.9977174134756</v>
      </c>
      <c r="D632" s="11">
        <f>IF(Table1[[#This Row],[Month]]&lt;=(12*Table7[mortgage term (yrs)]),Table7[Monthly mortgage rate],Table7[Monthly Exp Renewal Rate])</f>
        <v>4.9038466830562122E-3</v>
      </c>
      <c r="E632" s="21">
        <f>Table1[[#This Row],[Current mortgage rate]]*G631</f>
        <v>-26956.848953812929</v>
      </c>
      <c r="F632" s="5">
        <f>Table1[[#This Row],[Payment amount]]-Table1[[#This Row],[Interest paid]]</f>
        <v>31334.846671226405</v>
      </c>
      <c r="G632" s="20">
        <f>G631-Table1[[#This Row],[Principal repaid]]-Table1[[#This Row],[Annual paym]]</f>
        <v>-5528417.1773554878</v>
      </c>
      <c r="H632" s="20">
        <f>H631-(Table1[[#This Row],[Payment amount]]-Table1[[#This Row],[Interest Paid W/O LSP]])</f>
        <v>-3494302.3210171126</v>
      </c>
      <c r="I632">
        <f>H631*Table1[[#This Row],[Current mortgage rate]]</f>
        <v>-17030.538666380635</v>
      </c>
      <c r="J632" s="25">
        <f>IF(Table1[[#This Row],[Month]]&gt;Table7[Amortization period (yrs)]*12,0,IF(Table1[[#This Row],[Month]]&lt;Table7[mortgage term (yrs)]*12,0,IF(Table1[[#This Row],[Month]]=Table7[mortgage term (yrs)]*12,-H$5,Table1[[#This Row],[Payment amount]]+B632)))</f>
        <v>0</v>
      </c>
      <c r="K632">
        <v>621</v>
      </c>
      <c r="L632">
        <f>Table7[Initial Monthly Deposit]*Table9[[#This Row],[Inflation Modifier]]</f>
        <v>1098.1679158620307</v>
      </c>
      <c r="M632">
        <f xml:space="preserve"> (1+Table7[Inflation])^(QUOTIENT(Table9[[#This Row],[Month]]-1,12))</f>
        <v>2.7454197896550765</v>
      </c>
      <c r="N632">
        <f>N631*(1+Table7[Monthly SF Inter])+Table9[[#This Row],[Monthly Payment]]-O631*(1+Table7[Monthly SF Inter])</f>
        <v>117275.98611647575</v>
      </c>
      <c r="O632">
        <f>IF(MOD(Table9[[#This Row],[Month]],12)=0,(IF(Table9[[#This Row],[Current Balance]]&lt;Table9[[#This Row],[Max Lump Sum ]],Table9[[#This Row],[Current Balance]],Table9[[#This Row],[Max Lump Sum ]])),0)</f>
        <v>0</v>
      </c>
      <c r="P632" s="21">
        <f>Table7[Max annual lump sum repayment]*SUM(C633:C644)</f>
        <v>7880.3958913442566</v>
      </c>
      <c r="Q632" s="25">
        <f>Q631*(1+Table7[Monthly SF Inter])+Table9[[#This Row],[Inflation Modifier]]-R631*(1+Table7[Monthly SF Inter])</f>
        <v>25.120312116538091</v>
      </c>
      <c r="R632" s="25">
        <f>IF(MOD(Table9[[#This Row],[Month]],12)=0,Table9[[#This Row],[Q2 ACC FACTOR]],0)</f>
        <v>0</v>
      </c>
      <c r="S632" s="25">
        <f>S631*(1+D631)+Table9[[#This Row],[ACC FACTOR PAYMENTS]]</f>
        <v>5403.0129876952205</v>
      </c>
    </row>
    <row r="633" spans="1:19" x14ac:dyDescent="0.25">
      <c r="A633" s="1">
        <v>621</v>
      </c>
      <c r="B633" s="1">
        <f t="shared" si="9"/>
        <v>0</v>
      </c>
      <c r="C633" s="7">
        <f>G$12/-PV(Table7[Monthly mortgage rate], (12*Table7[Amortization period (yrs)]),1 )</f>
        <v>4377.9977174134756</v>
      </c>
      <c r="D633" s="11">
        <f>IF(Table1[[#This Row],[Month]]&lt;=(12*Table7[mortgage term (yrs)]),Table7[Monthly mortgage rate],Table7[Monthly Exp Renewal Rate])</f>
        <v>4.9038466830562122E-3</v>
      </c>
      <c r="E633" s="21">
        <f>Table1[[#This Row],[Current mortgage rate]]*G632</f>
        <v>-27110.510237725695</v>
      </c>
      <c r="F633" s="5">
        <f>Table1[[#This Row],[Payment amount]]-Table1[[#This Row],[Interest paid]]</f>
        <v>31488.507955139172</v>
      </c>
      <c r="G633" s="20">
        <f>G632-Table1[[#This Row],[Principal repaid]]-Table1[[#This Row],[Annual paym]]</f>
        <v>-5559905.6853106273</v>
      </c>
      <c r="H633" s="20">
        <f>H632-(Table1[[#This Row],[Payment amount]]-Table1[[#This Row],[Interest Paid W/O LSP]])</f>
        <v>-3515815.8415810415</v>
      </c>
      <c r="I633">
        <f>H632*Table1[[#This Row],[Current mortgage rate]]</f>
        <v>-17135.522846515392</v>
      </c>
      <c r="J633" s="25">
        <f>IF(Table1[[#This Row],[Month]]&gt;Table7[Amortization period (yrs)]*12,0,IF(Table1[[#This Row],[Month]]&lt;Table7[mortgage term (yrs)]*12,0,IF(Table1[[#This Row],[Month]]=Table7[mortgage term (yrs)]*12,-H$5,Table1[[#This Row],[Payment amount]]+B633)))</f>
        <v>0</v>
      </c>
      <c r="K633">
        <v>622</v>
      </c>
      <c r="L633">
        <f>Table7[Initial Monthly Deposit]*Table9[[#This Row],[Inflation Modifier]]</f>
        <v>1098.1679158620307</v>
      </c>
      <c r="M633">
        <f xml:space="preserve"> (1+Table7[Inflation])^(QUOTIENT(Table9[[#This Row],[Month]]-1,12))</f>
        <v>2.7454197896550765</v>
      </c>
      <c r="N633">
        <f>N632*(1+Table7[Monthly SF Inter])+Table9[[#This Row],[Monthly Payment]]-O632*(1+Table7[Monthly SF Inter])</f>
        <v>118857.79028517354</v>
      </c>
      <c r="O633">
        <f>IF(MOD(Table9[[#This Row],[Month]],12)=0,(IF(Table9[[#This Row],[Current Balance]]&lt;Table9[[#This Row],[Max Lump Sum ]],Table9[[#This Row],[Current Balance]],Table9[[#This Row],[Max Lump Sum ]])),0)</f>
        <v>0</v>
      </c>
      <c r="P633" s="21">
        <f>Table7[Max annual lump sum repayment]*SUM(C634:C645)</f>
        <v>7880.3958913442566</v>
      </c>
      <c r="Q633" s="25">
        <f>Q632*(1+Table7[Monthly SF Inter])+Table9[[#This Row],[Inflation Modifier]]-R632*(1+Table7[Monthly SF Inter])</f>
        <v>27.969325949819812</v>
      </c>
      <c r="R633" s="25">
        <f>IF(MOD(Table9[[#This Row],[Month]],12)=0,Table9[[#This Row],[Q2 ACC FACTOR]],0)</f>
        <v>0</v>
      </c>
      <c r="S633" s="25">
        <f>S632*(1+D632)+Table9[[#This Row],[ACC FACTOR PAYMENTS]]</f>
        <v>5429.5085350134395</v>
      </c>
    </row>
    <row r="634" spans="1:19" x14ac:dyDescent="0.25">
      <c r="A634" s="1">
        <v>622</v>
      </c>
      <c r="B634" s="1">
        <f t="shared" si="9"/>
        <v>0</v>
      </c>
      <c r="C634" s="7">
        <f>G$12/-PV(Table7[Monthly mortgage rate], (12*Table7[Amortization period (yrs)]),1 )</f>
        <v>4377.9977174134756</v>
      </c>
      <c r="D634" s="11">
        <f>IF(Table1[[#This Row],[Month]]&lt;=(12*Table7[mortgage term (yrs)]),Table7[Monthly mortgage rate],Table7[Monthly Exp Renewal Rate])</f>
        <v>4.9038466830562122E-3</v>
      </c>
      <c r="E634" s="21">
        <f>Table1[[#This Row],[Current mortgage rate]]*G633</f>
        <v>-27264.925053015897</v>
      </c>
      <c r="F634" s="5">
        <f>Table1[[#This Row],[Payment amount]]-Table1[[#This Row],[Interest paid]]</f>
        <v>31642.922770429373</v>
      </c>
      <c r="G634" s="20">
        <f>G633-Table1[[#This Row],[Principal repaid]]-Table1[[#This Row],[Annual paym]]</f>
        <v>-5591548.6080810567</v>
      </c>
      <c r="H634" s="20">
        <f>H633-(Table1[[#This Row],[Payment amount]]-Table1[[#This Row],[Interest Paid W/O LSP]])</f>
        <v>-3537434.8611514284</v>
      </c>
      <c r="I634">
        <f>H633*Table1[[#This Row],[Current mortgage rate]]</f>
        <v>-17241.021852973674</v>
      </c>
      <c r="J634" s="25">
        <f>IF(Table1[[#This Row],[Month]]&gt;Table7[Amortization period (yrs)]*12,0,IF(Table1[[#This Row],[Month]]&lt;Table7[mortgage term (yrs)]*12,0,IF(Table1[[#This Row],[Month]]=Table7[mortgage term (yrs)]*12,-H$5,Table1[[#This Row],[Payment amount]]+B634)))</f>
        <v>0</v>
      </c>
      <c r="K634">
        <v>623</v>
      </c>
      <c r="L634">
        <f>Table7[Initial Monthly Deposit]*Table9[[#This Row],[Inflation Modifier]]</f>
        <v>1098.1679158620307</v>
      </c>
      <c r="M634">
        <f xml:space="preserve"> (1+Table7[Inflation])^(QUOTIENT(Table9[[#This Row],[Month]]-1,12))</f>
        <v>2.7454197896550765</v>
      </c>
      <c r="N634">
        <f>N633*(1+Table7[Monthly SF Inter])+Table9[[#This Row],[Monthly Payment]]-O633*(1+Table7[Monthly SF Inter])</f>
        <v>120446.11768054546</v>
      </c>
      <c r="O634">
        <f>IF(MOD(Table9[[#This Row],[Month]],12)=0,(IF(Table9[[#This Row],[Current Balance]]&lt;Table9[[#This Row],[Max Lump Sum ]],Table9[[#This Row],[Current Balance]],Table9[[#This Row],[Max Lump Sum ]])),0)</f>
        <v>0</v>
      </c>
      <c r="P634" s="21">
        <f>Table7[Max annual lump sum repayment]*SUM(C635:C646)</f>
        <v>7880.3958913442566</v>
      </c>
      <c r="Q634" s="25">
        <f>Q633*(1+Table7[Monthly SF Inter])+Table9[[#This Row],[Inflation Modifier]]-R633*(1+Table7[Monthly SF Inter])</f>
        <v>30.830088875309009</v>
      </c>
      <c r="R634" s="25">
        <f>IF(MOD(Table9[[#This Row],[Month]],12)=0,Table9[[#This Row],[Q2 ACC FACTOR]],0)</f>
        <v>0</v>
      </c>
      <c r="S634" s="25">
        <f>S633*(1+D633)+Table9[[#This Row],[ACC FACTOR PAYMENTS]]</f>
        <v>5456.1340124334902</v>
      </c>
    </row>
    <row r="635" spans="1:19" x14ac:dyDescent="0.25">
      <c r="A635" s="1">
        <v>623</v>
      </c>
      <c r="B635" s="1">
        <f t="shared" si="9"/>
        <v>0</v>
      </c>
      <c r="C635" s="7">
        <f>G$12/-PV(Table7[Monthly mortgage rate], (12*Table7[Amortization period (yrs)]),1 )</f>
        <v>4377.9977174134756</v>
      </c>
      <c r="D635" s="11">
        <f>IF(Table1[[#This Row],[Month]]&lt;=(12*Table7[mortgage term (yrs)]),Table7[Monthly mortgage rate],Table7[Monthly Exp Renewal Rate])</f>
        <v>4.9038466830562122E-3</v>
      </c>
      <c r="E635" s="21">
        <f>Table1[[#This Row],[Current mortgage rate]]*G634</f>
        <v>-27420.09709488587</v>
      </c>
      <c r="F635" s="5">
        <f>Table1[[#This Row],[Payment amount]]-Table1[[#This Row],[Interest paid]]</f>
        <v>31798.094812299347</v>
      </c>
      <c r="G635" s="20">
        <f>G634-Table1[[#This Row],[Principal repaid]]-Table1[[#This Row],[Annual paym]]</f>
        <v>-5623346.7028933559</v>
      </c>
      <c r="H635" s="20">
        <f>H634-(Table1[[#This Row],[Payment amount]]-Table1[[#This Row],[Interest Paid W/O LSP]])</f>
        <v>-3559159.8970792266</v>
      </c>
      <c r="I635">
        <f>H634*Table1[[#This Row],[Current mortgage rate]]</f>
        <v>-17347.038210384846</v>
      </c>
      <c r="J635" s="25">
        <f>IF(Table1[[#This Row],[Month]]&gt;Table7[Amortization period (yrs)]*12,0,IF(Table1[[#This Row],[Month]]&lt;Table7[mortgage term (yrs)]*12,0,IF(Table1[[#This Row],[Month]]=Table7[mortgage term (yrs)]*12,-H$5,Table1[[#This Row],[Payment amount]]+B635)))</f>
        <v>0</v>
      </c>
      <c r="K635">
        <v>624</v>
      </c>
      <c r="L635">
        <f>Table7[Initial Monthly Deposit]*Table9[[#This Row],[Inflation Modifier]]</f>
        <v>1098.1679158620307</v>
      </c>
      <c r="M635">
        <f xml:space="preserve"> (1+Table7[Inflation])^(QUOTIENT(Table9[[#This Row],[Month]]-1,12))</f>
        <v>2.7454197896550765</v>
      </c>
      <c r="N635">
        <f>N634*(1+Table7[Monthly SF Inter])+Table9[[#This Row],[Monthly Payment]]-O634*(1+Table7[Monthly SF Inter])</f>
        <v>122040.99520382687</v>
      </c>
      <c r="O635">
        <f>IF(MOD(Table9[[#This Row],[Month]],12)=0,(IF(Table9[[#This Row],[Current Balance]]&lt;Table9[[#This Row],[Max Lump Sum ]],Table9[[#This Row],[Current Balance]],Table9[[#This Row],[Max Lump Sum ]])),0)</f>
        <v>7880.3958913442566</v>
      </c>
      <c r="P635" s="21">
        <f>Table7[Max annual lump sum repayment]*SUM(C636:C647)</f>
        <v>7880.3958913442566</v>
      </c>
      <c r="Q635" s="25">
        <f>Q634*(1+Table7[Monthly SF Inter])+Table9[[#This Row],[Inflation Modifier]]-R634*(1+Table7[Monthly SF Inter])</f>
        <v>33.702649345268746</v>
      </c>
      <c r="R635" s="25">
        <f>IF(MOD(Table9[[#This Row],[Month]],12)=0,Table9[[#This Row],[Q2 ACC FACTOR]],0)</f>
        <v>33.702649345268746</v>
      </c>
      <c r="S635" s="25">
        <f>S634*(1+D634)+Table9[[#This Row],[ACC FACTOR PAYMENTS]]</f>
        <v>5516.5927064579409</v>
      </c>
    </row>
    <row r="636" spans="1:19" x14ac:dyDescent="0.25">
      <c r="A636" s="1">
        <v>624</v>
      </c>
      <c r="B636" s="1">
        <f t="shared" si="9"/>
        <v>7880.3958913442566</v>
      </c>
      <c r="C636" s="7">
        <f>G$12/-PV(Table7[Monthly mortgage rate], (12*Table7[Amortization period (yrs)]),1 )</f>
        <v>4377.9977174134756</v>
      </c>
      <c r="D636" s="11">
        <f>IF(Table1[[#This Row],[Month]]&lt;=(12*Table7[mortgage term (yrs)]),Table7[Monthly mortgage rate],Table7[Monthly Exp Renewal Rate])</f>
        <v>4.9038466830562122E-3</v>
      </c>
      <c r="E636" s="21">
        <f>Table1[[#This Row],[Current mortgage rate]]*G635</f>
        <v>-27576.03007665867</v>
      </c>
      <c r="F636" s="5">
        <f>Table1[[#This Row],[Payment amount]]-Table1[[#This Row],[Interest paid]]</f>
        <v>31954.027794072146</v>
      </c>
      <c r="G636" s="20">
        <f>G635-Table1[[#This Row],[Principal repaid]]-Table1[[#This Row],[Annual paym]]</f>
        <v>-5663181.1265787724</v>
      </c>
      <c r="H636" s="20">
        <f>H635-(Table1[[#This Row],[Payment amount]]-Table1[[#This Row],[Interest Paid W/O LSP]])</f>
        <v>-3580991.4692523987</v>
      </c>
      <c r="I636">
        <f>H635*Table1[[#This Row],[Current mortgage rate]]</f>
        <v>-17453.574455758655</v>
      </c>
      <c r="J636" s="25">
        <f>IF(Table1[[#This Row],[Month]]&gt;Table7[Amortization period (yrs)]*12,0,IF(Table1[[#This Row],[Month]]&lt;Table7[mortgage term (yrs)]*12,0,IF(Table1[[#This Row],[Month]]=Table7[mortgage term (yrs)]*12,-H$5,Table1[[#This Row],[Payment amount]]+B636)))</f>
        <v>0</v>
      </c>
      <c r="K636">
        <v>625</v>
      </c>
      <c r="L636">
        <f>Table7[Initial Monthly Deposit]*Table9[[#This Row],[Inflation Modifier]]</f>
        <v>1120.1312741792715</v>
      </c>
      <c r="M636">
        <f xml:space="preserve"> (1+Table7[Inflation])^(QUOTIENT(Table9[[#This Row],[Month]]-1,12))</f>
        <v>2.8003281854481785</v>
      </c>
      <c r="N636">
        <f>N635*(1+Table7[Monthly SF Inter])+Table9[[#This Row],[Monthly Payment]]-O635*(1+Table7[Monthly SF Inter])</f>
        <v>115751.51924767676</v>
      </c>
      <c r="O636">
        <f>IF(MOD(Table9[[#This Row],[Month]],12)=0,(IF(Table9[[#This Row],[Current Balance]]&lt;Table9[[#This Row],[Max Lump Sum ]],Table9[[#This Row],[Current Balance]],Table9[[#This Row],[Max Lump Sum ]])),0)</f>
        <v>0</v>
      </c>
      <c r="P636" s="21">
        <f>Table7[Max annual lump sum repayment]*SUM(C637:C648)</f>
        <v>7880.3958913442566</v>
      </c>
      <c r="Q636" s="25">
        <f>Q635*(1+Table7[Monthly SF Inter])+Table9[[#This Row],[Inflation Modifier]]-R635*(1+Table7[Monthly SF Inter])</f>
        <v>2.8003281854481799</v>
      </c>
      <c r="R636" s="25">
        <f>IF(MOD(Table9[[#This Row],[Month]],12)=0,Table9[[#This Row],[Q2 ACC FACTOR]],0)</f>
        <v>0</v>
      </c>
      <c r="S636" s="25">
        <f>S635*(1+D635)+Table9[[#This Row],[ACC FACTOR PAYMENTS]]</f>
        <v>5543.6452313032769</v>
      </c>
    </row>
    <row r="637" spans="1:19" x14ac:dyDescent="0.25">
      <c r="A637" s="1">
        <v>625</v>
      </c>
      <c r="B637" s="1">
        <f t="shared" si="9"/>
        <v>0</v>
      </c>
      <c r="C637" s="7">
        <f>G$12/-PV(Table7[Monthly mortgage rate], (12*Table7[Amortization period (yrs)]),1 )</f>
        <v>4377.9977174134756</v>
      </c>
      <c r="D637" s="11">
        <f>IF(Table1[[#This Row],[Month]]&lt;=(12*Table7[mortgage term (yrs)]),Table7[Monthly mortgage rate],Table7[Monthly Exp Renewal Rate])</f>
        <v>4.9038466830562122E-3</v>
      </c>
      <c r="E637" s="21">
        <f>Table1[[#This Row],[Current mortgage rate]]*G636</f>
        <v>-27771.371983119858</v>
      </c>
      <c r="F637" s="5">
        <f>Table1[[#This Row],[Payment amount]]-Table1[[#This Row],[Interest paid]]</f>
        <v>32149.369700533334</v>
      </c>
      <c r="G637" s="20">
        <f>G636-Table1[[#This Row],[Principal repaid]]-Table1[[#This Row],[Annual paym]]</f>
        <v>-5695330.4962793058</v>
      </c>
      <c r="H637" s="20">
        <f>H636-(Table1[[#This Row],[Payment amount]]-Table1[[#This Row],[Interest Paid W/O LSP]])</f>
        <v>-3602930.1001083581</v>
      </c>
      <c r="I637">
        <f>H636*Table1[[#This Row],[Current mortgage rate]]</f>
        <v>-17560.633138545967</v>
      </c>
      <c r="J637" s="25">
        <f>IF(Table1[[#This Row],[Month]]&gt;Table7[Amortization period (yrs)]*12,0,IF(Table1[[#This Row],[Month]]&lt;Table7[mortgage term (yrs)]*12,0,IF(Table1[[#This Row],[Month]]=Table7[mortgage term (yrs)]*12,-H$5,Table1[[#This Row],[Payment amount]]+B637)))</f>
        <v>0</v>
      </c>
      <c r="K637">
        <v>626</v>
      </c>
      <c r="L637">
        <f>Table7[Initial Monthly Deposit]*Table9[[#This Row],[Inflation Modifier]]</f>
        <v>1120.1312741792715</v>
      </c>
      <c r="M637">
        <f xml:space="preserve"> (1+Table7[Inflation])^(QUOTIENT(Table9[[#This Row],[Month]]-1,12))</f>
        <v>2.8003281854481785</v>
      </c>
      <c r="N637">
        <f>N636*(1+Table7[Monthly SF Inter])+Table9[[#This Row],[Monthly Payment]]-O636*(1+Table7[Monthly SF Inter])</f>
        <v>117349.00000219545</v>
      </c>
      <c r="O637">
        <f>IF(MOD(Table9[[#This Row],[Month]],12)=0,(IF(Table9[[#This Row],[Current Balance]]&lt;Table9[[#This Row],[Max Lump Sum ]],Table9[[#This Row],[Current Balance]],Table9[[#This Row],[Max Lump Sum ]])),0)</f>
        <v>0</v>
      </c>
      <c r="P637" s="21">
        <f>Table7[Max annual lump sum repayment]*SUM(C638:C649)</f>
        <v>7880.3958913442566</v>
      </c>
      <c r="Q637" s="25">
        <f>Q636*(1+Table7[Monthly SF Inter])+Table9[[#This Row],[Inflation Modifier]]-R636*(1+Table7[Monthly SF Inter])</f>
        <v>5.6122046876078073</v>
      </c>
      <c r="R637" s="25">
        <f>IF(MOD(Table9[[#This Row],[Month]],12)=0,Table9[[#This Row],[Q2 ACC FACTOR]],0)</f>
        <v>0</v>
      </c>
      <c r="S637" s="25">
        <f>S636*(1+D636)+Table9[[#This Row],[ACC FACTOR PAYMENTS]]</f>
        <v>5570.8304175828434</v>
      </c>
    </row>
    <row r="638" spans="1:19" x14ac:dyDescent="0.25">
      <c r="A638" s="1">
        <v>626</v>
      </c>
      <c r="B638" s="1">
        <f t="shared" si="9"/>
        <v>0</v>
      </c>
      <c r="C638" s="7">
        <f>G$12/-PV(Table7[Monthly mortgage rate], (12*Table7[Amortization period (yrs)]),1 )</f>
        <v>4377.9977174134756</v>
      </c>
      <c r="D638" s="11">
        <f>IF(Table1[[#This Row],[Month]]&lt;=(12*Table7[mortgage term (yrs)]),Table7[Monthly mortgage rate],Table7[Monthly Exp Renewal Rate])</f>
        <v>4.9038466830562122E-3</v>
      </c>
      <c r="E638" s="21">
        <f>Table1[[#This Row],[Current mortgage rate]]*G637</f>
        <v>-27929.027563088166</v>
      </c>
      <c r="F638" s="5">
        <f>Table1[[#This Row],[Payment amount]]-Table1[[#This Row],[Interest paid]]</f>
        <v>32307.025280501643</v>
      </c>
      <c r="G638" s="20">
        <f>G637-Table1[[#This Row],[Principal repaid]]-Table1[[#This Row],[Annual paym]]</f>
        <v>-5727637.5215598075</v>
      </c>
      <c r="H638" s="20">
        <f>H637-(Table1[[#This Row],[Payment amount]]-Table1[[#This Row],[Interest Paid W/O LSP]])</f>
        <v>-3624976.3146464713</v>
      </c>
      <c r="I638">
        <f>H637*Table1[[#This Row],[Current mortgage rate]]</f>
        <v>-17668.216820699759</v>
      </c>
      <c r="J638" s="25">
        <f>IF(Table1[[#This Row],[Month]]&gt;Table7[Amortization period (yrs)]*12,0,IF(Table1[[#This Row],[Month]]&lt;Table7[mortgage term (yrs)]*12,0,IF(Table1[[#This Row],[Month]]=Table7[mortgage term (yrs)]*12,-H$5,Table1[[#This Row],[Payment amount]]+B638)))</f>
        <v>0</v>
      </c>
      <c r="K638">
        <v>627</v>
      </c>
      <c r="L638">
        <f>Table7[Initial Monthly Deposit]*Table9[[#This Row],[Inflation Modifier]]</f>
        <v>1120.1312741792715</v>
      </c>
      <c r="M638">
        <f xml:space="preserve"> (1+Table7[Inflation])^(QUOTIENT(Table9[[#This Row],[Month]]-1,12))</f>
        <v>2.8003281854481785</v>
      </c>
      <c r="N638">
        <f>N637*(1+Table7[Monthly SF Inter])+Table9[[#This Row],[Monthly Payment]]-O637*(1+Table7[Monthly SF Inter])</f>
        <v>118953.06863230298</v>
      </c>
      <c r="O638">
        <f>IF(MOD(Table9[[#This Row],[Month]],12)=0,(IF(Table9[[#This Row],[Current Balance]]&lt;Table9[[#This Row],[Max Lump Sum ]],Table9[[#This Row],[Current Balance]],Table9[[#This Row],[Max Lump Sum ]])),0)</f>
        <v>0</v>
      </c>
      <c r="P638" s="21">
        <f>Table7[Max annual lump sum repayment]*SUM(C639:C650)</f>
        <v>7880.3958913442566</v>
      </c>
      <c r="Q638" s="25">
        <f>Q637*(1+Table7[Monthly SF Inter])+Table9[[#This Row],[Inflation Modifier]]-R637*(1+Table7[Monthly SF Inter])</f>
        <v>8.4356771307607659</v>
      </c>
      <c r="R638" s="25">
        <f>IF(MOD(Table9[[#This Row],[Month]],12)=0,Table9[[#This Row],[Q2 ACC FACTOR]],0)</f>
        <v>0</v>
      </c>
      <c r="S638" s="25">
        <f>S637*(1+D637)+Table9[[#This Row],[ACC FACTOR PAYMENTS]]</f>
        <v>5598.1489158479753</v>
      </c>
    </row>
    <row r="639" spans="1:19" x14ac:dyDescent="0.25">
      <c r="A639" s="1">
        <v>627</v>
      </c>
      <c r="B639" s="1">
        <f t="shared" si="9"/>
        <v>0</v>
      </c>
      <c r="C639" s="7">
        <f>G$12/-PV(Table7[Monthly mortgage rate], (12*Table7[Amortization period (yrs)]),1 )</f>
        <v>4377.9977174134756</v>
      </c>
      <c r="D639" s="11">
        <f>IF(Table1[[#This Row],[Month]]&lt;=(12*Table7[mortgage term (yrs)]),Table7[Monthly mortgage rate],Table7[Monthly Exp Renewal Rate])</f>
        <v>4.9038466830562122E-3</v>
      </c>
      <c r="E639" s="21">
        <f>Table1[[#This Row],[Current mortgage rate]]*G638</f>
        <v>-28087.456261849366</v>
      </c>
      <c r="F639" s="5">
        <f>Table1[[#This Row],[Payment amount]]-Table1[[#This Row],[Interest paid]]</f>
        <v>32465.453979262842</v>
      </c>
      <c r="G639" s="20">
        <f>G638-Table1[[#This Row],[Principal repaid]]-Table1[[#This Row],[Annual paym]]</f>
        <v>-5760102.9755390706</v>
      </c>
      <c r="H639" s="20">
        <f>H638-(Table1[[#This Row],[Payment amount]]-Table1[[#This Row],[Interest Paid W/O LSP]])</f>
        <v>-3647130.6404406214</v>
      </c>
      <c r="I639">
        <f>H638*Table1[[#This Row],[Current mortgage rate]]</f>
        <v>-17776.32807673643</v>
      </c>
      <c r="J639" s="25">
        <f>IF(Table1[[#This Row],[Month]]&gt;Table7[Amortization period (yrs)]*12,0,IF(Table1[[#This Row],[Month]]&lt;Table7[mortgage term (yrs)]*12,0,IF(Table1[[#This Row],[Month]]=Table7[mortgage term (yrs)]*12,-H$5,Table1[[#This Row],[Payment amount]]+B639)))</f>
        <v>0</v>
      </c>
      <c r="K639">
        <v>628</v>
      </c>
      <c r="L639">
        <f>Table7[Initial Monthly Deposit]*Table9[[#This Row],[Inflation Modifier]]</f>
        <v>1120.1312741792715</v>
      </c>
      <c r="M639">
        <f xml:space="preserve"> (1+Table7[Inflation])^(QUOTIENT(Table9[[#This Row],[Month]]-1,12))</f>
        <v>2.8003281854481785</v>
      </c>
      <c r="N639">
        <f>N638*(1+Table7[Monthly SF Inter])+Table9[[#This Row],[Monthly Payment]]-O638*(1+Table7[Monthly SF Inter])</f>
        <v>120563.75230584136</v>
      </c>
      <c r="O639">
        <f>IF(MOD(Table9[[#This Row],[Month]],12)=0,(IF(Table9[[#This Row],[Current Balance]]&lt;Table9[[#This Row],[Max Lump Sum ]],Table9[[#This Row],[Current Balance]],Table9[[#This Row],[Max Lump Sum ]])),0)</f>
        <v>0</v>
      </c>
      <c r="P639" s="21">
        <f>Table7[Max annual lump sum repayment]*SUM(C640:C651)</f>
        <v>7880.3958913442566</v>
      </c>
      <c r="Q639" s="25">
        <f>Q638*(1+Table7[Monthly SF Inter])+Table9[[#This Row],[Inflation Modifier]]-R638*(1+Table7[Monthly SF Inter])</f>
        <v>11.270793335587452</v>
      </c>
      <c r="R639" s="25">
        <f>IF(MOD(Table9[[#This Row],[Month]],12)=0,Table9[[#This Row],[Q2 ACC FACTOR]],0)</f>
        <v>0</v>
      </c>
      <c r="S639" s="25">
        <f>S638*(1+D638)+Table9[[#This Row],[ACC FACTOR PAYMENTS]]</f>
        <v>5625.6013798402109</v>
      </c>
    </row>
    <row r="640" spans="1:19" x14ac:dyDescent="0.25">
      <c r="A640" s="1">
        <v>628</v>
      </c>
      <c r="B640" s="1">
        <f t="shared" si="9"/>
        <v>0</v>
      </c>
      <c r="C640" s="7">
        <f>G$12/-PV(Table7[Monthly mortgage rate], (12*Table7[Amortization period (yrs)]),1 )</f>
        <v>4377.9977174134756</v>
      </c>
      <c r="D640" s="11">
        <f>IF(Table1[[#This Row],[Month]]&lt;=(12*Table7[mortgage term (yrs)]),Table7[Monthly mortgage rate],Table7[Monthly Exp Renewal Rate])</f>
        <v>4.9038466830562122E-3</v>
      </c>
      <c r="E640" s="21">
        <f>Table1[[#This Row],[Current mortgage rate]]*G639</f>
        <v>-28246.661870659489</v>
      </c>
      <c r="F640" s="5">
        <f>Table1[[#This Row],[Payment amount]]-Table1[[#This Row],[Interest paid]]</f>
        <v>32624.659588072966</v>
      </c>
      <c r="G640" s="20">
        <f>G639-Table1[[#This Row],[Principal repaid]]-Table1[[#This Row],[Annual paym]]</f>
        <v>-5792727.6351271439</v>
      </c>
      <c r="H640" s="20">
        <f>H639-(Table1[[#This Row],[Payment amount]]-Table1[[#This Row],[Interest Paid W/O LSP]])</f>
        <v>-3669393.6076518325</v>
      </c>
      <c r="I640">
        <f>H639*Table1[[#This Row],[Current mortgage rate]]</f>
        <v>-17884.96949379742</v>
      </c>
      <c r="J640" s="25">
        <f>IF(Table1[[#This Row],[Month]]&gt;Table7[Amortization period (yrs)]*12,0,IF(Table1[[#This Row],[Month]]&lt;Table7[mortgage term (yrs)]*12,0,IF(Table1[[#This Row],[Month]]=Table7[mortgage term (yrs)]*12,-H$5,Table1[[#This Row],[Payment amount]]+B640)))</f>
        <v>0</v>
      </c>
      <c r="K640">
        <v>629</v>
      </c>
      <c r="L640">
        <f>Table7[Initial Monthly Deposit]*Table9[[#This Row],[Inflation Modifier]]</f>
        <v>1120.1312741792715</v>
      </c>
      <c r="M640">
        <f xml:space="preserve"> (1+Table7[Inflation])^(QUOTIENT(Table9[[#This Row],[Month]]-1,12))</f>
        <v>2.8003281854481785</v>
      </c>
      <c r="N640">
        <f>N639*(1+Table7[Monthly SF Inter])+Table9[[#This Row],[Monthly Payment]]-O639*(1+Table7[Monthly SF Inter])</f>
        <v>122181.07830269051</v>
      </c>
      <c r="O640">
        <f>IF(MOD(Table9[[#This Row],[Month]],12)=0,(IF(Table9[[#This Row],[Current Balance]]&lt;Table9[[#This Row],[Max Lump Sum ]],Table9[[#This Row],[Current Balance]],Table9[[#This Row],[Max Lump Sum ]])),0)</f>
        <v>0</v>
      </c>
      <c r="P640" s="21">
        <f>Table7[Max annual lump sum repayment]*SUM(C641:C652)</f>
        <v>7880.3958913442566</v>
      </c>
      <c r="Q640" s="25">
        <f>Q639*(1+Table7[Monthly SF Inter])+Table9[[#This Row],[Inflation Modifier]]-R639*(1+Table7[Monthly SF Inter])</f>
        <v>14.117601319976703</v>
      </c>
      <c r="R640" s="25">
        <f>IF(MOD(Table9[[#This Row],[Month]],12)=0,Table9[[#This Row],[Q2 ACC FACTOR]],0)</f>
        <v>0</v>
      </c>
      <c r="S640" s="25">
        <f>S639*(1+D639)+Table9[[#This Row],[ACC FACTOR PAYMENTS]]</f>
        <v>5653.1884665069365</v>
      </c>
    </row>
    <row r="641" spans="1:19" x14ac:dyDescent="0.25">
      <c r="A641" s="1">
        <v>629</v>
      </c>
      <c r="B641" s="1">
        <f t="shared" si="9"/>
        <v>0</v>
      </c>
      <c r="C641" s="7">
        <f>G$12/-PV(Table7[Monthly mortgage rate], (12*Table7[Amortization period (yrs)]),1 )</f>
        <v>4377.9977174134756</v>
      </c>
      <c r="D641" s="11">
        <f>IF(Table1[[#This Row],[Month]]&lt;=(12*Table7[mortgage term (yrs)]),Table7[Monthly mortgage rate],Table7[Monthly Exp Renewal Rate])</f>
        <v>4.9038466830562122E-3</v>
      </c>
      <c r="E641" s="21">
        <f>Table1[[#This Row],[Current mortgage rate]]*G640</f>
        <v>-28406.6481993663</v>
      </c>
      <c r="F641" s="5">
        <f>Table1[[#This Row],[Payment amount]]-Table1[[#This Row],[Interest paid]]</f>
        <v>32784.645916779773</v>
      </c>
      <c r="G641" s="20">
        <f>G640-Table1[[#This Row],[Principal repaid]]-Table1[[#This Row],[Annual paym]]</f>
        <v>-5825512.2810439235</v>
      </c>
      <c r="H641" s="20">
        <f>H640-(Table1[[#This Row],[Payment amount]]-Table1[[#This Row],[Interest Paid W/O LSP]])</f>
        <v>-3691765.7490409571</v>
      </c>
      <c r="I641">
        <f>H640*Table1[[#This Row],[Current mortgage rate]]</f>
        <v>-17994.143671711106</v>
      </c>
      <c r="J641" s="25">
        <f>IF(Table1[[#This Row],[Month]]&gt;Table7[Amortization period (yrs)]*12,0,IF(Table1[[#This Row],[Month]]&lt;Table7[mortgage term (yrs)]*12,0,IF(Table1[[#This Row],[Month]]=Table7[mortgage term (yrs)]*12,-H$5,Table1[[#This Row],[Payment amount]]+B641)))</f>
        <v>0</v>
      </c>
      <c r="K641">
        <v>630</v>
      </c>
      <c r="L641">
        <f>Table7[Initial Monthly Deposit]*Table9[[#This Row],[Inflation Modifier]]</f>
        <v>1120.1312741792715</v>
      </c>
      <c r="M641">
        <f xml:space="preserve"> (1+Table7[Inflation])^(QUOTIENT(Table9[[#This Row],[Month]]-1,12))</f>
        <v>2.8003281854481785</v>
      </c>
      <c r="N641">
        <f>N640*(1+Table7[Monthly SF Inter])+Table9[[#This Row],[Monthly Payment]]-O640*(1+Table7[Monthly SF Inter])</f>
        <v>123805.07401523025</v>
      </c>
      <c r="O641">
        <f>IF(MOD(Table9[[#This Row],[Month]],12)=0,(IF(Table9[[#This Row],[Current Balance]]&lt;Table9[[#This Row],[Max Lump Sum ]],Table9[[#This Row],[Current Balance]],Table9[[#This Row],[Max Lump Sum ]])),0)</f>
        <v>0</v>
      </c>
      <c r="P641" s="21">
        <f>Table7[Max annual lump sum repayment]*SUM(C642:C653)</f>
        <v>7880.3958913442566</v>
      </c>
      <c r="Q641" s="25">
        <f>Q640*(1+Table7[Monthly SF Inter])+Table9[[#This Row],[Inflation Modifier]]-R640*(1+Table7[Monthly SF Inter])</f>
        <v>16.976149299839076</v>
      </c>
      <c r="R641" s="25">
        <f>IF(MOD(Table9[[#This Row],[Month]],12)=0,Table9[[#This Row],[Q2 ACC FACTOR]],0)</f>
        <v>0</v>
      </c>
      <c r="S641" s="25">
        <f>S640*(1+D640)+Table9[[#This Row],[ACC FACTOR PAYMENTS]]</f>
        <v>5680.9108360171085</v>
      </c>
    </row>
    <row r="642" spans="1:19" x14ac:dyDescent="0.25">
      <c r="A642" s="1">
        <v>630</v>
      </c>
      <c r="B642" s="1">
        <f t="shared" si="9"/>
        <v>0</v>
      </c>
      <c r="C642" s="7">
        <f>G$12/-PV(Table7[Monthly mortgage rate], (12*Table7[Amortization period (yrs)]),1 )</f>
        <v>4377.9977174134756</v>
      </c>
      <c r="D642" s="11">
        <f>IF(Table1[[#This Row],[Month]]&lt;=(12*Table7[mortgage term (yrs)]),Table7[Monthly mortgage rate],Table7[Monthly Exp Renewal Rate])</f>
        <v>4.9038466830562122E-3</v>
      </c>
      <c r="E642" s="21">
        <f>Table1[[#This Row],[Current mortgage rate]]*G641</f>
        <v>-28567.419076500471</v>
      </c>
      <c r="F642" s="5">
        <f>Table1[[#This Row],[Payment amount]]-Table1[[#This Row],[Interest paid]]</f>
        <v>32945.416793913944</v>
      </c>
      <c r="G642" s="20">
        <f>G641-Table1[[#This Row],[Principal repaid]]-Table1[[#This Row],[Annual paym]]</f>
        <v>-5858457.697837837</v>
      </c>
      <c r="H642" s="20">
        <f>H641-(Table1[[#This Row],[Payment amount]]-Table1[[#This Row],[Interest Paid W/O LSP]])</f>
        <v>-3714247.5999814258</v>
      </c>
      <c r="I642">
        <f>H641*Table1[[#This Row],[Current mortgage rate]]</f>
        <v>-18103.85322305503</v>
      </c>
      <c r="J642" s="25">
        <f>IF(Table1[[#This Row],[Month]]&gt;Table7[Amortization period (yrs)]*12,0,IF(Table1[[#This Row],[Month]]&lt;Table7[mortgage term (yrs)]*12,0,IF(Table1[[#This Row],[Month]]=Table7[mortgage term (yrs)]*12,-H$5,Table1[[#This Row],[Payment amount]]+B642)))</f>
        <v>0</v>
      </c>
      <c r="K642">
        <v>631</v>
      </c>
      <c r="L642">
        <f>Table7[Initial Monthly Deposit]*Table9[[#This Row],[Inflation Modifier]]</f>
        <v>1120.1312741792715</v>
      </c>
      <c r="M642">
        <f xml:space="preserve"> (1+Table7[Inflation])^(QUOTIENT(Table9[[#This Row],[Month]]-1,12))</f>
        <v>2.8003281854481785</v>
      </c>
      <c r="N642">
        <f>N641*(1+Table7[Monthly SF Inter])+Table9[[#This Row],[Monthly Payment]]-O641*(1+Table7[Monthly SF Inter])</f>
        <v>125435.76694880424</v>
      </c>
      <c r="O642">
        <f>IF(MOD(Table9[[#This Row],[Month]],12)=0,(IF(Table9[[#This Row],[Current Balance]]&lt;Table9[[#This Row],[Max Lump Sum ]],Table9[[#This Row],[Current Balance]],Table9[[#This Row],[Max Lump Sum ]])),0)</f>
        <v>0</v>
      </c>
      <c r="P642" s="21">
        <f>Table7[Max annual lump sum repayment]*SUM(C643:C654)</f>
        <v>7880.3958913442566</v>
      </c>
      <c r="Q642" s="25">
        <f>Q641*(1+Table7[Monthly SF Inter])+Table9[[#This Row],[Inflation Modifier]]-R641*(1+Table7[Monthly SF Inter])</f>
        <v>19.846485689923458</v>
      </c>
      <c r="R642" s="25">
        <f>IF(MOD(Table9[[#This Row],[Month]],12)=0,Table9[[#This Row],[Q2 ACC FACTOR]],0)</f>
        <v>0</v>
      </c>
      <c r="S642" s="25">
        <f>S641*(1+D641)+Table9[[#This Row],[ACC FACTOR PAYMENTS]]</f>
        <v>5708.769151777049</v>
      </c>
    </row>
    <row r="643" spans="1:19" x14ac:dyDescent="0.25">
      <c r="A643" s="1">
        <v>631</v>
      </c>
      <c r="B643" s="1">
        <f t="shared" si="9"/>
        <v>0</v>
      </c>
      <c r="C643" s="7">
        <f>G$12/-PV(Table7[Monthly mortgage rate], (12*Table7[Amortization period (yrs)]),1 )</f>
        <v>4377.9977174134756</v>
      </c>
      <c r="D643" s="11">
        <f>IF(Table1[[#This Row],[Month]]&lt;=(12*Table7[mortgage term (yrs)]),Table7[Monthly mortgage rate],Table7[Monthly Exp Renewal Rate])</f>
        <v>4.9038466830562122E-3</v>
      </c>
      <c r="E643" s="21">
        <f>Table1[[#This Row],[Current mortgage rate]]*G642</f>
        <v>-28728.978349367211</v>
      </c>
      <c r="F643" s="5">
        <f>Table1[[#This Row],[Payment amount]]-Table1[[#This Row],[Interest paid]]</f>
        <v>33106.976066780684</v>
      </c>
      <c r="G643" s="20">
        <f>G642-Table1[[#This Row],[Principal repaid]]-Table1[[#This Row],[Annual paym]]</f>
        <v>-5891564.6739046173</v>
      </c>
      <c r="H643" s="20">
        <f>H642-(Table1[[#This Row],[Payment amount]]-Table1[[#This Row],[Interest Paid W/O LSP]])</f>
        <v>-3736839.6984720575</v>
      </c>
      <c r="I643">
        <f>H642*Table1[[#This Row],[Current mortgage rate]]</f>
        <v>-18214.100773218412</v>
      </c>
      <c r="J643" s="25">
        <f>IF(Table1[[#This Row],[Month]]&gt;Table7[Amortization period (yrs)]*12,0,IF(Table1[[#This Row],[Month]]&lt;Table7[mortgage term (yrs)]*12,0,IF(Table1[[#This Row],[Month]]=Table7[mortgage term (yrs)]*12,-H$5,Table1[[#This Row],[Payment amount]]+B643)))</f>
        <v>0</v>
      </c>
      <c r="K643">
        <v>632</v>
      </c>
      <c r="L643">
        <f>Table7[Initial Monthly Deposit]*Table9[[#This Row],[Inflation Modifier]]</f>
        <v>1120.1312741792715</v>
      </c>
      <c r="M643">
        <f xml:space="preserve"> (1+Table7[Inflation])^(QUOTIENT(Table9[[#This Row],[Month]]-1,12))</f>
        <v>2.8003281854481785</v>
      </c>
      <c r="N643">
        <f>N642*(1+Table7[Monthly SF Inter])+Table9[[#This Row],[Monthly Payment]]-O642*(1+Table7[Monthly SF Inter])</f>
        <v>127073.18472218591</v>
      </c>
      <c r="O643">
        <f>IF(MOD(Table9[[#This Row],[Month]],12)=0,(IF(Table9[[#This Row],[Current Balance]]&lt;Table9[[#This Row],[Max Lump Sum ]],Table9[[#This Row],[Current Balance]],Table9[[#This Row],[Max Lump Sum ]])),0)</f>
        <v>0</v>
      </c>
      <c r="P643" s="21">
        <f>Table7[Max annual lump sum repayment]*SUM(C644:C655)</f>
        <v>7880.3958913442566</v>
      </c>
      <c r="Q643" s="25">
        <f>Q642*(1+Table7[Monthly SF Inter])+Table9[[#This Row],[Inflation Modifier]]-R642*(1+Table7[Monthly SF Inter])</f>
        <v>22.728659104637078</v>
      </c>
      <c r="R643" s="25">
        <f>IF(MOD(Table9[[#This Row],[Month]],12)=0,Table9[[#This Row],[Q2 ACC FACTOR]],0)</f>
        <v>0</v>
      </c>
      <c r="S643" s="25">
        <f>S642*(1+D642)+Table9[[#This Row],[ACC FACTOR PAYMENTS]]</f>
        <v>5736.7640804463244</v>
      </c>
    </row>
    <row r="644" spans="1:19" x14ac:dyDescent="0.25">
      <c r="A644" s="1">
        <v>632</v>
      </c>
      <c r="B644" s="1">
        <f t="shared" si="9"/>
        <v>0</v>
      </c>
      <c r="C644" s="7">
        <f>G$12/-PV(Table7[Monthly mortgage rate], (12*Table7[Amortization period (yrs)]),1 )</f>
        <v>4377.9977174134756</v>
      </c>
      <c r="D644" s="11">
        <f>IF(Table1[[#This Row],[Month]]&lt;=(12*Table7[mortgage term (yrs)]),Table7[Monthly mortgage rate],Table7[Monthly Exp Renewal Rate])</f>
        <v>4.9038466830562122E-3</v>
      </c>
      <c r="E644" s="21">
        <f>Table1[[#This Row],[Current mortgage rate]]*G643</f>
        <v>-28891.329884138311</v>
      </c>
      <c r="F644" s="5">
        <f>Table1[[#This Row],[Payment amount]]-Table1[[#This Row],[Interest paid]]</f>
        <v>33269.327601551784</v>
      </c>
      <c r="G644" s="20">
        <f>G643-Table1[[#This Row],[Principal repaid]]-Table1[[#This Row],[Annual paym]]</f>
        <v>-5924834.0015061693</v>
      </c>
      <c r="H644" s="20">
        <f>H643-(Table1[[#This Row],[Payment amount]]-Table1[[#This Row],[Interest Paid W/O LSP]])</f>
        <v>-3759542.5851499359</v>
      </c>
      <c r="I644">
        <f>H643*Table1[[#This Row],[Current mortgage rate]]</f>
        <v>-18324.888960464974</v>
      </c>
      <c r="J644" s="25">
        <f>IF(Table1[[#This Row],[Month]]&gt;Table7[Amortization period (yrs)]*12,0,IF(Table1[[#This Row],[Month]]&lt;Table7[mortgage term (yrs)]*12,0,IF(Table1[[#This Row],[Month]]=Table7[mortgage term (yrs)]*12,-H$5,Table1[[#This Row],[Payment amount]]+B644)))</f>
        <v>0</v>
      </c>
      <c r="K644">
        <v>633</v>
      </c>
      <c r="L644">
        <f>Table7[Initial Monthly Deposit]*Table9[[#This Row],[Inflation Modifier]]</f>
        <v>1120.1312741792715</v>
      </c>
      <c r="M644">
        <f xml:space="preserve"> (1+Table7[Inflation])^(QUOTIENT(Table9[[#This Row],[Month]]-1,12))</f>
        <v>2.8003281854481785</v>
      </c>
      <c r="N644">
        <f>N643*(1+Table7[Monthly SF Inter])+Table9[[#This Row],[Monthly Payment]]-O643*(1+Table7[Monthly SF Inter])</f>
        <v>128717.35506804612</v>
      </c>
      <c r="O644">
        <f>IF(MOD(Table9[[#This Row],[Month]],12)=0,(IF(Table9[[#This Row],[Current Balance]]&lt;Table9[[#This Row],[Max Lump Sum ]],Table9[[#This Row],[Current Balance]],Table9[[#This Row],[Max Lump Sum ]])),0)</f>
        <v>0</v>
      </c>
      <c r="P644" s="21">
        <f>Table7[Max annual lump sum repayment]*SUM(C645:C656)</f>
        <v>7880.3958913442566</v>
      </c>
      <c r="Q644" s="25">
        <f>Q643*(1+Table7[Monthly SF Inter])+Table9[[#This Row],[Inflation Modifier]]-R643*(1+Table7[Monthly SF Inter])</f>
        <v>25.622718358868863</v>
      </c>
      <c r="R644" s="25">
        <f>IF(MOD(Table9[[#This Row],[Month]],12)=0,Table9[[#This Row],[Q2 ACC FACTOR]],0)</f>
        <v>0</v>
      </c>
      <c r="S644" s="25">
        <f>S643*(1+D643)+Table9[[#This Row],[ACC FACTOR PAYMENTS]]</f>
        <v>5764.8962919536971</v>
      </c>
    </row>
    <row r="645" spans="1:19" x14ac:dyDescent="0.25">
      <c r="A645" s="1">
        <v>633</v>
      </c>
      <c r="B645" s="1">
        <f t="shared" si="9"/>
        <v>0</v>
      </c>
      <c r="C645" s="7">
        <f>G$12/-PV(Table7[Monthly mortgage rate], (12*Table7[Amortization period (yrs)]),1 )</f>
        <v>4377.9977174134756</v>
      </c>
      <c r="D645" s="11">
        <f>IF(Table1[[#This Row],[Month]]&lt;=(12*Table7[mortgage term (yrs)]),Table7[Monthly mortgage rate],Table7[Monthly Exp Renewal Rate])</f>
        <v>4.9038466830562122E-3</v>
      </c>
      <c r="E645" s="21">
        <f>Table1[[#This Row],[Current mortgage rate]]*G644</f>
        <v>-29054.477565944693</v>
      </c>
      <c r="F645" s="5">
        <f>Table1[[#This Row],[Payment amount]]-Table1[[#This Row],[Interest paid]]</f>
        <v>33432.475283358166</v>
      </c>
      <c r="G645" s="20">
        <f>G644-Table1[[#This Row],[Principal repaid]]-Table1[[#This Row],[Annual paym]]</f>
        <v>-5958266.4767895276</v>
      </c>
      <c r="H645" s="20">
        <f>H644-(Table1[[#This Row],[Payment amount]]-Table1[[#This Row],[Interest Paid W/O LSP]])</f>
        <v>-3782356.8033033456</v>
      </c>
      <c r="I645">
        <f>H644*Table1[[#This Row],[Current mortgage rate]]</f>
        <v>-18436.220435996089</v>
      </c>
      <c r="J645" s="25">
        <f>IF(Table1[[#This Row],[Month]]&gt;Table7[Amortization period (yrs)]*12,0,IF(Table1[[#This Row],[Month]]&lt;Table7[mortgage term (yrs)]*12,0,IF(Table1[[#This Row],[Month]]=Table7[mortgage term (yrs)]*12,-H$5,Table1[[#This Row],[Payment amount]]+B645)))</f>
        <v>0</v>
      </c>
      <c r="K645">
        <v>634</v>
      </c>
      <c r="L645">
        <f>Table7[Initial Monthly Deposit]*Table9[[#This Row],[Inflation Modifier]]</f>
        <v>1120.1312741792715</v>
      </c>
      <c r="M645">
        <f xml:space="preserve"> (1+Table7[Inflation])^(QUOTIENT(Table9[[#This Row],[Month]]-1,12))</f>
        <v>2.8003281854481785</v>
      </c>
      <c r="N645">
        <f>N644*(1+Table7[Monthly SF Inter])+Table9[[#This Row],[Monthly Payment]]-O644*(1+Table7[Monthly SF Inter])</f>
        <v>130368.30583342296</v>
      </c>
      <c r="O645">
        <f>IF(MOD(Table9[[#This Row],[Month]],12)=0,(IF(Table9[[#This Row],[Current Balance]]&lt;Table9[[#This Row],[Max Lump Sum ]],Table9[[#This Row],[Current Balance]],Table9[[#This Row],[Max Lump Sum ]])),0)</f>
        <v>0</v>
      </c>
      <c r="P645" s="21">
        <f>Table7[Max annual lump sum repayment]*SUM(C646:C657)</f>
        <v>7880.3958913442566</v>
      </c>
      <c r="Q645" s="25">
        <f>Q644*(1+Table7[Monthly SF Inter])+Table9[[#This Row],[Inflation Modifier]]-R644*(1+Table7[Monthly SF Inter])</f>
        <v>28.528712468816217</v>
      </c>
      <c r="R645" s="25">
        <f>IF(MOD(Table9[[#This Row],[Month]],12)=0,Table9[[#This Row],[Q2 ACC FACTOR]],0)</f>
        <v>0</v>
      </c>
      <c r="S645" s="25">
        <f>S644*(1+D644)+Table9[[#This Row],[ACC FACTOR PAYMENTS]]</f>
        <v>5793.166459513157</v>
      </c>
    </row>
    <row r="646" spans="1:19" x14ac:dyDescent="0.25">
      <c r="A646" s="1">
        <v>634</v>
      </c>
      <c r="B646" s="1">
        <f t="shared" si="9"/>
        <v>0</v>
      </c>
      <c r="C646" s="7">
        <f>G$12/-PV(Table7[Monthly mortgage rate], (12*Table7[Amortization period (yrs)]),1 )</f>
        <v>4377.9977174134756</v>
      </c>
      <c r="D646" s="11">
        <f>IF(Table1[[#This Row],[Month]]&lt;=(12*Table7[mortgage term (yrs)]),Table7[Monthly mortgage rate],Table7[Monthly Exp Renewal Rate])</f>
        <v>4.9038466830562122E-3</v>
      </c>
      <c r="E646" s="21">
        <f>Table1[[#This Row],[Current mortgage rate]]*G645</f>
        <v>-29218.425298969349</v>
      </c>
      <c r="F646" s="5">
        <f>Table1[[#This Row],[Payment amount]]-Table1[[#This Row],[Interest paid]]</f>
        <v>33596.423016382825</v>
      </c>
      <c r="G646" s="20">
        <f>G645-Table1[[#This Row],[Principal repaid]]-Table1[[#This Row],[Annual paym]]</f>
        <v>-5991862.89980591</v>
      </c>
      <c r="H646" s="20">
        <f>H645-(Table1[[#This Row],[Payment amount]]-Table1[[#This Row],[Interest Paid W/O LSP]])</f>
        <v>-3805282.8988847733</v>
      </c>
      <c r="I646">
        <f>H645*Table1[[#This Row],[Current mortgage rate]]</f>
        <v>-18548.097864014209</v>
      </c>
      <c r="J646" s="25">
        <f>IF(Table1[[#This Row],[Month]]&gt;Table7[Amortization period (yrs)]*12,0,IF(Table1[[#This Row],[Month]]&lt;Table7[mortgage term (yrs)]*12,0,IF(Table1[[#This Row],[Month]]=Table7[mortgage term (yrs)]*12,-H$5,Table1[[#This Row],[Payment amount]]+B646)))</f>
        <v>0</v>
      </c>
      <c r="K646">
        <v>635</v>
      </c>
      <c r="L646">
        <f>Table7[Initial Monthly Deposit]*Table9[[#This Row],[Inflation Modifier]]</f>
        <v>1120.1312741792715</v>
      </c>
      <c r="M646">
        <f xml:space="preserve"> (1+Table7[Inflation])^(QUOTIENT(Table9[[#This Row],[Month]]-1,12))</f>
        <v>2.8003281854481785</v>
      </c>
      <c r="N646">
        <f>N645*(1+Table7[Monthly SF Inter])+Table9[[#This Row],[Monthly Payment]]-O645*(1+Table7[Monthly SF Inter])</f>
        <v>132026.06498019333</v>
      </c>
      <c r="O646">
        <f>IF(MOD(Table9[[#This Row],[Month]],12)=0,(IF(Table9[[#This Row],[Current Balance]]&lt;Table9[[#This Row],[Max Lump Sum ]],Table9[[#This Row],[Current Balance]],Table9[[#This Row],[Max Lump Sum ]])),0)</f>
        <v>0</v>
      </c>
      <c r="P646" s="21">
        <f>Table7[Max annual lump sum repayment]*SUM(C647:C658)</f>
        <v>7880.3958913442566</v>
      </c>
      <c r="Q646" s="25">
        <f>Q645*(1+Table7[Monthly SF Inter])+Table9[[#This Row],[Inflation Modifier]]-R645*(1+Table7[Monthly SF Inter])</f>
        <v>31.446690652815199</v>
      </c>
      <c r="R646" s="25">
        <f>IF(MOD(Table9[[#This Row],[Month]],12)=0,Table9[[#This Row],[Q2 ACC FACTOR]],0)</f>
        <v>0</v>
      </c>
      <c r="S646" s="25">
        <f>S645*(1+D645)+Table9[[#This Row],[ACC FACTOR PAYMENTS]]</f>
        <v>5821.5752596400334</v>
      </c>
    </row>
    <row r="647" spans="1:19" x14ac:dyDescent="0.25">
      <c r="A647" s="1">
        <v>635</v>
      </c>
      <c r="B647" s="1">
        <f t="shared" si="9"/>
        <v>0</v>
      </c>
      <c r="C647" s="7">
        <f>G$12/-PV(Table7[Monthly mortgage rate], (12*Table7[Amortization period (yrs)]),1 )</f>
        <v>4377.9977174134756</v>
      </c>
      <c r="D647" s="11">
        <f>IF(Table1[[#This Row],[Month]]&lt;=(12*Table7[mortgage term (yrs)]),Table7[Monthly mortgage rate],Table7[Monthly Exp Renewal Rate])</f>
        <v>4.9038466830562122E-3</v>
      </c>
      <c r="E647" s="21">
        <f>Table1[[#This Row],[Current mortgage rate]]*G646</f>
        <v>-29383.177006540787</v>
      </c>
      <c r="F647" s="5">
        <f>Table1[[#This Row],[Payment amount]]-Table1[[#This Row],[Interest paid]]</f>
        <v>33761.17472395426</v>
      </c>
      <c r="G647" s="20">
        <f>G646-Table1[[#This Row],[Principal repaid]]-Table1[[#This Row],[Annual paym]]</f>
        <v>-6025624.0745298639</v>
      </c>
      <c r="H647" s="20">
        <f>H646-(Table1[[#This Row],[Payment amount]]-Table1[[#This Row],[Interest Paid W/O LSP]])</f>
        <v>-3828321.4205239732</v>
      </c>
      <c r="I647">
        <f>H646*Table1[[#This Row],[Current mortgage rate]]</f>
        <v>-18660.523921786622</v>
      </c>
      <c r="J647" s="25">
        <f>IF(Table1[[#This Row],[Month]]&gt;Table7[Amortization period (yrs)]*12,0,IF(Table1[[#This Row],[Month]]&lt;Table7[mortgage term (yrs)]*12,0,IF(Table1[[#This Row],[Month]]=Table7[mortgage term (yrs)]*12,-H$5,Table1[[#This Row],[Payment amount]]+B647)))</f>
        <v>0</v>
      </c>
      <c r="K647">
        <v>636</v>
      </c>
      <c r="L647">
        <f>Table7[Initial Monthly Deposit]*Table9[[#This Row],[Inflation Modifier]]</f>
        <v>1120.1312741792715</v>
      </c>
      <c r="M647">
        <f xml:space="preserve"> (1+Table7[Inflation])^(QUOTIENT(Table9[[#This Row],[Month]]-1,12))</f>
        <v>2.8003281854481785</v>
      </c>
      <c r="N647">
        <f>N646*(1+Table7[Monthly SF Inter])+Table9[[#This Row],[Monthly Payment]]-O646*(1+Table7[Monthly SF Inter])</f>
        <v>133690.66058554655</v>
      </c>
      <c r="O647">
        <f>IF(MOD(Table9[[#This Row],[Month]],12)=0,(IF(Table9[[#This Row],[Current Balance]]&lt;Table9[[#This Row],[Max Lump Sum ]],Table9[[#This Row],[Current Balance]],Table9[[#This Row],[Max Lump Sum ]])),0)</f>
        <v>7880.3958913442566</v>
      </c>
      <c r="P647" s="21">
        <f>Table7[Max annual lump sum repayment]*SUM(C648:C659)</f>
        <v>7880.3958913442566</v>
      </c>
      <c r="Q647" s="25">
        <f>Q646*(1+Table7[Monthly SF Inter])+Table9[[#This Row],[Inflation Modifier]]-R646*(1+Table7[Monthly SF Inter])</f>
        <v>34.376702332174126</v>
      </c>
      <c r="R647" s="25">
        <f>IF(MOD(Table9[[#This Row],[Month]],12)=0,Table9[[#This Row],[Q2 ACC FACTOR]],0)</f>
        <v>34.376702332174126</v>
      </c>
      <c r="S647" s="25">
        <f>S646*(1+D646)+Table9[[#This Row],[ACC FACTOR PAYMENTS]]</f>
        <v>5884.5000744993558</v>
      </c>
    </row>
    <row r="648" spans="1:19" x14ac:dyDescent="0.25">
      <c r="A648" s="1">
        <v>636</v>
      </c>
      <c r="B648" s="1">
        <f t="shared" si="9"/>
        <v>7880.3958913442566</v>
      </c>
      <c r="C648" s="7">
        <f>G$12/-PV(Table7[Monthly mortgage rate], (12*Table7[Amortization period (yrs)]),1 )</f>
        <v>4377.9977174134756</v>
      </c>
      <c r="D648" s="11">
        <f>IF(Table1[[#This Row],[Month]]&lt;=(12*Table7[mortgage term (yrs)]),Table7[Monthly mortgage rate],Table7[Monthly Exp Renewal Rate])</f>
        <v>4.9038466830562122E-3</v>
      </c>
      <c r="E648" s="21">
        <f>Table1[[#This Row],[Current mortgage rate]]*G647</f>
        <v>-29548.73663122693</v>
      </c>
      <c r="F648" s="5">
        <f>Table1[[#This Row],[Payment amount]]-Table1[[#This Row],[Interest paid]]</f>
        <v>33926.734348640406</v>
      </c>
      <c r="G648" s="20">
        <f>G647-Table1[[#This Row],[Principal repaid]]-Table1[[#This Row],[Annual paym]]</f>
        <v>-6067431.2047698488</v>
      </c>
      <c r="H648" s="20">
        <f>H647-(Table1[[#This Row],[Payment amount]]-Table1[[#This Row],[Interest Paid W/O LSP]])</f>
        <v>-3851472.9195410963</v>
      </c>
      <c r="I648">
        <f>H647*Table1[[#This Row],[Current mortgage rate]]</f>
        <v>-18773.501299709533</v>
      </c>
      <c r="J648" s="25">
        <f>IF(Table1[[#This Row],[Month]]&gt;Table7[Amortization period (yrs)]*12,0,IF(Table1[[#This Row],[Month]]&lt;Table7[mortgage term (yrs)]*12,0,IF(Table1[[#This Row],[Month]]=Table7[mortgage term (yrs)]*12,-H$5,Table1[[#This Row],[Payment amount]]+B648)))</f>
        <v>0</v>
      </c>
      <c r="K648">
        <v>637</v>
      </c>
      <c r="L648">
        <f>Table7[Initial Monthly Deposit]*Table9[[#This Row],[Inflation Modifier]]</f>
        <v>1142.5338996628566</v>
      </c>
      <c r="M648">
        <f xml:space="preserve"> (1+Table7[Inflation])^(QUOTIENT(Table9[[#This Row],[Month]]-1,12))</f>
        <v>2.8563347491571416</v>
      </c>
      <c r="N648">
        <f>N647*(1+Table7[Monthly SF Inter])+Table9[[#This Row],[Monthly Payment]]-O647*(1+Table7[Monthly SF Inter])</f>
        <v>127471.62949011147</v>
      </c>
      <c r="O648">
        <f>IF(MOD(Table9[[#This Row],[Month]],12)=0,(IF(Table9[[#This Row],[Current Balance]]&lt;Table9[[#This Row],[Max Lump Sum ]],Table9[[#This Row],[Current Balance]],Table9[[#This Row],[Max Lump Sum ]])),0)</f>
        <v>0</v>
      </c>
      <c r="P648" s="21">
        <f>Table7[Max annual lump sum repayment]*SUM(C649:C660)</f>
        <v>7880.3958913442566</v>
      </c>
      <c r="Q648" s="25">
        <f>Q647*(1+Table7[Monthly SF Inter])+Table9[[#This Row],[Inflation Modifier]]-R647*(1+Table7[Monthly SF Inter])</f>
        <v>2.856334749157142</v>
      </c>
      <c r="R648" s="25">
        <f>IF(MOD(Table9[[#This Row],[Month]],12)=0,Table9[[#This Row],[Q2 ACC FACTOR]],0)</f>
        <v>0</v>
      </c>
      <c r="S648" s="25">
        <f>S647*(1+D647)+Table9[[#This Row],[ACC FACTOR PAYMENTS]]</f>
        <v>5913.3567606711331</v>
      </c>
    </row>
    <row r="649" spans="1:19" x14ac:dyDescent="0.25">
      <c r="A649" s="1">
        <v>637</v>
      </c>
      <c r="B649" s="1">
        <f t="shared" si="9"/>
        <v>0</v>
      </c>
      <c r="C649" s="7">
        <f>G$12/-PV(Table7[Monthly mortgage rate], (12*Table7[Amortization period (yrs)]),1 )</f>
        <v>4377.9977174134756</v>
      </c>
      <c r="D649" s="11">
        <f>IF(Table1[[#This Row],[Month]]&lt;=(12*Table7[mortgage term (yrs)]),Table7[Monthly mortgage rate],Table7[Monthly Exp Renewal Rate])</f>
        <v>4.9038466830562122E-3</v>
      </c>
      <c r="E649" s="21">
        <f>Table1[[#This Row],[Current mortgage rate]]*G648</f>
        <v>-29753.75238818238</v>
      </c>
      <c r="F649" s="5">
        <f>Table1[[#This Row],[Payment amount]]-Table1[[#This Row],[Interest paid]]</f>
        <v>34131.750105595856</v>
      </c>
      <c r="G649" s="20">
        <f>G648-Table1[[#This Row],[Principal repaid]]-Table1[[#This Row],[Annual paym]]</f>
        <v>-6101562.954875445</v>
      </c>
      <c r="H649" s="20">
        <f>H648-(Table1[[#This Row],[Payment amount]]-Table1[[#This Row],[Interest Paid W/O LSP]])</f>
        <v>-3874737.9499598821</v>
      </c>
      <c r="I649">
        <f>H648*Table1[[#This Row],[Current mortgage rate]]</f>
        <v>-18887.032701372431</v>
      </c>
      <c r="J649" s="25">
        <f>IF(Table1[[#This Row],[Month]]&gt;Table7[Amortization period (yrs)]*12,0,IF(Table1[[#This Row],[Month]]&lt;Table7[mortgage term (yrs)]*12,0,IF(Table1[[#This Row],[Month]]=Table7[mortgage term (yrs)]*12,-H$5,Table1[[#This Row],[Payment amount]]+B649)))</f>
        <v>0</v>
      </c>
      <c r="K649">
        <v>638</v>
      </c>
      <c r="L649">
        <f>Table7[Initial Monthly Deposit]*Table9[[#This Row],[Inflation Modifier]]</f>
        <v>1142.5338996628566</v>
      </c>
      <c r="M649">
        <f xml:space="preserve"> (1+Table7[Inflation])^(QUOTIENT(Table9[[#This Row],[Month]]-1,12))</f>
        <v>2.8563347491571416</v>
      </c>
      <c r="N649">
        <f>N648*(1+Table7[Monthly SF Inter])+Table9[[#This Row],[Monthly Payment]]-O648*(1+Table7[Monthly SF Inter])</f>
        <v>129139.84561399574</v>
      </c>
      <c r="O649">
        <f>IF(MOD(Table9[[#This Row],[Month]],12)=0,(IF(Table9[[#This Row],[Current Balance]]&lt;Table9[[#This Row],[Max Lump Sum ]],Table9[[#This Row],[Current Balance]],Table9[[#This Row],[Max Lump Sum ]])),0)</f>
        <v>0</v>
      </c>
      <c r="P649" s="21">
        <f>Table7[Max annual lump sum repayment]*SUM(C650:C661)</f>
        <v>7880.3958913442566</v>
      </c>
      <c r="Q649" s="25">
        <f>Q648*(1+Table7[Monthly SF Inter])+Table9[[#This Row],[Inflation Modifier]]-R648*(1+Table7[Monthly SF Inter])</f>
        <v>5.7244487813599623</v>
      </c>
      <c r="R649" s="25">
        <f>IF(MOD(Table9[[#This Row],[Month]],12)=0,Table9[[#This Row],[Q2 ACC FACTOR]],0)</f>
        <v>0</v>
      </c>
      <c r="S649" s="25">
        <f>S648*(1+D648)+Table9[[#This Row],[ACC FACTOR PAYMENTS]]</f>
        <v>5942.3549556076787</v>
      </c>
    </row>
    <row r="650" spans="1:19" x14ac:dyDescent="0.25">
      <c r="A650" s="1">
        <v>638</v>
      </c>
      <c r="B650" s="1">
        <f t="shared" si="9"/>
        <v>0</v>
      </c>
      <c r="C650" s="7">
        <f>G$12/-PV(Table7[Monthly mortgage rate], (12*Table7[Amortization period (yrs)]),1 )</f>
        <v>4377.9977174134756</v>
      </c>
      <c r="D650" s="11">
        <f>IF(Table1[[#This Row],[Month]]&lt;=(12*Table7[mortgage term (yrs)]),Table7[Monthly mortgage rate],Table7[Monthly Exp Renewal Rate])</f>
        <v>4.9038466830562122E-3</v>
      </c>
      <c r="E650" s="21">
        <f>Table1[[#This Row],[Current mortgage rate]]*G649</f>
        <v>-29921.129257724613</v>
      </c>
      <c r="F650" s="5">
        <f>Table1[[#This Row],[Payment amount]]-Table1[[#This Row],[Interest paid]]</f>
        <v>34299.12697513809</v>
      </c>
      <c r="G650" s="20">
        <f>G649-Table1[[#This Row],[Principal repaid]]-Table1[[#This Row],[Annual paym]]</f>
        <v>-6135862.0818505827</v>
      </c>
      <c r="H650" s="20">
        <f>H649-(Table1[[#This Row],[Payment amount]]-Table1[[#This Row],[Interest Paid W/O LSP]])</f>
        <v>-3898117.0685209185</v>
      </c>
      <c r="I650">
        <f>H649*Table1[[#This Row],[Current mortgage rate]]</f>
        <v>-19001.120843622793</v>
      </c>
      <c r="J650" s="25">
        <f>IF(Table1[[#This Row],[Month]]&gt;Table7[Amortization period (yrs)]*12,0,IF(Table1[[#This Row],[Month]]&lt;Table7[mortgage term (yrs)]*12,0,IF(Table1[[#This Row],[Month]]=Table7[mortgage term (yrs)]*12,-H$5,Table1[[#This Row],[Payment amount]]+B650)))</f>
        <v>0</v>
      </c>
      <c r="K650">
        <v>639</v>
      </c>
      <c r="L650">
        <f>Table7[Initial Monthly Deposit]*Table9[[#This Row],[Inflation Modifier]]</f>
        <v>1142.5338996628566</v>
      </c>
      <c r="M650">
        <f xml:space="preserve"> (1+Table7[Inflation])^(QUOTIENT(Table9[[#This Row],[Month]]-1,12))</f>
        <v>2.8563347491571416</v>
      </c>
      <c r="N650">
        <f>N649*(1+Table7[Monthly SF Inter])+Table9[[#This Row],[Monthly Payment]]-O649*(1+Table7[Monthly SF Inter])</f>
        <v>130814.94132015249</v>
      </c>
      <c r="O650">
        <f>IF(MOD(Table9[[#This Row],[Month]],12)=0,(IF(Table9[[#This Row],[Current Balance]]&lt;Table9[[#This Row],[Max Lump Sum ]],Table9[[#This Row],[Current Balance]],Table9[[#This Row],[Max Lump Sum ]])),0)</f>
        <v>0</v>
      </c>
      <c r="P650" s="21">
        <f>Table7[Max annual lump sum repayment]*SUM(C651:C662)</f>
        <v>7880.3958913442566</v>
      </c>
      <c r="Q650" s="25">
        <f>Q649*(1+Table7[Monthly SF Inter])+Table9[[#This Row],[Inflation Modifier]]-R649*(1+Table7[Monthly SF Inter])</f>
        <v>8.6043906733759794</v>
      </c>
      <c r="R650" s="25">
        <f>IF(MOD(Table9[[#This Row],[Month]],12)=0,Table9[[#This Row],[Q2 ACC FACTOR]],0)</f>
        <v>0</v>
      </c>
      <c r="S650" s="25">
        <f>S649*(1+D649)+Table9[[#This Row],[ACC FACTOR PAYMENTS]]</f>
        <v>5971.4953532462778</v>
      </c>
    </row>
    <row r="651" spans="1:19" x14ac:dyDescent="0.25">
      <c r="A651" s="1">
        <v>639</v>
      </c>
      <c r="B651" s="1">
        <f t="shared" si="9"/>
        <v>0</v>
      </c>
      <c r="C651" s="7">
        <f>G$12/-PV(Table7[Monthly mortgage rate], (12*Table7[Amortization period (yrs)]),1 )</f>
        <v>4377.9977174134756</v>
      </c>
      <c r="D651" s="11">
        <f>IF(Table1[[#This Row],[Month]]&lt;=(12*Table7[mortgage term (yrs)]),Table7[Monthly mortgage rate],Table7[Monthly Exp Renewal Rate])</f>
        <v>4.9038466830562122E-3</v>
      </c>
      <c r="E651" s="21">
        <f>Table1[[#This Row],[Current mortgage rate]]*G650</f>
        <v>-30089.326917773364</v>
      </c>
      <c r="F651" s="5">
        <f>Table1[[#This Row],[Payment amount]]-Table1[[#This Row],[Interest paid]]</f>
        <v>34467.324635186837</v>
      </c>
      <c r="G651" s="20">
        <f>G650-Table1[[#This Row],[Principal repaid]]-Table1[[#This Row],[Annual paym]]</f>
        <v>-6170329.4064857699</v>
      </c>
      <c r="H651" s="20">
        <f>H650-(Table1[[#This Row],[Payment amount]]-Table1[[#This Row],[Interest Paid W/O LSP]])</f>
        <v>-3921610.8346949629</v>
      </c>
      <c r="I651">
        <f>H650*Table1[[#This Row],[Current mortgage rate]]</f>
        <v>-19115.768456631111</v>
      </c>
      <c r="J651" s="25">
        <f>IF(Table1[[#This Row],[Month]]&gt;Table7[Amortization period (yrs)]*12,0,IF(Table1[[#This Row],[Month]]&lt;Table7[mortgage term (yrs)]*12,0,IF(Table1[[#This Row],[Month]]=Table7[mortgage term (yrs)]*12,-H$5,Table1[[#This Row],[Payment amount]]+B651)))</f>
        <v>0</v>
      </c>
      <c r="K651">
        <v>640</v>
      </c>
      <c r="L651">
        <f>Table7[Initial Monthly Deposit]*Table9[[#This Row],[Inflation Modifier]]</f>
        <v>1142.5338996628566</v>
      </c>
      <c r="M651">
        <f xml:space="preserve"> (1+Table7[Inflation])^(QUOTIENT(Table9[[#This Row],[Month]]-1,12))</f>
        <v>2.8563347491571416</v>
      </c>
      <c r="N651">
        <f>N650*(1+Table7[Monthly SF Inter])+Table9[[#This Row],[Monthly Payment]]-O650*(1+Table7[Monthly SF Inter])</f>
        <v>132496.94497939746</v>
      </c>
      <c r="O651">
        <f>IF(MOD(Table9[[#This Row],[Month]],12)=0,(IF(Table9[[#This Row],[Current Balance]]&lt;Table9[[#This Row],[Max Lump Sum ]],Table9[[#This Row],[Current Balance]],Table9[[#This Row],[Max Lump Sum ]])),0)</f>
        <v>0</v>
      </c>
      <c r="P651" s="21">
        <f>Table7[Max annual lump sum repayment]*SUM(C652:C663)</f>
        <v>7880.3958913442566</v>
      </c>
      <c r="Q651" s="25">
        <f>Q650*(1+Table7[Monthly SF Inter])+Table9[[#This Row],[Inflation Modifier]]-R650*(1+Table7[Monthly SF Inter])</f>
        <v>11.4962092022992</v>
      </c>
      <c r="R651" s="25">
        <f>IF(MOD(Table9[[#This Row],[Month]],12)=0,Table9[[#This Row],[Q2 ACC FACTOR]],0)</f>
        <v>0</v>
      </c>
      <c r="S651" s="25">
        <f>S650*(1+D650)+Table9[[#This Row],[ACC FACTOR PAYMENTS]]</f>
        <v>6000.77865092718</v>
      </c>
    </row>
    <row r="652" spans="1:19" x14ac:dyDescent="0.25">
      <c r="A652" s="1">
        <v>640</v>
      </c>
      <c r="B652" s="1">
        <f t="shared" si="9"/>
        <v>0</v>
      </c>
      <c r="C652" s="7">
        <f>G$12/-PV(Table7[Monthly mortgage rate], (12*Table7[Amortization period (yrs)]),1 )</f>
        <v>4377.9977174134756</v>
      </c>
      <c r="D652" s="11">
        <f>IF(Table1[[#This Row],[Month]]&lt;=(12*Table7[mortgage term (yrs)]),Table7[Monthly mortgage rate],Table7[Monthly Exp Renewal Rate])</f>
        <v>4.9038466830562122E-3</v>
      </c>
      <c r="E652" s="21">
        <f>Table1[[#This Row],[Current mortgage rate]]*G651</f>
        <v>-30258.349393359451</v>
      </c>
      <c r="F652" s="5">
        <f>Table1[[#This Row],[Payment amount]]-Table1[[#This Row],[Interest paid]]</f>
        <v>34636.347110772927</v>
      </c>
      <c r="G652" s="20">
        <f>G651-Table1[[#This Row],[Principal repaid]]-Table1[[#This Row],[Annual paym]]</f>
        <v>-6204965.7535965424</v>
      </c>
      <c r="H652" s="20">
        <f>H651-(Table1[[#This Row],[Payment amount]]-Table1[[#This Row],[Interest Paid W/O LSP]])</f>
        <v>-3945219.8106963327</v>
      </c>
      <c r="I652">
        <f>H651*Table1[[#This Row],[Current mortgage rate]]</f>
        <v>-19230.978283956199</v>
      </c>
      <c r="J652" s="25">
        <f>IF(Table1[[#This Row],[Month]]&gt;Table7[Amortization period (yrs)]*12,0,IF(Table1[[#This Row],[Month]]&lt;Table7[mortgage term (yrs)]*12,0,IF(Table1[[#This Row],[Month]]=Table7[mortgage term (yrs)]*12,-H$5,Table1[[#This Row],[Payment amount]]+B652)))</f>
        <v>0</v>
      </c>
      <c r="K652">
        <v>641</v>
      </c>
      <c r="L652">
        <f>Table7[Initial Monthly Deposit]*Table9[[#This Row],[Inflation Modifier]]</f>
        <v>1142.5338996628566</v>
      </c>
      <c r="M652">
        <f xml:space="preserve"> (1+Table7[Inflation])^(QUOTIENT(Table9[[#This Row],[Month]]-1,12))</f>
        <v>2.8563347491571416</v>
      </c>
      <c r="N652">
        <f>N651*(1+Table7[Monthly SF Inter])+Table9[[#This Row],[Monthly Payment]]-O651*(1+Table7[Monthly SF Inter])</f>
        <v>134185.88507954523</v>
      </c>
      <c r="O652">
        <f>IF(MOD(Table9[[#This Row],[Month]],12)=0,(IF(Table9[[#This Row],[Current Balance]]&lt;Table9[[#This Row],[Max Lump Sum ]],Table9[[#This Row],[Current Balance]],Table9[[#This Row],[Max Lump Sum ]])),0)</f>
        <v>0</v>
      </c>
      <c r="P652" s="21">
        <f>Table7[Max annual lump sum repayment]*SUM(C653:C664)</f>
        <v>7880.3958913442566</v>
      </c>
      <c r="Q652" s="25">
        <f>Q651*(1+Table7[Monthly SF Inter])+Table9[[#This Row],[Inflation Modifier]]-R651*(1+Table7[Monthly SF Inter])</f>
        <v>14.399953346376238</v>
      </c>
      <c r="R652" s="25">
        <f>IF(MOD(Table9[[#This Row],[Month]],12)=0,Table9[[#This Row],[Q2 ACC FACTOR]],0)</f>
        <v>0</v>
      </c>
      <c r="S652" s="25">
        <f>S651*(1+D651)+Table9[[#This Row],[ACC FACTOR PAYMENTS]]</f>
        <v>6030.2055494102842</v>
      </c>
    </row>
    <row r="653" spans="1:19" x14ac:dyDescent="0.25">
      <c r="A653" s="1">
        <v>641</v>
      </c>
      <c r="B653" s="1">
        <f t="shared" ref="B653:B716" si="10">O652</f>
        <v>0</v>
      </c>
      <c r="C653" s="7">
        <f>G$12/-PV(Table7[Monthly mortgage rate], (12*Table7[Amortization period (yrs)]),1 )</f>
        <v>4377.9977174134756</v>
      </c>
      <c r="D653" s="11">
        <f>IF(Table1[[#This Row],[Month]]&lt;=(12*Table7[mortgage term (yrs)]),Table7[Monthly mortgage rate],Table7[Monthly Exp Renewal Rate])</f>
        <v>4.9038466830562122E-3</v>
      </c>
      <c r="E653" s="21">
        <f>Table1[[#This Row],[Current mortgage rate]]*G652</f>
        <v>-30428.200729251796</v>
      </c>
      <c r="F653" s="5">
        <f>Table1[[#This Row],[Payment amount]]-Table1[[#This Row],[Interest paid]]</f>
        <v>34806.198446665272</v>
      </c>
      <c r="G653" s="20">
        <f>G652-Table1[[#This Row],[Principal repaid]]-Table1[[#This Row],[Annual paym]]</f>
        <v>-6239771.9520432074</v>
      </c>
      <c r="H653" s="20">
        <f>H652-(Table1[[#This Row],[Payment amount]]-Table1[[#This Row],[Interest Paid W/O LSP]])</f>
        <v>-3968944.561496357</v>
      </c>
      <c r="I653">
        <f>H652*Table1[[#This Row],[Current mortgage rate]]</f>
        <v>-19346.753082610867</v>
      </c>
      <c r="J653" s="25">
        <f>IF(Table1[[#This Row],[Month]]&gt;Table7[Amortization period (yrs)]*12,0,IF(Table1[[#This Row],[Month]]&lt;Table7[mortgage term (yrs)]*12,0,IF(Table1[[#This Row],[Month]]=Table7[mortgage term (yrs)]*12,-H$5,Table1[[#This Row],[Payment amount]]+B653)))</f>
        <v>0</v>
      </c>
      <c r="K653">
        <v>642</v>
      </c>
      <c r="L653">
        <f>Table7[Initial Monthly Deposit]*Table9[[#This Row],[Inflation Modifier]]</f>
        <v>1142.5338996628566</v>
      </c>
      <c r="M653">
        <f xml:space="preserve"> (1+Table7[Inflation])^(QUOTIENT(Table9[[#This Row],[Month]]-1,12))</f>
        <v>2.8563347491571416</v>
      </c>
      <c r="N653">
        <f>N652*(1+Table7[Monthly SF Inter])+Table9[[#This Row],[Monthly Payment]]-O652*(1+Table7[Monthly SF Inter])</f>
        <v>135881.79022589172</v>
      </c>
      <c r="O653">
        <f>IF(MOD(Table9[[#This Row],[Month]],12)=0,(IF(Table9[[#This Row],[Current Balance]]&lt;Table9[[#This Row],[Max Lump Sum ]],Table9[[#This Row],[Current Balance]],Table9[[#This Row],[Max Lump Sum ]])),0)</f>
        <v>0</v>
      </c>
      <c r="P653" s="21">
        <f>Table7[Max annual lump sum repayment]*SUM(C654:C665)</f>
        <v>7880.3958913442566</v>
      </c>
      <c r="Q653" s="25">
        <f>Q652*(1+Table7[Monthly SF Inter])+Table9[[#This Row],[Inflation Modifier]]-R652*(1+Table7[Monthly SF Inter])</f>
        <v>17.315672285835856</v>
      </c>
      <c r="R653" s="25">
        <f>IF(MOD(Table9[[#This Row],[Month]],12)=0,Table9[[#This Row],[Q2 ACC FACTOR]],0)</f>
        <v>0</v>
      </c>
      <c r="S653" s="25">
        <f>S652*(1+D652)+Table9[[#This Row],[ACC FACTOR PAYMENTS]]</f>
        <v>6059.7767528919067</v>
      </c>
    </row>
    <row r="654" spans="1:19" x14ac:dyDescent="0.25">
      <c r="A654" s="1">
        <v>642</v>
      </c>
      <c r="B654" s="1">
        <f t="shared" si="10"/>
        <v>0</v>
      </c>
      <c r="C654" s="7">
        <f>G$12/-PV(Table7[Monthly mortgage rate], (12*Table7[Amortization period (yrs)]),1 )</f>
        <v>4377.9977174134756</v>
      </c>
      <c r="D654" s="11">
        <f>IF(Table1[[#This Row],[Month]]&lt;=(12*Table7[mortgage term (yrs)]),Table7[Monthly mortgage rate],Table7[Monthly Exp Renewal Rate])</f>
        <v>4.9038466830562122E-3</v>
      </c>
      <c r="E654" s="21">
        <f>Table1[[#This Row],[Current mortgage rate]]*G653</f>
        <v>-30598.88499005427</v>
      </c>
      <c r="F654" s="5">
        <f>Table1[[#This Row],[Payment amount]]-Table1[[#This Row],[Interest paid]]</f>
        <v>34976.882707467747</v>
      </c>
      <c r="G654" s="20">
        <f>G653-Table1[[#This Row],[Principal repaid]]-Table1[[#This Row],[Annual paym]]</f>
        <v>-6274748.8347506747</v>
      </c>
      <c r="H654" s="20">
        <f>H653-(Table1[[#This Row],[Payment amount]]-Table1[[#This Row],[Interest Paid W/O LSP]])</f>
        <v>-3992785.6548368982</v>
      </c>
      <c r="I654">
        <f>H653*Table1[[#This Row],[Current mortgage rate]]</f>
        <v>-19463.095623127901</v>
      </c>
      <c r="J654" s="25">
        <f>IF(Table1[[#This Row],[Month]]&gt;Table7[Amortization period (yrs)]*12,0,IF(Table1[[#This Row],[Month]]&lt;Table7[mortgage term (yrs)]*12,0,IF(Table1[[#This Row],[Month]]=Table7[mortgage term (yrs)]*12,-H$5,Table1[[#This Row],[Payment amount]]+B654)))</f>
        <v>0</v>
      </c>
      <c r="K654">
        <v>643</v>
      </c>
      <c r="L654">
        <f>Table7[Initial Monthly Deposit]*Table9[[#This Row],[Inflation Modifier]]</f>
        <v>1142.5338996628566</v>
      </c>
      <c r="M654">
        <f xml:space="preserve"> (1+Table7[Inflation])^(QUOTIENT(Table9[[#This Row],[Month]]-1,12))</f>
        <v>2.8563347491571416</v>
      </c>
      <c r="N654">
        <f>N653*(1+Table7[Monthly SF Inter])+Table9[[#This Row],[Monthly Payment]]-O653*(1+Table7[Monthly SF Inter])</f>
        <v>137584.68914169862</v>
      </c>
      <c r="O654">
        <f>IF(MOD(Table9[[#This Row],[Month]],12)=0,(IF(Table9[[#This Row],[Current Balance]]&lt;Table9[[#This Row],[Max Lump Sum ]],Table9[[#This Row],[Current Balance]],Table9[[#This Row],[Max Lump Sum ]])),0)</f>
        <v>0</v>
      </c>
      <c r="P654" s="21">
        <f>Table7[Max annual lump sum repayment]*SUM(C655:C666)</f>
        <v>7880.3958913442566</v>
      </c>
      <c r="Q654" s="25">
        <f>Q653*(1+Table7[Monthly SF Inter])+Table9[[#This Row],[Inflation Modifier]]-R653*(1+Table7[Monthly SF Inter])</f>
        <v>20.243415403721926</v>
      </c>
      <c r="R654" s="25">
        <f>IF(MOD(Table9[[#This Row],[Month]],12)=0,Table9[[#This Row],[Q2 ACC FACTOR]],0)</f>
        <v>0</v>
      </c>
      <c r="S654" s="25">
        <f>S653*(1+D653)+Table9[[#This Row],[ACC FACTOR PAYMENTS]]</f>
        <v>6089.4929690216368</v>
      </c>
    </row>
    <row r="655" spans="1:19" x14ac:dyDescent="0.25">
      <c r="A655" s="1">
        <v>643</v>
      </c>
      <c r="B655" s="1">
        <f t="shared" si="10"/>
        <v>0</v>
      </c>
      <c r="C655" s="7">
        <f>G$12/-PV(Table7[Monthly mortgage rate], (12*Table7[Amortization period (yrs)]),1 )</f>
        <v>4377.9977174134756</v>
      </c>
      <c r="D655" s="11">
        <f>IF(Table1[[#This Row],[Month]]&lt;=(12*Table7[mortgage term (yrs)]),Table7[Monthly mortgage rate],Table7[Monthly Exp Renewal Rate])</f>
        <v>4.9038466830562122E-3</v>
      </c>
      <c r="E655" s="21">
        <f>Table1[[#This Row],[Current mortgage rate]]*G654</f>
        <v>-30770.406260302927</v>
      </c>
      <c r="F655" s="5">
        <f>Table1[[#This Row],[Payment amount]]-Table1[[#This Row],[Interest paid]]</f>
        <v>35148.4039777164</v>
      </c>
      <c r="G655" s="20">
        <f>G654-Table1[[#This Row],[Principal repaid]]-Table1[[#This Row],[Annual paym]]</f>
        <v>-6309897.238728391</v>
      </c>
      <c r="H655" s="20">
        <f>H654-(Table1[[#This Row],[Payment amount]]-Table1[[#This Row],[Interest Paid W/O LSP]])</f>
        <v>-4016743.6612439379</v>
      </c>
      <c r="I655">
        <f>H654*Table1[[#This Row],[Current mortgage rate]]</f>
        <v>-19580.008689626349</v>
      </c>
      <c r="J655" s="25">
        <f>IF(Table1[[#This Row],[Month]]&gt;Table7[Amortization period (yrs)]*12,0,IF(Table1[[#This Row],[Month]]&lt;Table7[mortgage term (yrs)]*12,0,IF(Table1[[#This Row],[Month]]=Table7[mortgage term (yrs)]*12,-H$5,Table1[[#This Row],[Payment amount]]+B655)))</f>
        <v>0</v>
      </c>
      <c r="K655">
        <v>644</v>
      </c>
      <c r="L655">
        <f>Table7[Initial Monthly Deposit]*Table9[[#This Row],[Inflation Modifier]]</f>
        <v>1142.5338996628566</v>
      </c>
      <c r="M655">
        <f xml:space="preserve"> (1+Table7[Inflation])^(QUOTIENT(Table9[[#This Row],[Month]]-1,12))</f>
        <v>2.8563347491571416</v>
      </c>
      <c r="N655">
        <f>N654*(1+Table7[Monthly SF Inter])+Table9[[#This Row],[Monthly Payment]]-O654*(1+Table7[Monthly SF Inter])</f>
        <v>139294.61066867999</v>
      </c>
      <c r="O655">
        <f>IF(MOD(Table9[[#This Row],[Month]],12)=0,(IF(Table9[[#This Row],[Current Balance]]&lt;Table9[[#This Row],[Max Lump Sum ]],Table9[[#This Row],[Current Balance]],Table9[[#This Row],[Max Lump Sum ]])),0)</f>
        <v>0</v>
      </c>
      <c r="P655" s="21">
        <f>Table7[Max annual lump sum repayment]*SUM(C656:C667)</f>
        <v>7880.3958913442566</v>
      </c>
      <c r="Q655" s="25">
        <f>Q654*(1+Table7[Monthly SF Inter])+Table9[[#This Row],[Inflation Modifier]]-R654*(1+Table7[Monthly SF Inter])</f>
        <v>23.183232286729815</v>
      </c>
      <c r="R655" s="25">
        <f>IF(MOD(Table9[[#This Row],[Month]],12)=0,Table9[[#This Row],[Q2 ACC FACTOR]],0)</f>
        <v>0</v>
      </c>
      <c r="S655" s="25">
        <f>S654*(1+D654)+Table9[[#This Row],[ACC FACTOR PAYMENTS]]</f>
        <v>6119.3549089192675</v>
      </c>
    </row>
    <row r="656" spans="1:19" x14ac:dyDescent="0.25">
      <c r="A656" s="1">
        <v>644</v>
      </c>
      <c r="B656" s="1">
        <f t="shared" si="10"/>
        <v>0</v>
      </c>
      <c r="C656" s="7">
        <f>G$12/-PV(Table7[Monthly mortgage rate], (12*Table7[Amortization period (yrs)]),1 )</f>
        <v>4377.9977174134756</v>
      </c>
      <c r="D656" s="11">
        <f>IF(Table1[[#This Row],[Month]]&lt;=(12*Table7[mortgage term (yrs)]),Table7[Monthly mortgage rate],Table7[Monthly Exp Renewal Rate])</f>
        <v>4.9038466830562122E-3</v>
      </c>
      <c r="E656" s="21">
        <f>Table1[[#This Row],[Current mortgage rate]]*G655</f>
        <v>-30942.768644563774</v>
      </c>
      <c r="F656" s="5">
        <f>Table1[[#This Row],[Payment amount]]-Table1[[#This Row],[Interest paid]]</f>
        <v>35320.76636197725</v>
      </c>
      <c r="G656" s="20">
        <f>G655-Table1[[#This Row],[Principal repaid]]-Table1[[#This Row],[Annual paym]]</f>
        <v>-6345218.005090368</v>
      </c>
      <c r="H656" s="20">
        <f>H655-(Table1[[#This Row],[Payment amount]]-Table1[[#This Row],[Interest Paid W/O LSP]])</f>
        <v>-4040819.1540412297</v>
      </c>
      <c r="I656">
        <f>H655*Table1[[#This Row],[Current mortgage rate]]</f>
        <v>-19697.49507987815</v>
      </c>
      <c r="J656" s="25">
        <f>IF(Table1[[#This Row],[Month]]&gt;Table7[Amortization period (yrs)]*12,0,IF(Table1[[#This Row],[Month]]&lt;Table7[mortgage term (yrs)]*12,0,IF(Table1[[#This Row],[Month]]=Table7[mortgage term (yrs)]*12,-H$5,Table1[[#This Row],[Payment amount]]+B656)))</f>
        <v>0</v>
      </c>
      <c r="K656">
        <v>645</v>
      </c>
      <c r="L656">
        <f>Table7[Initial Monthly Deposit]*Table9[[#This Row],[Inflation Modifier]]</f>
        <v>1142.5338996628566</v>
      </c>
      <c r="M656">
        <f xml:space="preserve"> (1+Table7[Inflation])^(QUOTIENT(Table9[[#This Row],[Month]]-1,12))</f>
        <v>2.8563347491571416</v>
      </c>
      <c r="N656">
        <f>N655*(1+Table7[Monthly SF Inter])+Table9[[#This Row],[Monthly Payment]]-O655*(1+Table7[Monthly SF Inter])</f>
        <v>141011.58376749067</v>
      </c>
      <c r="O656">
        <f>IF(MOD(Table9[[#This Row],[Month]],12)=0,(IF(Table9[[#This Row],[Current Balance]]&lt;Table9[[#This Row],[Max Lump Sum ]],Table9[[#This Row],[Current Balance]],Table9[[#This Row],[Max Lump Sum ]])),0)</f>
        <v>0</v>
      </c>
      <c r="P656" s="21">
        <f>Table7[Max annual lump sum repayment]*SUM(C657:C668)</f>
        <v>7880.3958913442566</v>
      </c>
      <c r="Q656" s="25">
        <f>Q655*(1+Table7[Monthly SF Inter])+Table9[[#This Row],[Inflation Modifier]]-R655*(1+Table7[Monthly SF Inter])</f>
        <v>26.135172726046232</v>
      </c>
      <c r="R656" s="25">
        <f>IF(MOD(Table9[[#This Row],[Month]],12)=0,Table9[[#This Row],[Q2 ACC FACTOR]],0)</f>
        <v>0</v>
      </c>
      <c r="S656" s="25">
        <f>S655*(1+D655)+Table9[[#This Row],[ACC FACTOR PAYMENTS]]</f>
        <v>6149.3632871918153</v>
      </c>
    </row>
    <row r="657" spans="1:19" x14ac:dyDescent="0.25">
      <c r="A657" s="1">
        <v>645</v>
      </c>
      <c r="B657" s="1">
        <f t="shared" si="10"/>
        <v>0</v>
      </c>
      <c r="C657" s="7">
        <f>G$12/-PV(Table7[Monthly mortgage rate], (12*Table7[Amortization period (yrs)]),1 )</f>
        <v>4377.9977174134756</v>
      </c>
      <c r="D657" s="11">
        <f>IF(Table1[[#This Row],[Month]]&lt;=(12*Table7[mortgage term (yrs)]),Table7[Monthly mortgage rate],Table7[Monthly Exp Renewal Rate])</f>
        <v>4.9038466830562122E-3</v>
      </c>
      <c r="E657" s="21">
        <f>Table1[[#This Row],[Current mortgage rate]]*G656</f>
        <v>-31115.976267530958</v>
      </c>
      <c r="F657" s="5">
        <f>Table1[[#This Row],[Payment amount]]-Table1[[#This Row],[Interest paid]]</f>
        <v>35493.97398494443</v>
      </c>
      <c r="G657" s="20">
        <f>G656-Table1[[#This Row],[Principal repaid]]-Table1[[#This Row],[Annual paym]]</f>
        <v>-6380711.9790753126</v>
      </c>
      <c r="H657" s="20">
        <f>H656-(Table1[[#This Row],[Payment amount]]-Table1[[#This Row],[Interest Paid W/O LSP]])</f>
        <v>-4065012.7093640184</v>
      </c>
      <c r="I657">
        <f>H656*Table1[[#This Row],[Current mortgage rate]]</f>
        <v>-19815.557605375096</v>
      </c>
      <c r="J657" s="25">
        <f>IF(Table1[[#This Row],[Month]]&gt;Table7[Amortization period (yrs)]*12,0,IF(Table1[[#This Row],[Month]]&lt;Table7[mortgage term (yrs)]*12,0,IF(Table1[[#This Row],[Month]]=Table7[mortgage term (yrs)]*12,-H$5,Table1[[#This Row],[Payment amount]]+B657)))</f>
        <v>0</v>
      </c>
      <c r="K657">
        <v>646</v>
      </c>
      <c r="L657">
        <f>Table7[Initial Monthly Deposit]*Table9[[#This Row],[Inflation Modifier]]</f>
        <v>1142.5338996628566</v>
      </c>
      <c r="M657">
        <f xml:space="preserve"> (1+Table7[Inflation])^(QUOTIENT(Table9[[#This Row],[Month]]-1,12))</f>
        <v>2.8563347491571416</v>
      </c>
      <c r="N657">
        <f>N656*(1+Table7[Monthly SF Inter])+Table9[[#This Row],[Monthly Payment]]-O656*(1+Table7[Monthly SF Inter])</f>
        <v>142735.63751821677</v>
      </c>
      <c r="O657">
        <f>IF(MOD(Table9[[#This Row],[Month]],12)=0,(IF(Table9[[#This Row],[Current Balance]]&lt;Table9[[#This Row],[Max Lump Sum ]],Table9[[#This Row],[Current Balance]],Table9[[#This Row],[Max Lump Sum ]])),0)</f>
        <v>0</v>
      </c>
      <c r="P657" s="21">
        <f>Table7[Max annual lump sum repayment]*SUM(C658:C669)</f>
        <v>7880.3958913442566</v>
      </c>
      <c r="Q657" s="25">
        <f>Q656*(1+Table7[Monthly SF Inter])+Table9[[#This Row],[Inflation Modifier]]-R656*(1+Table7[Monthly SF Inter])</f>
        <v>29.099286718192531</v>
      </c>
      <c r="R657" s="25">
        <f>IF(MOD(Table9[[#This Row],[Month]],12)=0,Table9[[#This Row],[Q2 ACC FACTOR]],0)</f>
        <v>0</v>
      </c>
      <c r="S657" s="25">
        <f>S656*(1+D656)+Table9[[#This Row],[ACC FACTOR PAYMENTS]]</f>
        <v>6179.5188219506181</v>
      </c>
    </row>
    <row r="658" spans="1:19" x14ac:dyDescent="0.25">
      <c r="A658" s="1">
        <v>646</v>
      </c>
      <c r="B658" s="1">
        <f t="shared" si="10"/>
        <v>0</v>
      </c>
      <c r="C658" s="7">
        <f>G$12/-PV(Table7[Monthly mortgage rate], (12*Table7[Amortization period (yrs)]),1 )</f>
        <v>4377.9977174134756</v>
      </c>
      <c r="D658" s="11">
        <f>IF(Table1[[#This Row],[Month]]&lt;=(12*Table7[mortgage term (yrs)]),Table7[Monthly mortgage rate],Table7[Monthly Exp Renewal Rate])</f>
        <v>4.9038466830562122E-3</v>
      </c>
      <c r="E658" s="21">
        <f>Table1[[#This Row],[Current mortgage rate]]*G657</f>
        <v>-31290.033274125512</v>
      </c>
      <c r="F658" s="5">
        <f>Table1[[#This Row],[Payment amount]]-Table1[[#This Row],[Interest paid]]</f>
        <v>35668.030991538988</v>
      </c>
      <c r="G658" s="20">
        <f>G657-Table1[[#This Row],[Principal repaid]]-Table1[[#This Row],[Annual paym]]</f>
        <v>-6416380.010066852</v>
      </c>
      <c r="H658" s="20">
        <f>H657-(Table1[[#This Row],[Payment amount]]-Table1[[#This Row],[Interest Paid W/O LSP]])</f>
        <v>-4089324.9061728278</v>
      </c>
      <c r="I658">
        <f>H657*Table1[[#This Row],[Current mortgage rate]]</f>
        <v>-19934.199091396087</v>
      </c>
      <c r="J658" s="25">
        <f>IF(Table1[[#This Row],[Month]]&gt;Table7[Amortization period (yrs)]*12,0,IF(Table1[[#This Row],[Month]]&lt;Table7[mortgage term (yrs)]*12,0,IF(Table1[[#This Row],[Month]]=Table7[mortgage term (yrs)]*12,-H$5,Table1[[#This Row],[Payment amount]]+B658)))</f>
        <v>0</v>
      </c>
      <c r="K658">
        <v>647</v>
      </c>
      <c r="L658">
        <f>Table7[Initial Monthly Deposit]*Table9[[#This Row],[Inflation Modifier]]</f>
        <v>1142.5338996628566</v>
      </c>
      <c r="M658">
        <f xml:space="preserve"> (1+Table7[Inflation])^(QUOTIENT(Table9[[#This Row],[Month]]-1,12))</f>
        <v>2.8563347491571416</v>
      </c>
      <c r="N658">
        <f>N657*(1+Table7[Monthly SF Inter])+Table9[[#This Row],[Monthly Payment]]-O657*(1+Table7[Monthly SF Inter])</f>
        <v>144466.80112086824</v>
      </c>
      <c r="O658">
        <f>IF(MOD(Table9[[#This Row],[Month]],12)=0,(IF(Table9[[#This Row],[Current Balance]]&lt;Table9[[#This Row],[Max Lump Sum ]],Table9[[#This Row],[Current Balance]],Table9[[#This Row],[Max Lump Sum ]])),0)</f>
        <v>0</v>
      </c>
      <c r="P658" s="21">
        <f>Table7[Max annual lump sum repayment]*SUM(C659:C670)</f>
        <v>7880.3958913442566</v>
      </c>
      <c r="Q658" s="25">
        <f>Q657*(1+Table7[Monthly SF Inter])+Table9[[#This Row],[Inflation Modifier]]-R657*(1+Table7[Monthly SF Inter])</f>
        <v>32.075624465871492</v>
      </c>
      <c r="R658" s="25">
        <f>IF(MOD(Table9[[#This Row],[Month]],12)=0,Table9[[#This Row],[Q2 ACC FACTOR]],0)</f>
        <v>0</v>
      </c>
      <c r="S658" s="25">
        <f>S657*(1+D657)+Table9[[#This Row],[ACC FACTOR PAYMENTS]]</f>
        <v>6209.8222348285244</v>
      </c>
    </row>
    <row r="659" spans="1:19" x14ac:dyDescent="0.25">
      <c r="A659" s="1">
        <v>647</v>
      </c>
      <c r="B659" s="1">
        <f t="shared" si="10"/>
        <v>0</v>
      </c>
      <c r="C659" s="7">
        <f>G$12/-PV(Table7[Monthly mortgage rate], (12*Table7[Amortization period (yrs)]),1 )</f>
        <v>4377.9977174134756</v>
      </c>
      <c r="D659" s="11">
        <f>IF(Table1[[#This Row],[Month]]&lt;=(12*Table7[mortgage term (yrs)]),Table7[Monthly mortgage rate],Table7[Monthly Exp Renewal Rate])</f>
        <v>4.9038466830562122E-3</v>
      </c>
      <c r="E659" s="21">
        <f>Table1[[#This Row],[Current mortgage rate]]*G658</f>
        <v>-31464.943829594518</v>
      </c>
      <c r="F659" s="5">
        <f>Table1[[#This Row],[Payment amount]]-Table1[[#This Row],[Interest paid]]</f>
        <v>35842.941547007991</v>
      </c>
      <c r="G659" s="20">
        <f>G658-Table1[[#This Row],[Principal repaid]]-Table1[[#This Row],[Annual paym]]</f>
        <v>-6452222.9516138602</v>
      </c>
      <c r="H659" s="20">
        <f>H658-(Table1[[#This Row],[Payment amount]]-Table1[[#This Row],[Interest Paid W/O LSP]])</f>
        <v>-4113756.326267316</v>
      </c>
      <c r="I659">
        <f>H658*Table1[[#This Row],[Current mortgage rate]]</f>
        <v>-20053.422377074778</v>
      </c>
      <c r="J659" s="25">
        <f>IF(Table1[[#This Row],[Month]]&gt;Table7[Amortization period (yrs)]*12,0,IF(Table1[[#This Row],[Month]]&lt;Table7[mortgage term (yrs)]*12,0,IF(Table1[[#This Row],[Month]]=Table7[mortgage term (yrs)]*12,-H$5,Table1[[#This Row],[Payment amount]]+B659)))</f>
        <v>0</v>
      </c>
      <c r="K659">
        <v>648</v>
      </c>
      <c r="L659">
        <f>Table7[Initial Monthly Deposit]*Table9[[#This Row],[Inflation Modifier]]</f>
        <v>1142.5338996628566</v>
      </c>
      <c r="M659">
        <f xml:space="preserve"> (1+Table7[Inflation])^(QUOTIENT(Table9[[#This Row],[Month]]-1,12))</f>
        <v>2.8563347491571416</v>
      </c>
      <c r="N659">
        <f>N658*(1+Table7[Monthly SF Inter])+Table9[[#This Row],[Monthly Payment]]-O658*(1+Table7[Monthly SF Inter])</f>
        <v>146205.10389587338</v>
      </c>
      <c r="O659">
        <f>IF(MOD(Table9[[#This Row],[Month]],12)=0,(IF(Table9[[#This Row],[Current Balance]]&lt;Table9[[#This Row],[Max Lump Sum ]],Table9[[#This Row],[Current Balance]],Table9[[#This Row],[Max Lump Sum ]])),0)</f>
        <v>7880.3958913442566</v>
      </c>
      <c r="P659" s="21">
        <f>Table7[Max annual lump sum repayment]*SUM(C660:C671)</f>
        <v>7880.3958913442566</v>
      </c>
      <c r="Q659" s="25">
        <f>Q658*(1+Table7[Monthly SF Inter])+Table9[[#This Row],[Inflation Modifier]]-R658*(1+Table7[Monthly SF Inter])</f>
        <v>35.064236378817597</v>
      </c>
      <c r="R659" s="25">
        <f>IF(MOD(Table9[[#This Row],[Month]],12)=0,Table9[[#This Row],[Q2 ACC FACTOR]],0)</f>
        <v>35.064236378817597</v>
      </c>
      <c r="S659" s="25">
        <f>S658*(1+D658)+Table9[[#This Row],[ACC FACTOR PAYMENTS]]</f>
        <v>6275.3384873759742</v>
      </c>
    </row>
    <row r="660" spans="1:19" x14ac:dyDescent="0.25">
      <c r="A660" s="1">
        <v>648</v>
      </c>
      <c r="B660" s="1">
        <f t="shared" si="10"/>
        <v>7880.3958913442566</v>
      </c>
      <c r="C660" s="7">
        <f>G$12/-PV(Table7[Monthly mortgage rate], (12*Table7[Amortization period (yrs)]),1 )</f>
        <v>4377.9977174134756</v>
      </c>
      <c r="D660" s="11">
        <f>IF(Table1[[#This Row],[Month]]&lt;=(12*Table7[mortgage term (yrs)]),Table7[Monthly mortgage rate],Table7[Monthly Exp Renewal Rate])</f>
        <v>4.9038466830562122E-3</v>
      </c>
      <c r="E660" s="21">
        <f>Table1[[#This Row],[Current mortgage rate]]*G659</f>
        <v>-31640.712119610791</v>
      </c>
      <c r="F660" s="5">
        <f>Table1[[#This Row],[Payment amount]]-Table1[[#This Row],[Interest paid]]</f>
        <v>36018.709837024267</v>
      </c>
      <c r="G660" s="20">
        <f>G659-Table1[[#This Row],[Principal repaid]]-Table1[[#This Row],[Annual paym]]</f>
        <v>-6496122.0573422285</v>
      </c>
      <c r="H660" s="20">
        <f>H659-(Table1[[#This Row],[Payment amount]]-Table1[[#This Row],[Interest Paid W/O LSP]])</f>
        <v>-4138307.5543001969</v>
      </c>
      <c r="I660">
        <f>H659*Table1[[#This Row],[Current mortgage rate]]</f>
        <v>-20173.230315467488</v>
      </c>
      <c r="J660" s="25">
        <f>IF(Table1[[#This Row],[Month]]&gt;Table7[Amortization period (yrs)]*12,0,IF(Table1[[#This Row],[Month]]&lt;Table7[mortgage term (yrs)]*12,0,IF(Table1[[#This Row],[Month]]=Table7[mortgage term (yrs)]*12,-H$5,Table1[[#This Row],[Payment amount]]+B660)))</f>
        <v>0</v>
      </c>
      <c r="K660">
        <v>649</v>
      </c>
      <c r="L660">
        <f>Table7[Initial Monthly Deposit]*Table9[[#This Row],[Inflation Modifier]]</f>
        <v>1165.3845776561138</v>
      </c>
      <c r="M660">
        <f xml:space="preserve"> (1+Table7[Inflation])^(QUOTIENT(Table9[[#This Row],[Month]]-1,12))</f>
        <v>2.9134614441402849</v>
      </c>
      <c r="N660">
        <f>N659*(1+Table7[Monthly SF Inter])+Table9[[#This Row],[Monthly Payment]]-O659*(1+Table7[Monthly SF Inter])</f>
        <v>140060.53198473668</v>
      </c>
      <c r="O660">
        <f>IF(MOD(Table9[[#This Row],[Month]],12)=0,(IF(Table9[[#This Row],[Current Balance]]&lt;Table9[[#This Row],[Max Lump Sum ]],Table9[[#This Row],[Current Balance]],Table9[[#This Row],[Max Lump Sum ]])),0)</f>
        <v>0</v>
      </c>
      <c r="P660" s="21">
        <f>Table7[Max annual lump sum repayment]*SUM(C661:C672)</f>
        <v>7880.3958913442566</v>
      </c>
      <c r="Q660" s="25">
        <f>Q659*(1+Table7[Monthly SF Inter])+Table9[[#This Row],[Inflation Modifier]]-R659*(1+Table7[Monthly SF Inter])</f>
        <v>2.9134614441402817</v>
      </c>
      <c r="R660" s="25">
        <f>IF(MOD(Table9[[#This Row],[Month]],12)=0,Table9[[#This Row],[Q2 ACC FACTOR]],0)</f>
        <v>0</v>
      </c>
      <c r="S660" s="25">
        <f>S659*(1+D659)+Table9[[#This Row],[ACC FACTOR PAYMENTS]]</f>
        <v>6306.1117852023481</v>
      </c>
    </row>
    <row r="661" spans="1:19" x14ac:dyDescent="0.25">
      <c r="A661" s="1">
        <v>649</v>
      </c>
      <c r="B661" s="1">
        <f t="shared" si="10"/>
        <v>0</v>
      </c>
      <c r="C661" s="7">
        <f>G$12/-PV(Table7[Monthly mortgage rate], (12*Table7[Amortization period (yrs)]),1 )</f>
        <v>4377.9977174134756</v>
      </c>
      <c r="D661" s="11">
        <f>IF(Table1[[#This Row],[Month]]&lt;=(12*Table7[mortgage term (yrs)]),Table7[Monthly mortgage rate],Table7[Monthly Exp Renewal Rate])</f>
        <v>4.9038466830562122E-3</v>
      </c>
      <c r="E661" s="21">
        <f>Table1[[#This Row],[Current mortgage rate]]*G660</f>
        <v>-31855.986603625985</v>
      </c>
      <c r="F661" s="5">
        <f>Table1[[#This Row],[Payment amount]]-Table1[[#This Row],[Interest paid]]</f>
        <v>36233.984321039461</v>
      </c>
      <c r="G661" s="20">
        <f>G660-Table1[[#This Row],[Principal repaid]]-Table1[[#This Row],[Annual paym]]</f>
        <v>-6532356.0416632676</v>
      </c>
      <c r="H661" s="20">
        <f>H660-(Table1[[#This Row],[Payment amount]]-Table1[[#This Row],[Interest Paid W/O LSP]])</f>
        <v>-4162979.1777912318</v>
      </c>
      <c r="I661">
        <f>H660*Table1[[#This Row],[Current mortgage rate]]</f>
        <v>-20293.625773621487</v>
      </c>
      <c r="J661" s="25">
        <f>IF(Table1[[#This Row],[Month]]&gt;Table7[Amortization period (yrs)]*12,0,IF(Table1[[#This Row],[Month]]&lt;Table7[mortgage term (yrs)]*12,0,IF(Table1[[#This Row],[Month]]=Table7[mortgage term (yrs)]*12,-H$5,Table1[[#This Row],[Payment amount]]+B661)))</f>
        <v>0</v>
      </c>
      <c r="K661">
        <v>650</v>
      </c>
      <c r="L661">
        <f>Table7[Initial Monthly Deposit]*Table9[[#This Row],[Inflation Modifier]]</f>
        <v>1165.3845776561138</v>
      </c>
      <c r="M661">
        <f xml:space="preserve"> (1+Table7[Inflation])^(QUOTIENT(Table9[[#This Row],[Month]]-1,12))</f>
        <v>2.9134614441402849</v>
      </c>
      <c r="N661">
        <f>N660*(1+Table7[Monthly SF Inter])+Table9[[#This Row],[Monthly Payment]]-O660*(1+Table7[Monthly SF Inter])</f>
        <v>141803.51435630096</v>
      </c>
      <c r="O661">
        <f>IF(MOD(Table9[[#This Row],[Month]],12)=0,(IF(Table9[[#This Row],[Current Balance]]&lt;Table9[[#This Row],[Max Lump Sum ]],Table9[[#This Row],[Current Balance]],Table9[[#This Row],[Max Lump Sum ]])),0)</f>
        <v>0</v>
      </c>
      <c r="P661" s="21">
        <f>Table7[Max annual lump sum repayment]*SUM(C662:C673)</f>
        <v>7880.3958913442566</v>
      </c>
      <c r="Q661" s="25">
        <f>Q660*(1+Table7[Monthly SF Inter])+Table9[[#This Row],[Inflation Modifier]]-R660*(1+Table7[Monthly SF Inter])</f>
        <v>5.8389377569871588</v>
      </c>
      <c r="R661" s="25">
        <f>IF(MOD(Table9[[#This Row],[Month]],12)=0,Table9[[#This Row],[Q2 ACC FACTOR]],0)</f>
        <v>0</v>
      </c>
      <c r="S661" s="25">
        <f>S660*(1+D660)+Table9[[#This Row],[ACC FACTOR PAYMENTS]]</f>
        <v>6337.035990563194</v>
      </c>
    </row>
    <row r="662" spans="1:19" x14ac:dyDescent="0.25">
      <c r="A662" s="1">
        <v>650</v>
      </c>
      <c r="B662" s="1">
        <f t="shared" si="10"/>
        <v>0</v>
      </c>
      <c r="C662" s="7">
        <f>G$12/-PV(Table7[Monthly mortgage rate], (12*Table7[Amortization period (yrs)]),1 )</f>
        <v>4377.9977174134756</v>
      </c>
      <c r="D662" s="11">
        <f>IF(Table1[[#This Row],[Month]]&lt;=(12*Table7[mortgage term (yrs)]),Table7[Monthly mortgage rate],Table7[Monthly Exp Renewal Rate])</f>
        <v>4.9038466830562122E-3</v>
      </c>
      <c r="E662" s="21">
        <f>Table1[[#This Row],[Current mortgage rate]]*G661</f>
        <v>-32033.672507452622</v>
      </c>
      <c r="F662" s="5">
        <f>Table1[[#This Row],[Payment amount]]-Table1[[#This Row],[Interest paid]]</f>
        <v>36411.670224866095</v>
      </c>
      <c r="G662" s="20">
        <f>G661-Table1[[#This Row],[Principal repaid]]-Table1[[#This Row],[Annual paym]]</f>
        <v>-6568767.7118881335</v>
      </c>
      <c r="H662" s="20">
        <f>H661-(Table1[[#This Row],[Payment amount]]-Table1[[#This Row],[Interest Paid W/O LSP]])</f>
        <v>-4187771.7871412886</v>
      </c>
      <c r="I662">
        <f>H661*Table1[[#This Row],[Current mortgage rate]]</f>
        <v>-20414.611632643609</v>
      </c>
      <c r="J662" s="25">
        <f>IF(Table1[[#This Row],[Month]]&gt;Table7[Amortization period (yrs)]*12,0,IF(Table1[[#This Row],[Month]]&lt;Table7[mortgage term (yrs)]*12,0,IF(Table1[[#This Row],[Month]]=Table7[mortgage term (yrs)]*12,-H$5,Table1[[#This Row],[Payment amount]]+B662)))</f>
        <v>0</v>
      </c>
      <c r="K662">
        <v>651</v>
      </c>
      <c r="L662">
        <f>Table7[Initial Monthly Deposit]*Table9[[#This Row],[Inflation Modifier]]</f>
        <v>1165.3845776561138</v>
      </c>
      <c r="M662">
        <f xml:space="preserve"> (1+Table7[Inflation])^(QUOTIENT(Table9[[#This Row],[Month]]-1,12))</f>
        <v>2.9134614441402849</v>
      </c>
      <c r="N662">
        <f>N661*(1+Table7[Monthly SF Inter])+Table9[[#This Row],[Monthly Payment]]-O661*(1+Table7[Monthly SF Inter])</f>
        <v>143553.68463982281</v>
      </c>
      <c r="O662">
        <f>IF(MOD(Table9[[#This Row],[Month]],12)=0,(IF(Table9[[#This Row],[Current Balance]]&lt;Table9[[#This Row],[Max Lump Sum ]],Table9[[#This Row],[Current Balance]],Table9[[#This Row],[Max Lump Sum ]])),0)</f>
        <v>0</v>
      </c>
      <c r="P662" s="21">
        <f>Table7[Max annual lump sum repayment]*SUM(C663:C674)</f>
        <v>7880.3958913442566</v>
      </c>
      <c r="Q662" s="25">
        <f>Q661*(1+Table7[Monthly SF Inter])+Table9[[#This Row],[Inflation Modifier]]-R661*(1+Table7[Monthly SF Inter])</f>
        <v>8.776478486843498</v>
      </c>
      <c r="R662" s="25">
        <f>IF(MOD(Table9[[#This Row],[Month]],12)=0,Table9[[#This Row],[Q2 ACC FACTOR]],0)</f>
        <v>0</v>
      </c>
      <c r="S662" s="25">
        <f>S661*(1+D661)+Table9[[#This Row],[ACC FACTOR PAYMENTS]]</f>
        <v>6368.1118434859254</v>
      </c>
    </row>
    <row r="663" spans="1:19" x14ac:dyDescent="0.25">
      <c r="A663" s="1">
        <v>651</v>
      </c>
      <c r="B663" s="1">
        <f t="shared" si="10"/>
        <v>0</v>
      </c>
      <c r="C663" s="7">
        <f>G$12/-PV(Table7[Monthly mortgage rate], (12*Table7[Amortization period (yrs)]),1 )</f>
        <v>4377.9977174134756</v>
      </c>
      <c r="D663" s="11">
        <f>IF(Table1[[#This Row],[Month]]&lt;=(12*Table7[mortgage term (yrs)]),Table7[Monthly mortgage rate],Table7[Monthly Exp Renewal Rate])</f>
        <v>4.9038466830562122E-3</v>
      </c>
      <c r="E663" s="21">
        <f>Table1[[#This Row],[Current mortgage rate]]*G662</f>
        <v>-32212.22975570937</v>
      </c>
      <c r="F663" s="5">
        <f>Table1[[#This Row],[Payment amount]]-Table1[[#This Row],[Interest paid]]</f>
        <v>36590.227473122846</v>
      </c>
      <c r="G663" s="20">
        <f>G662-Table1[[#This Row],[Principal repaid]]-Table1[[#This Row],[Annual paym]]</f>
        <v>-6605357.9393612565</v>
      </c>
      <c r="H663" s="20">
        <f>H662-(Table1[[#This Row],[Payment amount]]-Table1[[#This Row],[Interest Paid W/O LSP]])</f>
        <v>-4212685.9756464716</v>
      </c>
      <c r="I663">
        <f>H662*Table1[[#This Row],[Current mortgage rate]]</f>
        <v>-20536.190787769196</v>
      </c>
      <c r="J663" s="25">
        <f>IF(Table1[[#This Row],[Month]]&gt;Table7[Amortization period (yrs)]*12,0,IF(Table1[[#This Row],[Month]]&lt;Table7[mortgage term (yrs)]*12,0,IF(Table1[[#This Row],[Month]]=Table7[mortgage term (yrs)]*12,-H$5,Table1[[#This Row],[Payment amount]]+B663)))</f>
        <v>0</v>
      </c>
      <c r="K663">
        <v>652</v>
      </c>
      <c r="L663">
        <f>Table7[Initial Monthly Deposit]*Table9[[#This Row],[Inflation Modifier]]</f>
        <v>1165.3845776561138</v>
      </c>
      <c r="M663">
        <f xml:space="preserve"> (1+Table7[Inflation])^(QUOTIENT(Table9[[#This Row],[Month]]-1,12))</f>
        <v>2.9134614441402849</v>
      </c>
      <c r="N663">
        <f>N662*(1+Table7[Monthly SF Inter])+Table9[[#This Row],[Monthly Payment]]-O662*(1+Table7[Monthly SF Inter])</f>
        <v>145311.07247764352</v>
      </c>
      <c r="O663">
        <f>IF(MOD(Table9[[#This Row],[Month]],12)=0,(IF(Table9[[#This Row],[Current Balance]]&lt;Table9[[#This Row],[Max Lump Sum ]],Table9[[#This Row],[Current Balance]],Table9[[#This Row],[Max Lump Sum ]])),0)</f>
        <v>0</v>
      </c>
      <c r="P663" s="21">
        <f>Table7[Max annual lump sum repayment]*SUM(C664:C675)</f>
        <v>7880.3958913442566</v>
      </c>
      <c r="Q663" s="25">
        <f>Q662*(1+Table7[Monthly SF Inter])+Table9[[#This Row],[Inflation Modifier]]-R662*(1+Table7[Monthly SF Inter])</f>
        <v>11.726133386345182</v>
      </c>
      <c r="R663" s="25">
        <f>IF(MOD(Table9[[#This Row],[Month]],12)=0,Table9[[#This Row],[Q2 ACC FACTOR]],0)</f>
        <v>0</v>
      </c>
      <c r="S663" s="25">
        <f>S662*(1+D662)+Table9[[#This Row],[ACC FACTOR PAYMENTS]]</f>
        <v>6399.3400876269352</v>
      </c>
    </row>
    <row r="664" spans="1:19" x14ac:dyDescent="0.25">
      <c r="A664" s="1">
        <v>652</v>
      </c>
      <c r="B664" s="1">
        <f t="shared" si="10"/>
        <v>0</v>
      </c>
      <c r="C664" s="7">
        <f>G$12/-PV(Table7[Monthly mortgage rate], (12*Table7[Amortization period (yrs)]),1 )</f>
        <v>4377.9977174134756</v>
      </c>
      <c r="D664" s="11">
        <f>IF(Table1[[#This Row],[Month]]&lt;=(12*Table7[mortgage term (yrs)]),Table7[Monthly mortgage rate],Table7[Monthly Exp Renewal Rate])</f>
        <v>4.9038466830562122E-3</v>
      </c>
      <c r="E664" s="21">
        <f>Table1[[#This Row],[Current mortgage rate]]*G663</f>
        <v>-32391.662621335716</v>
      </c>
      <c r="F664" s="5">
        <f>Table1[[#This Row],[Payment amount]]-Table1[[#This Row],[Interest paid]]</f>
        <v>36769.660338749192</v>
      </c>
      <c r="G664" s="20">
        <f>G663-Table1[[#This Row],[Principal repaid]]-Table1[[#This Row],[Annual paym]]</f>
        <v>-6642127.5997000057</v>
      </c>
      <c r="H664" s="20">
        <f>H663-(Table1[[#This Row],[Payment amount]]-Table1[[#This Row],[Interest Paid W/O LSP]])</f>
        <v>-4237722.3395123165</v>
      </c>
      <c r="I664">
        <f>H663*Table1[[#This Row],[Current mortgage rate]]</f>
        <v>-20658.366148431374</v>
      </c>
      <c r="J664" s="25">
        <f>IF(Table1[[#This Row],[Month]]&gt;Table7[Amortization period (yrs)]*12,0,IF(Table1[[#This Row],[Month]]&lt;Table7[mortgage term (yrs)]*12,0,IF(Table1[[#This Row],[Month]]=Table7[mortgage term (yrs)]*12,-H$5,Table1[[#This Row],[Payment amount]]+B664)))</f>
        <v>0</v>
      </c>
      <c r="K664">
        <v>653</v>
      </c>
      <c r="L664">
        <f>Table7[Initial Monthly Deposit]*Table9[[#This Row],[Inflation Modifier]]</f>
        <v>1165.3845776561138</v>
      </c>
      <c r="M664">
        <f xml:space="preserve"> (1+Table7[Inflation])^(QUOTIENT(Table9[[#This Row],[Month]]-1,12))</f>
        <v>2.9134614441402849</v>
      </c>
      <c r="N664">
        <f>N663*(1+Table7[Monthly SF Inter])+Table9[[#This Row],[Monthly Payment]]-O663*(1+Table7[Monthly SF Inter])</f>
        <v>147075.70763434688</v>
      </c>
      <c r="O664">
        <f>IF(MOD(Table9[[#This Row],[Month]],12)=0,(IF(Table9[[#This Row],[Current Balance]]&lt;Table9[[#This Row],[Max Lump Sum ]],Table9[[#This Row],[Current Balance]],Table9[[#This Row],[Max Lump Sum ]])),0)</f>
        <v>0</v>
      </c>
      <c r="P664" s="21">
        <f>Table7[Max annual lump sum repayment]*SUM(C665:C676)</f>
        <v>7880.3958913442566</v>
      </c>
      <c r="Q664" s="25">
        <f>Q663*(1+Table7[Monthly SF Inter])+Table9[[#This Row],[Inflation Modifier]]-R663*(1+Table7[Monthly SF Inter])</f>
        <v>14.68795241330376</v>
      </c>
      <c r="R664" s="25">
        <f>IF(MOD(Table9[[#This Row],[Month]],12)=0,Table9[[#This Row],[Q2 ACC FACTOR]],0)</f>
        <v>0</v>
      </c>
      <c r="S664" s="25">
        <f>S663*(1+D663)+Table9[[#This Row],[ACC FACTOR PAYMENTS]]</f>
        <v>6430.7214702893934</v>
      </c>
    </row>
    <row r="665" spans="1:19" x14ac:dyDescent="0.25">
      <c r="A665" s="1">
        <v>653</v>
      </c>
      <c r="B665" s="1">
        <f t="shared" si="10"/>
        <v>0</v>
      </c>
      <c r="C665" s="7">
        <f>G$12/-PV(Table7[Monthly mortgage rate], (12*Table7[Amortization period (yrs)]),1 )</f>
        <v>4377.9977174134756</v>
      </c>
      <c r="D665" s="11">
        <f>IF(Table1[[#This Row],[Month]]&lt;=(12*Table7[mortgage term (yrs)]),Table7[Monthly mortgage rate],Table7[Monthly Exp Renewal Rate])</f>
        <v>4.9038466830562122E-3</v>
      </c>
      <c r="E665" s="21">
        <f>Table1[[#This Row],[Current mortgage rate]]*G664</f>
        <v>-32571.975398224993</v>
      </c>
      <c r="F665" s="5">
        <f>Table1[[#This Row],[Payment amount]]-Table1[[#This Row],[Interest paid]]</f>
        <v>36949.973115638466</v>
      </c>
      <c r="G665" s="20">
        <f>G664-Table1[[#This Row],[Principal repaid]]-Table1[[#This Row],[Annual paym]]</f>
        <v>-6679077.5728156446</v>
      </c>
      <c r="H665" s="20">
        <f>H664-(Table1[[#This Row],[Payment amount]]-Table1[[#This Row],[Interest Paid W/O LSP]])</f>
        <v>-4262881.4778680606</v>
      </c>
      <c r="I665">
        <f>H664*Table1[[#This Row],[Current mortgage rate]]</f>
        <v>-20781.140638330686</v>
      </c>
      <c r="J665" s="25">
        <f>IF(Table1[[#This Row],[Month]]&gt;Table7[Amortization period (yrs)]*12,0,IF(Table1[[#This Row],[Month]]&lt;Table7[mortgage term (yrs)]*12,0,IF(Table1[[#This Row],[Month]]=Table7[mortgage term (yrs)]*12,-H$5,Table1[[#This Row],[Payment amount]]+B665)))</f>
        <v>0</v>
      </c>
      <c r="K665">
        <v>654</v>
      </c>
      <c r="L665">
        <f>Table7[Initial Monthly Deposit]*Table9[[#This Row],[Inflation Modifier]]</f>
        <v>1165.3845776561138</v>
      </c>
      <c r="M665">
        <f xml:space="preserve"> (1+Table7[Inflation])^(QUOTIENT(Table9[[#This Row],[Month]]-1,12))</f>
        <v>2.9134614441402849</v>
      </c>
      <c r="N665">
        <f>N664*(1+Table7[Monthly SF Inter])+Table9[[#This Row],[Monthly Payment]]-O664*(1+Table7[Monthly SF Inter])</f>
        <v>148847.6199972633</v>
      </c>
      <c r="O665">
        <f>IF(MOD(Table9[[#This Row],[Month]],12)=0,(IF(Table9[[#This Row],[Current Balance]]&lt;Table9[[#This Row],[Max Lump Sum ]],Table9[[#This Row],[Current Balance]],Table9[[#This Row],[Max Lump Sum ]])),0)</f>
        <v>0</v>
      </c>
      <c r="P665" s="21">
        <f>Table7[Max annual lump sum repayment]*SUM(C666:C677)</f>
        <v>7880.3958913442566</v>
      </c>
      <c r="Q665" s="25">
        <f>Q664*(1+Table7[Monthly SF Inter])+Table9[[#This Row],[Inflation Modifier]]-R664*(1+Table7[Monthly SF Inter])</f>
        <v>17.661985731552569</v>
      </c>
      <c r="R665" s="25">
        <f>IF(MOD(Table9[[#This Row],[Month]],12)=0,Table9[[#This Row],[Q2 ACC FACTOR]],0)</f>
        <v>0</v>
      </c>
      <c r="S665" s="25">
        <f>S664*(1+D664)+Table9[[#This Row],[ACC FACTOR PAYMENTS]]</f>
        <v>6462.2567424411309</v>
      </c>
    </row>
    <row r="666" spans="1:19" x14ac:dyDescent="0.25">
      <c r="A666" s="1">
        <v>654</v>
      </c>
      <c r="B666" s="1">
        <f t="shared" si="10"/>
        <v>0</v>
      </c>
      <c r="C666" s="7">
        <f>G$12/-PV(Table7[Monthly mortgage rate], (12*Table7[Amortization period (yrs)]),1 )</f>
        <v>4377.9977174134756</v>
      </c>
      <c r="D666" s="11">
        <f>IF(Table1[[#This Row],[Month]]&lt;=(12*Table7[mortgage term (yrs)]),Table7[Monthly mortgage rate],Table7[Monthly Exp Renewal Rate])</f>
        <v>4.9038466830562122E-3</v>
      </c>
      <c r="E666" s="21">
        <f>Table1[[#This Row],[Current mortgage rate]]*G665</f>
        <v>-32753.172401327134</v>
      </c>
      <c r="F666" s="5">
        <f>Table1[[#This Row],[Payment amount]]-Table1[[#This Row],[Interest paid]]</f>
        <v>37131.170118740607</v>
      </c>
      <c r="G666" s="20">
        <f>G665-Table1[[#This Row],[Principal repaid]]-Table1[[#This Row],[Annual paym]]</f>
        <v>-6716208.7429343853</v>
      </c>
      <c r="H666" s="20">
        <f>H665-(Table1[[#This Row],[Payment amount]]-Table1[[#This Row],[Interest Paid W/O LSP]])</f>
        <v>-4288163.9927809788</v>
      </c>
      <c r="I666">
        <f>H665*Table1[[#This Row],[Current mortgage rate]]</f>
        <v>-20904.517195505054</v>
      </c>
      <c r="J666" s="25">
        <f>IF(Table1[[#This Row],[Month]]&gt;Table7[Amortization period (yrs)]*12,0,IF(Table1[[#This Row],[Month]]&lt;Table7[mortgage term (yrs)]*12,0,IF(Table1[[#This Row],[Month]]=Table7[mortgage term (yrs)]*12,-H$5,Table1[[#This Row],[Payment amount]]+B666)))</f>
        <v>0</v>
      </c>
      <c r="K666">
        <v>655</v>
      </c>
      <c r="L666">
        <f>Table7[Initial Monthly Deposit]*Table9[[#This Row],[Inflation Modifier]]</f>
        <v>1165.3845776561138</v>
      </c>
      <c r="M666">
        <f xml:space="preserve"> (1+Table7[Inflation])^(QUOTIENT(Table9[[#This Row],[Month]]-1,12))</f>
        <v>2.9134614441402849</v>
      </c>
      <c r="N666">
        <f>N665*(1+Table7[Monthly SF Inter])+Table9[[#This Row],[Monthly Payment]]-O665*(1+Table7[Monthly SF Inter])</f>
        <v>150626.83957697602</v>
      </c>
      <c r="O666">
        <f>IF(MOD(Table9[[#This Row],[Month]],12)=0,(IF(Table9[[#This Row],[Current Balance]]&lt;Table9[[#This Row],[Max Lump Sum ]],Table9[[#This Row],[Current Balance]],Table9[[#This Row],[Max Lump Sum ]])),0)</f>
        <v>0</v>
      </c>
      <c r="P666" s="21">
        <f>Table7[Max annual lump sum repayment]*SUM(C667:C678)</f>
        <v>7880.3958913442566</v>
      </c>
      <c r="Q666" s="25">
        <f>Q665*(1+Table7[Monthly SF Inter])+Table9[[#This Row],[Inflation Modifier]]-R665*(1+Table7[Monthly SF Inter])</f>
        <v>20.64828371179636</v>
      </c>
      <c r="R666" s="25">
        <f>IF(MOD(Table9[[#This Row],[Month]],12)=0,Table9[[#This Row],[Q2 ACC FACTOR]],0)</f>
        <v>0</v>
      </c>
      <c r="S666" s="25">
        <f>S665*(1+D665)+Table9[[#This Row],[ACC FACTOR PAYMENTS]]</f>
        <v>6493.9466587326087</v>
      </c>
    </row>
    <row r="667" spans="1:19" x14ac:dyDescent="0.25">
      <c r="A667" s="1">
        <v>655</v>
      </c>
      <c r="B667" s="1">
        <f t="shared" si="10"/>
        <v>0</v>
      </c>
      <c r="C667" s="7">
        <f>G$12/-PV(Table7[Monthly mortgage rate], (12*Table7[Amortization period (yrs)]),1 )</f>
        <v>4377.9977174134756</v>
      </c>
      <c r="D667" s="11">
        <f>IF(Table1[[#This Row],[Month]]&lt;=(12*Table7[mortgage term (yrs)]),Table7[Monthly mortgage rate],Table7[Monthly Exp Renewal Rate])</f>
        <v>4.9038466830562122E-3</v>
      </c>
      <c r="E667" s="21">
        <f>Table1[[#This Row],[Current mortgage rate]]*G666</f>
        <v>-32935.257966751917</v>
      </c>
      <c r="F667" s="5">
        <f>Table1[[#This Row],[Payment amount]]-Table1[[#This Row],[Interest paid]]</f>
        <v>37313.255684165393</v>
      </c>
      <c r="G667" s="20">
        <f>G666-Table1[[#This Row],[Principal repaid]]-Table1[[#This Row],[Annual paym]]</f>
        <v>-6753521.9986185506</v>
      </c>
      <c r="H667" s="20">
        <f>H666-(Table1[[#This Row],[Payment amount]]-Table1[[#This Row],[Interest Paid W/O LSP]])</f>
        <v>-4313570.4892707923</v>
      </c>
      <c r="I667">
        <f>H666*Table1[[#This Row],[Current mortgage rate]]</f>
        <v>-21028.498772400086</v>
      </c>
      <c r="J667" s="25">
        <f>IF(Table1[[#This Row],[Month]]&gt;Table7[Amortization period (yrs)]*12,0,IF(Table1[[#This Row],[Month]]&lt;Table7[mortgage term (yrs)]*12,0,IF(Table1[[#This Row],[Month]]=Table7[mortgage term (yrs)]*12,-H$5,Table1[[#This Row],[Payment amount]]+B667)))</f>
        <v>0</v>
      </c>
      <c r="K667">
        <v>656</v>
      </c>
      <c r="L667">
        <f>Table7[Initial Monthly Deposit]*Table9[[#This Row],[Inflation Modifier]]</f>
        <v>1165.3845776561138</v>
      </c>
      <c r="M667">
        <f xml:space="preserve"> (1+Table7[Inflation])^(QUOTIENT(Table9[[#This Row],[Month]]-1,12))</f>
        <v>2.9134614441402849</v>
      </c>
      <c r="N667">
        <f>N666*(1+Table7[Monthly SF Inter])+Table9[[#This Row],[Monthly Payment]]-O666*(1+Table7[Monthly SF Inter])</f>
        <v>152413.39650782943</v>
      </c>
      <c r="O667">
        <f>IF(MOD(Table9[[#This Row],[Month]],12)=0,(IF(Table9[[#This Row],[Current Balance]]&lt;Table9[[#This Row],[Max Lump Sum ]],Table9[[#This Row],[Current Balance]],Table9[[#This Row],[Max Lump Sum ]])),0)</f>
        <v>0</v>
      </c>
      <c r="P667" s="21">
        <f>Table7[Max annual lump sum repayment]*SUM(C668:C679)</f>
        <v>7880.3958913442566</v>
      </c>
      <c r="Q667" s="25">
        <f>Q666*(1+Table7[Monthly SF Inter])+Table9[[#This Row],[Inflation Modifier]]-R666*(1+Table7[Monthly SF Inter])</f>
        <v>23.646896932464408</v>
      </c>
      <c r="R667" s="25">
        <f>IF(MOD(Table9[[#This Row],[Month]],12)=0,Table9[[#This Row],[Q2 ACC FACTOR]],0)</f>
        <v>0</v>
      </c>
      <c r="S667" s="25">
        <f>S666*(1+D666)+Table9[[#This Row],[ACC FACTOR PAYMENTS]]</f>
        <v>6525.7919775149785</v>
      </c>
    </row>
    <row r="668" spans="1:19" x14ac:dyDescent="0.25">
      <c r="A668" s="1">
        <v>656</v>
      </c>
      <c r="B668" s="1">
        <f t="shared" si="10"/>
        <v>0</v>
      </c>
      <c r="C668" s="7">
        <f>G$12/-PV(Table7[Monthly mortgage rate], (12*Table7[Amortization period (yrs)]),1 )</f>
        <v>4377.9977174134756</v>
      </c>
      <c r="D668" s="11">
        <f>IF(Table1[[#This Row],[Month]]&lt;=(12*Table7[mortgage term (yrs)]),Table7[Monthly mortgage rate],Table7[Monthly Exp Renewal Rate])</f>
        <v>4.9038466830562122E-3</v>
      </c>
      <c r="E668" s="21">
        <f>Table1[[#This Row],[Current mortgage rate]]*G667</f>
        <v>-33118.236451872741</v>
      </c>
      <c r="F668" s="5">
        <f>Table1[[#This Row],[Payment amount]]-Table1[[#This Row],[Interest paid]]</f>
        <v>37496.234169286217</v>
      </c>
      <c r="G668" s="20">
        <f>G667-Table1[[#This Row],[Principal repaid]]-Table1[[#This Row],[Annual paym]]</f>
        <v>-6791018.2327878373</v>
      </c>
      <c r="H668" s="20">
        <f>H667-(Table1[[#This Row],[Payment amount]]-Table1[[#This Row],[Interest Paid W/O LSP]])</f>
        <v>-4339101.5753241451</v>
      </c>
      <c r="I668">
        <f>H667*Table1[[#This Row],[Current mortgage rate]]</f>
        <v>-21153.088335939738</v>
      </c>
      <c r="J668" s="25">
        <f>IF(Table1[[#This Row],[Month]]&gt;Table7[Amortization period (yrs)]*12,0,IF(Table1[[#This Row],[Month]]&lt;Table7[mortgage term (yrs)]*12,0,IF(Table1[[#This Row],[Month]]=Table7[mortgage term (yrs)]*12,-H$5,Table1[[#This Row],[Payment amount]]+B668)))</f>
        <v>0</v>
      </c>
      <c r="K668">
        <v>657</v>
      </c>
      <c r="L668">
        <f>Table7[Initial Monthly Deposit]*Table9[[#This Row],[Inflation Modifier]]</f>
        <v>1165.3845776561138</v>
      </c>
      <c r="M668">
        <f xml:space="preserve"> (1+Table7[Inflation])^(QUOTIENT(Table9[[#This Row],[Month]]-1,12))</f>
        <v>2.9134614441402849</v>
      </c>
      <c r="N668">
        <f>N667*(1+Table7[Monthly SF Inter])+Table9[[#This Row],[Monthly Payment]]-O667*(1+Table7[Monthly SF Inter])</f>
        <v>154207.32104843933</v>
      </c>
      <c r="O668">
        <f>IF(MOD(Table9[[#This Row],[Month]],12)=0,(IF(Table9[[#This Row],[Current Balance]]&lt;Table9[[#This Row],[Max Lump Sum ]],Table9[[#This Row],[Current Balance]],Table9[[#This Row],[Max Lump Sum ]])),0)</f>
        <v>0</v>
      </c>
      <c r="P668" s="21">
        <f>Table7[Max annual lump sum repayment]*SUM(C669:C680)</f>
        <v>7880.3958913442566</v>
      </c>
      <c r="Q668" s="25">
        <f>Q667*(1+Table7[Monthly SF Inter])+Table9[[#This Row],[Inflation Modifier]]-R667*(1+Table7[Monthly SF Inter])</f>
        <v>26.657876180567154</v>
      </c>
      <c r="R668" s="25">
        <f>IF(MOD(Table9[[#This Row],[Month]],12)=0,Table9[[#This Row],[Q2 ACC FACTOR]],0)</f>
        <v>0</v>
      </c>
      <c r="S668" s="25">
        <f>S667*(1+D667)+Table9[[#This Row],[ACC FACTOR PAYMENTS]]</f>
        <v>6557.79346085823</v>
      </c>
    </row>
    <row r="669" spans="1:19" x14ac:dyDescent="0.25">
      <c r="A669" s="1">
        <v>657</v>
      </c>
      <c r="B669" s="1">
        <f t="shared" si="10"/>
        <v>0</v>
      </c>
      <c r="C669" s="7">
        <f>G$12/-PV(Table7[Monthly mortgage rate], (12*Table7[Amortization period (yrs)]),1 )</f>
        <v>4377.9977174134756</v>
      </c>
      <c r="D669" s="11">
        <f>IF(Table1[[#This Row],[Month]]&lt;=(12*Table7[mortgage term (yrs)]),Table7[Monthly mortgage rate],Table7[Monthly Exp Renewal Rate])</f>
        <v>4.9038466830562122E-3</v>
      </c>
      <c r="E669" s="21">
        <f>Table1[[#This Row],[Current mortgage rate]]*G668</f>
        <v>-33302.112235430897</v>
      </c>
      <c r="F669" s="5">
        <f>Table1[[#This Row],[Payment amount]]-Table1[[#This Row],[Interest paid]]</f>
        <v>37680.109952844374</v>
      </c>
      <c r="G669" s="20">
        <f>G668-Table1[[#This Row],[Principal repaid]]-Table1[[#This Row],[Annual paym]]</f>
        <v>-6828698.342740682</v>
      </c>
      <c r="H669" s="20">
        <f>H668-(Table1[[#This Row],[Payment amount]]-Table1[[#This Row],[Interest Paid W/O LSP]])</f>
        <v>-4364757.8619091557</v>
      </c>
      <c r="I669">
        <f>H668*Table1[[#This Row],[Current mortgage rate]]</f>
        <v>-21278.288867597294</v>
      </c>
      <c r="J669" s="25">
        <f>IF(Table1[[#This Row],[Month]]&gt;Table7[Amortization period (yrs)]*12,0,IF(Table1[[#This Row],[Month]]&lt;Table7[mortgage term (yrs)]*12,0,IF(Table1[[#This Row],[Month]]=Table7[mortgage term (yrs)]*12,-H$5,Table1[[#This Row],[Payment amount]]+B669)))</f>
        <v>0</v>
      </c>
      <c r="K669">
        <v>658</v>
      </c>
      <c r="L669">
        <f>Table7[Initial Monthly Deposit]*Table9[[#This Row],[Inflation Modifier]]</f>
        <v>1165.3845776561138</v>
      </c>
      <c r="M669">
        <f xml:space="preserve"> (1+Table7[Inflation])^(QUOTIENT(Table9[[#This Row],[Month]]-1,12))</f>
        <v>2.9134614441402849</v>
      </c>
      <c r="N669">
        <f>N668*(1+Table7[Monthly SF Inter])+Table9[[#This Row],[Monthly Payment]]-O668*(1+Table7[Monthly SF Inter])</f>
        <v>156008.64358220555</v>
      </c>
      <c r="O669">
        <f>IF(MOD(Table9[[#This Row],[Month]],12)=0,(IF(Table9[[#This Row],[Current Balance]]&lt;Table9[[#This Row],[Max Lump Sum ]],Table9[[#This Row],[Current Balance]],Table9[[#This Row],[Max Lump Sum ]])),0)</f>
        <v>0</v>
      </c>
      <c r="P669" s="21">
        <f>Table7[Max annual lump sum repayment]*SUM(C670:C681)</f>
        <v>7880.3958913442566</v>
      </c>
      <c r="Q669" s="25">
        <f>Q668*(1+Table7[Monthly SF Inter])+Table9[[#This Row],[Inflation Modifier]]-R668*(1+Table7[Monthly SF Inter])</f>
        <v>29.681272452556382</v>
      </c>
      <c r="R669" s="25">
        <f>IF(MOD(Table9[[#This Row],[Month]],12)=0,Table9[[#This Row],[Q2 ACC FACTOR]],0)</f>
        <v>0</v>
      </c>
      <c r="S669" s="25">
        <f>S668*(1+D668)+Table9[[#This Row],[ACC FACTOR PAYMENTS]]</f>
        <v>6589.9518745694277</v>
      </c>
    </row>
    <row r="670" spans="1:19" x14ac:dyDescent="0.25">
      <c r="A670" s="1">
        <v>658</v>
      </c>
      <c r="B670" s="1">
        <f t="shared" si="10"/>
        <v>0</v>
      </c>
      <c r="C670" s="7">
        <f>G$12/-PV(Table7[Monthly mortgage rate], (12*Table7[Amortization period (yrs)]),1 )</f>
        <v>4377.9977174134756</v>
      </c>
      <c r="D670" s="11">
        <f>IF(Table1[[#This Row],[Month]]&lt;=(12*Table7[mortgage term (yrs)]),Table7[Monthly mortgage rate],Table7[Monthly Exp Renewal Rate])</f>
        <v>4.9038466830562122E-3</v>
      </c>
      <c r="E670" s="21">
        <f>Table1[[#This Row],[Current mortgage rate]]*G669</f>
        <v>-33486.889717640348</v>
      </c>
      <c r="F670" s="5">
        <f>Table1[[#This Row],[Payment amount]]-Table1[[#This Row],[Interest paid]]</f>
        <v>37864.887435053824</v>
      </c>
      <c r="G670" s="20">
        <f>G669-Table1[[#This Row],[Principal repaid]]-Table1[[#This Row],[Annual paym]]</f>
        <v>-6866563.2301757354</v>
      </c>
      <c r="H670" s="20">
        <f>H669-(Table1[[#This Row],[Payment amount]]-Table1[[#This Row],[Interest Paid W/O LSP]])</f>
        <v>-4390539.9629900362</v>
      </c>
      <c r="I670">
        <f>H669*Table1[[#This Row],[Current mortgage rate]]</f>
        <v>-21404.103363466736</v>
      </c>
      <c r="J670" s="25">
        <f>IF(Table1[[#This Row],[Month]]&gt;Table7[Amortization period (yrs)]*12,0,IF(Table1[[#This Row],[Month]]&lt;Table7[mortgage term (yrs)]*12,0,IF(Table1[[#This Row],[Month]]=Table7[mortgage term (yrs)]*12,-H$5,Table1[[#This Row],[Payment amount]]+B670)))</f>
        <v>0</v>
      </c>
      <c r="K670">
        <v>659</v>
      </c>
      <c r="L670">
        <f>Table7[Initial Monthly Deposit]*Table9[[#This Row],[Inflation Modifier]]</f>
        <v>1165.3845776561138</v>
      </c>
      <c r="M670">
        <f xml:space="preserve"> (1+Table7[Inflation])^(QUOTIENT(Table9[[#This Row],[Month]]-1,12))</f>
        <v>2.9134614441402849</v>
      </c>
      <c r="N670">
        <f>N669*(1+Table7[Monthly SF Inter])+Table9[[#This Row],[Monthly Payment]]-O669*(1+Table7[Monthly SF Inter])</f>
        <v>157817.3946178265</v>
      </c>
      <c r="O670">
        <f>IF(MOD(Table9[[#This Row],[Month]],12)=0,(IF(Table9[[#This Row],[Current Balance]]&lt;Table9[[#This Row],[Max Lump Sum ]],Table9[[#This Row],[Current Balance]],Table9[[#This Row],[Max Lump Sum ]])),0)</f>
        <v>0</v>
      </c>
      <c r="P670" s="21">
        <f>Table7[Max annual lump sum repayment]*SUM(C671:C682)</f>
        <v>7880.3958913442566</v>
      </c>
      <c r="Q670" s="25">
        <f>Q669*(1+Table7[Monthly SF Inter])+Table9[[#This Row],[Inflation Modifier]]-R669*(1+Table7[Monthly SF Inter])</f>
        <v>32.71713695518892</v>
      </c>
      <c r="R670" s="25">
        <f>IF(MOD(Table9[[#This Row],[Month]],12)=0,Table9[[#This Row],[Q2 ACC FACTOR]],0)</f>
        <v>0</v>
      </c>
      <c r="S670" s="25">
        <f>S669*(1+D669)+Table9[[#This Row],[ACC FACTOR PAYMENTS]]</f>
        <v>6622.2679882110351</v>
      </c>
    </row>
    <row r="671" spans="1:19" x14ac:dyDescent="0.25">
      <c r="A671" s="1">
        <v>659</v>
      </c>
      <c r="B671" s="1">
        <f t="shared" si="10"/>
        <v>0</v>
      </c>
      <c r="C671" s="7">
        <f>G$12/-PV(Table7[Monthly mortgage rate], (12*Table7[Amortization period (yrs)]),1 )</f>
        <v>4377.9977174134756</v>
      </c>
      <c r="D671" s="11">
        <f>IF(Table1[[#This Row],[Month]]&lt;=(12*Table7[mortgage term (yrs)]),Table7[Monthly mortgage rate],Table7[Monthly Exp Renewal Rate])</f>
        <v>4.9038466830562122E-3</v>
      </c>
      <c r="E671" s="21">
        <f>Table1[[#This Row],[Current mortgage rate]]*G670</f>
        <v>-33672.573320293028</v>
      </c>
      <c r="F671" s="5">
        <f>Table1[[#This Row],[Payment amount]]-Table1[[#This Row],[Interest paid]]</f>
        <v>38050.571037706504</v>
      </c>
      <c r="G671" s="20">
        <f>G670-Table1[[#This Row],[Principal repaid]]-Table1[[#This Row],[Annual paym]]</f>
        <v>-6904613.8012134423</v>
      </c>
      <c r="H671" s="20">
        <f>H670-(Table1[[#This Row],[Payment amount]]-Table1[[#This Row],[Interest Paid W/O LSP]])</f>
        <v>-4416448.495541784</v>
      </c>
      <c r="I671">
        <f>H670*Table1[[#This Row],[Current mortgage rate]]</f>
        <v>-21530.534834334434</v>
      </c>
      <c r="J671" s="25">
        <f>IF(Table1[[#This Row],[Month]]&gt;Table7[Amortization period (yrs)]*12,0,IF(Table1[[#This Row],[Month]]&lt;Table7[mortgage term (yrs)]*12,0,IF(Table1[[#This Row],[Month]]=Table7[mortgage term (yrs)]*12,-H$5,Table1[[#This Row],[Payment amount]]+B671)))</f>
        <v>0</v>
      </c>
      <c r="K671">
        <v>660</v>
      </c>
      <c r="L671">
        <f>Table7[Initial Monthly Deposit]*Table9[[#This Row],[Inflation Modifier]]</f>
        <v>1165.3845776561138</v>
      </c>
      <c r="M671">
        <f xml:space="preserve"> (1+Table7[Inflation])^(QUOTIENT(Table9[[#This Row],[Month]]-1,12))</f>
        <v>2.9134614441402849</v>
      </c>
      <c r="N671">
        <f>N670*(1+Table7[Monthly SF Inter])+Table9[[#This Row],[Monthly Payment]]-O670*(1+Table7[Monthly SF Inter])</f>
        <v>159633.60478981584</v>
      </c>
      <c r="O671">
        <f>IF(MOD(Table9[[#This Row],[Month]],12)=0,(IF(Table9[[#This Row],[Current Balance]]&lt;Table9[[#This Row],[Max Lump Sum ]],Table9[[#This Row],[Current Balance]],Table9[[#This Row],[Max Lump Sum ]])),0)</f>
        <v>7880.3958913442566</v>
      </c>
      <c r="P671" s="21">
        <f>Table7[Max annual lump sum repayment]*SUM(C672:C683)</f>
        <v>7880.3958913442566</v>
      </c>
      <c r="Q671" s="25">
        <f>Q670*(1+Table7[Monthly SF Inter])+Table9[[#This Row],[Inflation Modifier]]-R670*(1+Table7[Monthly SF Inter])</f>
        <v>35.765521106393948</v>
      </c>
      <c r="R671" s="25">
        <f>IF(MOD(Table9[[#This Row],[Month]],12)=0,Table9[[#This Row],[Q2 ACC FACTOR]],0)</f>
        <v>35.765521106393948</v>
      </c>
      <c r="S671" s="25">
        <f>S670*(1+D670)+Table9[[#This Row],[ACC FACTOR PAYMENTS]]</f>
        <v>6690.5080962257271</v>
      </c>
    </row>
    <row r="672" spans="1:19" x14ac:dyDescent="0.25">
      <c r="A672" s="1">
        <v>660</v>
      </c>
      <c r="B672" s="1">
        <f t="shared" si="10"/>
        <v>7880.3958913442566</v>
      </c>
      <c r="C672" s="7">
        <f>G$12/-PV(Table7[Monthly mortgage rate], (12*Table7[Amortization period (yrs)]),1 )</f>
        <v>4377.9977174134756</v>
      </c>
      <c r="D672" s="11">
        <f>IF(Table1[[#This Row],[Month]]&lt;=(12*Table7[mortgage term (yrs)]),Table7[Monthly mortgage rate],Table7[Monthly Exp Renewal Rate])</f>
        <v>4.9038466830562122E-3</v>
      </c>
      <c r="E672" s="21">
        <f>Table1[[#This Row],[Current mortgage rate]]*G671</f>
        <v>-33859.167486864681</v>
      </c>
      <c r="F672" s="5">
        <f>Table1[[#This Row],[Payment amount]]-Table1[[#This Row],[Interest paid]]</f>
        <v>38237.165204278157</v>
      </c>
      <c r="G672" s="20">
        <f>G671-Table1[[#This Row],[Principal repaid]]-Table1[[#This Row],[Annual paym]]</f>
        <v>-6950731.3623090647</v>
      </c>
      <c r="H672" s="20">
        <f>H671-(Table1[[#This Row],[Payment amount]]-Table1[[#This Row],[Interest Paid W/O LSP]])</f>
        <v>-4442484.0795649486</v>
      </c>
      <c r="I672">
        <f>H671*Table1[[#This Row],[Current mortgage rate]]</f>
        <v>-21657.586305751174</v>
      </c>
      <c r="J672" s="25">
        <f>IF(Table1[[#This Row],[Month]]&gt;Table7[Amortization period (yrs)]*12,0,IF(Table1[[#This Row],[Month]]&lt;Table7[mortgage term (yrs)]*12,0,IF(Table1[[#This Row],[Month]]=Table7[mortgage term (yrs)]*12,-H$5,Table1[[#This Row],[Payment amount]]+B672)))</f>
        <v>0</v>
      </c>
      <c r="K672">
        <v>661</v>
      </c>
      <c r="L672">
        <f>Table7[Initial Monthly Deposit]*Table9[[#This Row],[Inflation Modifier]]</f>
        <v>1188.692269209236</v>
      </c>
      <c r="M672">
        <f xml:space="preserve"> (1+Table7[Inflation])^(QUOTIENT(Table9[[#This Row],[Month]]-1,12))</f>
        <v>2.9717306730230897</v>
      </c>
      <c r="N672">
        <f>N671*(1+Table7[Monthly SF Inter])+Table9[[#This Row],[Monthly Payment]]-O671*(1+Table7[Monthly SF Inter])</f>
        <v>153567.71857274251</v>
      </c>
      <c r="O672">
        <f>IF(MOD(Table9[[#This Row],[Month]],12)=0,(IF(Table9[[#This Row],[Current Balance]]&lt;Table9[[#This Row],[Max Lump Sum ]],Table9[[#This Row],[Current Balance]],Table9[[#This Row],[Max Lump Sum ]])),0)</f>
        <v>0</v>
      </c>
      <c r="P672" s="21">
        <f>Table7[Max annual lump sum repayment]*SUM(C673:C684)</f>
        <v>7880.3958913442566</v>
      </c>
      <c r="Q672" s="25">
        <f>Q671*(1+Table7[Monthly SF Inter])+Table9[[#This Row],[Inflation Modifier]]-R671*(1+Table7[Monthly SF Inter])</f>
        <v>2.9717306730230888</v>
      </c>
      <c r="R672" s="25">
        <f>IF(MOD(Table9[[#This Row],[Month]],12)=0,Table9[[#This Row],[Q2 ACC FACTOR]],0)</f>
        <v>0</v>
      </c>
      <c r="S672" s="25">
        <f>S671*(1+D671)+Table9[[#This Row],[ACC FACTOR PAYMENTS]]</f>
        <v>6723.3173221613642</v>
      </c>
    </row>
    <row r="673" spans="1:19" x14ac:dyDescent="0.25">
      <c r="A673" s="1">
        <v>661</v>
      </c>
      <c r="B673" s="1">
        <f t="shared" si="10"/>
        <v>0</v>
      </c>
      <c r="C673" s="7">
        <f>G$12/-PV(Table7[Monthly mortgage rate], (12*Table7[Amortization period (yrs)]),1 )</f>
        <v>4377.9977174134756</v>
      </c>
      <c r="D673" s="11">
        <f>IF(Table1[[#This Row],[Month]]&lt;=(12*Table7[mortgage term (yrs)]),Table7[Monthly mortgage rate],Table7[Monthly Exp Renewal Rate])</f>
        <v>4.9038466830562122E-3</v>
      </c>
      <c r="E673" s="21">
        <f>Table1[[#This Row],[Current mortgage rate]]*G672</f>
        <v>-34085.320935874093</v>
      </c>
      <c r="F673" s="5">
        <f>Table1[[#This Row],[Payment amount]]-Table1[[#This Row],[Interest paid]]</f>
        <v>38463.31865328757</v>
      </c>
      <c r="G673" s="20">
        <f>G672-Table1[[#This Row],[Principal repaid]]-Table1[[#This Row],[Annual paym]]</f>
        <v>-6989194.6809623521</v>
      </c>
      <c r="H673" s="20">
        <f>H672-(Table1[[#This Row],[Payment amount]]-Table1[[#This Row],[Interest Paid W/O LSP]])</f>
        <v>-4468647.3381004669</v>
      </c>
      <c r="I673">
        <f>H672*Table1[[#This Row],[Current mortgage rate]]</f>
        <v>-21785.260818104602</v>
      </c>
      <c r="J673" s="25">
        <f>IF(Table1[[#This Row],[Month]]&gt;Table7[Amortization period (yrs)]*12,0,IF(Table1[[#This Row],[Month]]&lt;Table7[mortgage term (yrs)]*12,0,IF(Table1[[#This Row],[Month]]=Table7[mortgage term (yrs)]*12,-H$5,Table1[[#This Row],[Payment amount]]+B673)))</f>
        <v>0</v>
      </c>
      <c r="K673">
        <v>662</v>
      </c>
      <c r="L673">
        <f>Table7[Initial Monthly Deposit]*Table9[[#This Row],[Inflation Modifier]]</f>
        <v>1188.692269209236</v>
      </c>
      <c r="M673">
        <f xml:space="preserve"> (1+Table7[Inflation])^(QUOTIENT(Table9[[#This Row],[Month]]-1,12))</f>
        <v>2.9717306730230897</v>
      </c>
      <c r="N673">
        <f>N672*(1+Table7[Monthly SF Inter])+Table9[[#This Row],[Monthly Payment]]-O672*(1+Table7[Monthly SF Inter])</f>
        <v>155389.7111315208</v>
      </c>
      <c r="O673">
        <f>IF(MOD(Table9[[#This Row],[Month]],12)=0,(IF(Table9[[#This Row],[Current Balance]]&lt;Table9[[#This Row],[Max Lump Sum ]],Table9[[#This Row],[Current Balance]],Table9[[#This Row],[Max Lump Sum ]])),0)</f>
        <v>0</v>
      </c>
      <c r="P673" s="21">
        <f>Table7[Max annual lump sum repayment]*SUM(C674:C685)</f>
        <v>7880.3958913442566</v>
      </c>
      <c r="Q673" s="25">
        <f>Q672*(1+Table7[Monthly SF Inter])+Table9[[#This Row],[Inflation Modifier]]-R672*(1+Table7[Monthly SF Inter])</f>
        <v>5.9557165121269016</v>
      </c>
      <c r="R673" s="25">
        <f>IF(MOD(Table9[[#This Row],[Month]],12)=0,Table9[[#This Row],[Q2 ACC FACTOR]],0)</f>
        <v>0</v>
      </c>
      <c r="S673" s="25">
        <f>S672*(1+D672)+Table9[[#This Row],[ACC FACTOR PAYMENTS]]</f>
        <v>6756.2874395107792</v>
      </c>
    </row>
    <row r="674" spans="1:19" x14ac:dyDescent="0.25">
      <c r="A674" s="1">
        <v>662</v>
      </c>
      <c r="B674" s="1">
        <f t="shared" si="10"/>
        <v>0</v>
      </c>
      <c r="C674" s="7">
        <f>G$12/-PV(Table7[Monthly mortgage rate], (12*Table7[Amortization period (yrs)]),1 )</f>
        <v>4377.9977174134756</v>
      </c>
      <c r="D674" s="11">
        <f>IF(Table1[[#This Row],[Month]]&lt;=(12*Table7[mortgage term (yrs)]),Table7[Monthly mortgage rate],Table7[Monthly Exp Renewal Rate])</f>
        <v>4.9038466830562122E-3</v>
      </c>
      <c r="E674" s="21">
        <f>Table1[[#This Row],[Current mortgage rate]]*G673</f>
        <v>-34273.93915347135</v>
      </c>
      <c r="F674" s="5">
        <f>Table1[[#This Row],[Payment amount]]-Table1[[#This Row],[Interest paid]]</f>
        <v>38651.936870884827</v>
      </c>
      <c r="G674" s="20">
        <f>G673-Table1[[#This Row],[Principal repaid]]-Table1[[#This Row],[Annual paym]]</f>
        <v>-7027846.6178332372</v>
      </c>
      <c r="H674" s="20">
        <f>H673-(Table1[[#This Row],[Payment amount]]-Table1[[#This Row],[Interest Paid W/O LSP]])</f>
        <v>-4494938.8972445726</v>
      </c>
      <c r="I674">
        <f>H673*Table1[[#This Row],[Current mortgage rate]]</f>
        <v>-21913.561426691947</v>
      </c>
      <c r="J674" s="25">
        <f>IF(Table1[[#This Row],[Month]]&gt;Table7[Amortization period (yrs)]*12,0,IF(Table1[[#This Row],[Month]]&lt;Table7[mortgage term (yrs)]*12,0,IF(Table1[[#This Row],[Month]]=Table7[mortgage term (yrs)]*12,-H$5,Table1[[#This Row],[Payment amount]]+B674)))</f>
        <v>0</v>
      </c>
      <c r="K674">
        <v>663</v>
      </c>
      <c r="L674">
        <f>Table7[Initial Monthly Deposit]*Table9[[#This Row],[Inflation Modifier]]</f>
        <v>1188.692269209236</v>
      </c>
      <c r="M674">
        <f xml:space="preserve"> (1+Table7[Inflation])^(QUOTIENT(Table9[[#This Row],[Month]]-1,12))</f>
        <v>2.9717306730230897</v>
      </c>
      <c r="N674">
        <f>N673*(1+Table7[Monthly SF Inter])+Table9[[#This Row],[Monthly Payment]]-O673*(1+Table7[Monthly SF Inter])</f>
        <v>157219.21743358963</v>
      </c>
      <c r="O674">
        <f>IF(MOD(Table9[[#This Row],[Month]],12)=0,(IF(Table9[[#This Row],[Current Balance]]&lt;Table9[[#This Row],[Max Lump Sum ]],Table9[[#This Row],[Current Balance]],Table9[[#This Row],[Max Lump Sum ]])),0)</f>
        <v>0</v>
      </c>
      <c r="P674" s="21">
        <f>Table7[Max annual lump sum repayment]*SUM(C675:C686)</f>
        <v>7880.3958913442566</v>
      </c>
      <c r="Q674" s="25">
        <f>Q673*(1+Table7[Monthly SF Inter])+Table9[[#This Row],[Inflation Modifier]]-R673*(1+Table7[Monthly SF Inter])</f>
        <v>8.9520080565803664</v>
      </c>
      <c r="R674" s="25">
        <f>IF(MOD(Table9[[#This Row],[Month]],12)=0,Table9[[#This Row],[Q2 ACC FACTOR]],0)</f>
        <v>0</v>
      </c>
      <c r="S674" s="25">
        <f>S673*(1+D673)+Table9[[#This Row],[ACC FACTOR PAYMENTS]]</f>
        <v>6789.4192372607986</v>
      </c>
    </row>
    <row r="675" spans="1:19" x14ac:dyDescent="0.25">
      <c r="A675" s="1">
        <v>663</v>
      </c>
      <c r="B675" s="1">
        <f t="shared" si="10"/>
        <v>0</v>
      </c>
      <c r="C675" s="7">
        <f>G$12/-PV(Table7[Monthly mortgage rate], (12*Table7[Amortization period (yrs)]),1 )</f>
        <v>4377.9977174134756</v>
      </c>
      <c r="D675" s="11">
        <f>IF(Table1[[#This Row],[Month]]&lt;=(12*Table7[mortgage term (yrs)]),Table7[Monthly mortgage rate],Table7[Monthly Exp Renewal Rate])</f>
        <v>4.9038466830562122E-3</v>
      </c>
      <c r="E675" s="21">
        <f>Table1[[#This Row],[Current mortgage rate]]*G674</f>
        <v>-34463.482325889338</v>
      </c>
      <c r="F675" s="5">
        <f>Table1[[#This Row],[Payment amount]]-Table1[[#This Row],[Interest paid]]</f>
        <v>38841.480043302814</v>
      </c>
      <c r="G675" s="20">
        <f>G674-Table1[[#This Row],[Principal repaid]]-Table1[[#This Row],[Annual paym]]</f>
        <v>-7066688.0978765404</v>
      </c>
      <c r="H675" s="20">
        <f>H674-(Table1[[#This Row],[Payment amount]]-Table1[[#This Row],[Interest Paid W/O LSP]])</f>
        <v>-4521359.3861637795</v>
      </c>
      <c r="I675">
        <f>H674*Table1[[#This Row],[Current mortgage rate]]</f>
        <v>-22042.491201793146</v>
      </c>
      <c r="J675" s="25">
        <f>IF(Table1[[#This Row],[Month]]&gt;Table7[Amortization period (yrs)]*12,0,IF(Table1[[#This Row],[Month]]&lt;Table7[mortgage term (yrs)]*12,0,IF(Table1[[#This Row],[Month]]=Table7[mortgage term (yrs)]*12,-H$5,Table1[[#This Row],[Payment amount]]+B675)))</f>
        <v>0</v>
      </c>
      <c r="K675">
        <v>664</v>
      </c>
      <c r="L675">
        <f>Table7[Initial Monthly Deposit]*Table9[[#This Row],[Inflation Modifier]]</f>
        <v>1188.692269209236</v>
      </c>
      <c r="M675">
        <f xml:space="preserve"> (1+Table7[Inflation])^(QUOTIENT(Table9[[#This Row],[Month]]-1,12))</f>
        <v>2.9717306730230897</v>
      </c>
      <c r="N675">
        <f>N674*(1+Table7[Monthly SF Inter])+Table9[[#This Row],[Monthly Payment]]-O674*(1+Table7[Monthly SF Inter])</f>
        <v>159056.26846499112</v>
      </c>
      <c r="O675">
        <f>IF(MOD(Table9[[#This Row],[Month]],12)=0,(IF(Table9[[#This Row],[Current Balance]]&lt;Table9[[#This Row],[Max Lump Sum ]],Table9[[#This Row],[Current Balance]],Table9[[#This Row],[Max Lump Sum ]])),0)</f>
        <v>0</v>
      </c>
      <c r="P675" s="21">
        <f>Table7[Max annual lump sum repayment]*SUM(C676:C687)</f>
        <v>7880.3958913442566</v>
      </c>
      <c r="Q675" s="25">
        <f>Q674*(1+Table7[Monthly SF Inter])+Table9[[#This Row],[Inflation Modifier]]-R674*(1+Table7[Monthly SF Inter])</f>
        <v>11.960656054072082</v>
      </c>
      <c r="R675" s="25">
        <f>IF(MOD(Table9[[#This Row],[Month]],12)=0,Table9[[#This Row],[Q2 ACC FACTOR]],0)</f>
        <v>0</v>
      </c>
      <c r="S675" s="25">
        <f>S674*(1+D674)+Table9[[#This Row],[ACC FACTOR PAYMENTS]]</f>
        <v>6822.7135082673176</v>
      </c>
    </row>
    <row r="676" spans="1:19" x14ac:dyDescent="0.25">
      <c r="A676" s="1">
        <v>664</v>
      </c>
      <c r="B676" s="1">
        <f t="shared" si="10"/>
        <v>0</v>
      </c>
      <c r="C676" s="7">
        <f>G$12/-PV(Table7[Monthly mortgage rate], (12*Table7[Amortization period (yrs)]),1 )</f>
        <v>4377.9977174134756</v>
      </c>
      <c r="D676" s="11">
        <f>IF(Table1[[#This Row],[Month]]&lt;=(12*Table7[mortgage term (yrs)]),Table7[Monthly mortgage rate],Table7[Monthly Exp Renewal Rate])</f>
        <v>4.9038466830562122E-3</v>
      </c>
      <c r="E676" s="21">
        <f>Table1[[#This Row],[Current mortgage rate]]*G675</f>
        <v>-34653.954988964688</v>
      </c>
      <c r="F676" s="5">
        <f>Table1[[#This Row],[Payment amount]]-Table1[[#This Row],[Interest paid]]</f>
        <v>39031.952706378164</v>
      </c>
      <c r="G676" s="20">
        <f>G675-Table1[[#This Row],[Principal repaid]]-Table1[[#This Row],[Annual paym]]</f>
        <v>-7105720.0505829183</v>
      </c>
      <c r="H676" s="20">
        <f>H675-(Table1[[#This Row],[Payment amount]]-Table1[[#This Row],[Interest Paid W/O LSP]])</f>
        <v>-4547909.437109937</v>
      </c>
      <c r="I676">
        <f>H675*Table1[[#This Row],[Current mortgage rate]]</f>
        <v>-22172.05322874432</v>
      </c>
      <c r="J676" s="25">
        <f>IF(Table1[[#This Row],[Month]]&gt;Table7[Amortization period (yrs)]*12,0,IF(Table1[[#This Row],[Month]]&lt;Table7[mortgage term (yrs)]*12,0,IF(Table1[[#This Row],[Month]]=Table7[mortgage term (yrs)]*12,-H$5,Table1[[#This Row],[Payment amount]]+B676)))</f>
        <v>0</v>
      </c>
      <c r="K676">
        <v>665</v>
      </c>
      <c r="L676">
        <f>Table7[Initial Monthly Deposit]*Table9[[#This Row],[Inflation Modifier]]</f>
        <v>1188.692269209236</v>
      </c>
      <c r="M676">
        <f xml:space="preserve"> (1+Table7[Inflation])^(QUOTIENT(Table9[[#This Row],[Month]]-1,12))</f>
        <v>2.9717306730230897</v>
      </c>
      <c r="N676">
        <f>N675*(1+Table7[Monthly SF Inter])+Table9[[#This Row],[Monthly Payment]]-O675*(1+Table7[Monthly SF Inter])</f>
        <v>160900.89533955129</v>
      </c>
      <c r="O676">
        <f>IF(MOD(Table9[[#This Row],[Month]],12)=0,(IF(Table9[[#This Row],[Current Balance]]&lt;Table9[[#This Row],[Max Lump Sum ]],Table9[[#This Row],[Current Balance]],Table9[[#This Row],[Max Lump Sum ]])),0)</f>
        <v>0</v>
      </c>
      <c r="P676" s="21">
        <f>Table7[Max annual lump sum repayment]*SUM(C677:C688)</f>
        <v>7880.3958913442566</v>
      </c>
      <c r="Q676" s="25">
        <f>Q675*(1+Table7[Monthly SF Inter])+Table9[[#This Row],[Inflation Modifier]]-R675*(1+Table7[Monthly SF Inter])</f>
        <v>14.98171146156983</v>
      </c>
      <c r="R676" s="25">
        <f>IF(MOD(Table9[[#This Row],[Month]],12)=0,Table9[[#This Row],[Q2 ACC FACTOR]],0)</f>
        <v>0</v>
      </c>
      <c r="S676" s="25">
        <f>S675*(1+D675)+Table9[[#This Row],[ACC FACTOR PAYMENTS]]</f>
        <v>6856.1710492742768</v>
      </c>
    </row>
    <row r="677" spans="1:19" x14ac:dyDescent="0.25">
      <c r="A677" s="1">
        <v>665</v>
      </c>
      <c r="B677" s="1">
        <f t="shared" si="10"/>
        <v>0</v>
      </c>
      <c r="C677" s="7">
        <f>G$12/-PV(Table7[Monthly mortgage rate], (12*Table7[Amortization period (yrs)]),1 )</f>
        <v>4377.9977174134756</v>
      </c>
      <c r="D677" s="11">
        <f>IF(Table1[[#This Row],[Month]]&lt;=(12*Table7[mortgage term (yrs)]),Table7[Monthly mortgage rate],Table7[Monthly Exp Renewal Rate])</f>
        <v>4.9038466830562122E-3</v>
      </c>
      <c r="E677" s="21">
        <f>Table1[[#This Row],[Current mortgage rate]]*G676</f>
        <v>-34845.361700777066</v>
      </c>
      <c r="F677" s="5">
        <f>Table1[[#This Row],[Payment amount]]-Table1[[#This Row],[Interest paid]]</f>
        <v>39223.359418190543</v>
      </c>
      <c r="G677" s="20">
        <f>G676-Table1[[#This Row],[Principal repaid]]-Table1[[#This Row],[Annual paym]]</f>
        <v>-7144943.4100011084</v>
      </c>
      <c r="H677" s="20">
        <f>H676-(Table1[[#This Row],[Payment amount]]-Table1[[#This Row],[Interest Paid W/O LSP]])</f>
        <v>-4574589.6854353622</v>
      </c>
      <c r="I677">
        <f>H676*Table1[[#This Row],[Current mortgage rate]]</f>
        <v>-22302.250608011611</v>
      </c>
      <c r="J677" s="25">
        <f>IF(Table1[[#This Row],[Month]]&gt;Table7[Amortization period (yrs)]*12,0,IF(Table1[[#This Row],[Month]]&lt;Table7[mortgage term (yrs)]*12,0,IF(Table1[[#This Row],[Month]]=Table7[mortgage term (yrs)]*12,-H$5,Table1[[#This Row],[Payment amount]]+B677)))</f>
        <v>0</v>
      </c>
      <c r="K677">
        <v>666</v>
      </c>
      <c r="L677">
        <f>Table7[Initial Monthly Deposit]*Table9[[#This Row],[Inflation Modifier]]</f>
        <v>1188.692269209236</v>
      </c>
      <c r="M677">
        <f xml:space="preserve"> (1+Table7[Inflation])^(QUOTIENT(Table9[[#This Row],[Month]]-1,12))</f>
        <v>2.9717306730230897</v>
      </c>
      <c r="N677">
        <f>N676*(1+Table7[Monthly SF Inter])+Table9[[#This Row],[Monthly Payment]]-O676*(1+Table7[Monthly SF Inter])</f>
        <v>162753.12929940686</v>
      </c>
      <c r="O677">
        <f>IF(MOD(Table9[[#This Row],[Month]],12)=0,(IF(Table9[[#This Row],[Current Balance]]&lt;Table9[[#This Row],[Max Lump Sum ]],Table9[[#This Row],[Current Balance]],Table9[[#This Row],[Max Lump Sum ]])),0)</f>
        <v>0</v>
      </c>
      <c r="P677" s="21">
        <f>Table7[Max annual lump sum repayment]*SUM(C678:C689)</f>
        <v>7880.3958913442566</v>
      </c>
      <c r="Q677" s="25">
        <f>Q676*(1+Table7[Monthly SF Inter])+Table9[[#This Row],[Inflation Modifier]]-R676*(1+Table7[Monthly SF Inter])</f>
        <v>18.015225446183617</v>
      </c>
      <c r="R677" s="25">
        <f>IF(MOD(Table9[[#This Row],[Month]],12)=0,Table9[[#This Row],[Q2 ACC FACTOR]],0)</f>
        <v>0</v>
      </c>
      <c r="S677" s="25">
        <f>S676*(1+D676)+Table9[[#This Row],[ACC FACTOR PAYMENTS]]</f>
        <v>6889.7926609327269</v>
      </c>
    </row>
    <row r="678" spans="1:19" x14ac:dyDescent="0.25">
      <c r="A678" s="1">
        <v>666</v>
      </c>
      <c r="B678" s="1">
        <f t="shared" si="10"/>
        <v>0</v>
      </c>
      <c r="C678" s="7">
        <f>G$12/-PV(Table7[Monthly mortgage rate], (12*Table7[Amortization period (yrs)]),1 )</f>
        <v>4377.9977174134756</v>
      </c>
      <c r="D678" s="11">
        <f>IF(Table1[[#This Row],[Month]]&lt;=(12*Table7[mortgage term (yrs)]),Table7[Monthly mortgage rate],Table7[Monthly Exp Renewal Rate])</f>
        <v>4.9038466830562122E-3</v>
      </c>
      <c r="E678" s="21">
        <f>Table1[[#This Row],[Current mortgage rate]]*G677</f>
        <v>-35037.70704175828</v>
      </c>
      <c r="F678" s="5">
        <f>Table1[[#This Row],[Payment amount]]-Table1[[#This Row],[Interest paid]]</f>
        <v>39415.704759171756</v>
      </c>
      <c r="G678" s="20">
        <f>G677-Table1[[#This Row],[Principal repaid]]-Table1[[#This Row],[Annual paym]]</f>
        <v>-7184359.1147602806</v>
      </c>
      <c r="H678" s="20">
        <f>H677-(Table1[[#This Row],[Payment amount]]-Table1[[#This Row],[Interest Paid W/O LSP]])</f>
        <v>-4601400.7696080413</v>
      </c>
      <c r="I678">
        <f>H677*Table1[[#This Row],[Current mortgage rate]]</f>
        <v>-22433.086455265362</v>
      </c>
      <c r="J678" s="25">
        <f>IF(Table1[[#This Row],[Month]]&gt;Table7[Amortization period (yrs)]*12,0,IF(Table1[[#This Row],[Month]]&lt;Table7[mortgage term (yrs)]*12,0,IF(Table1[[#This Row],[Month]]=Table7[mortgage term (yrs)]*12,-H$5,Table1[[#This Row],[Payment amount]]+B678)))</f>
        <v>0</v>
      </c>
      <c r="K678">
        <v>667</v>
      </c>
      <c r="L678">
        <f>Table7[Initial Monthly Deposit]*Table9[[#This Row],[Inflation Modifier]]</f>
        <v>1188.692269209236</v>
      </c>
      <c r="M678">
        <f xml:space="preserve"> (1+Table7[Inflation])^(QUOTIENT(Table9[[#This Row],[Month]]-1,12))</f>
        <v>2.9717306730230897</v>
      </c>
      <c r="N678">
        <f>N677*(1+Table7[Monthly SF Inter])+Table9[[#This Row],[Monthly Payment]]-O677*(1+Table7[Monthly SF Inter])</f>
        <v>164613.00171553457</v>
      </c>
      <c r="O678">
        <f>IF(MOD(Table9[[#This Row],[Month]],12)=0,(IF(Table9[[#This Row],[Current Balance]]&lt;Table9[[#This Row],[Max Lump Sum ]],Table9[[#This Row],[Current Balance]],Table9[[#This Row],[Max Lump Sum ]])),0)</f>
        <v>0</v>
      </c>
      <c r="P678" s="21">
        <f>Table7[Max annual lump sum repayment]*SUM(C679:C690)</f>
        <v>7880.3958913442566</v>
      </c>
      <c r="Q678" s="25">
        <f>Q677*(1+Table7[Monthly SF Inter])+Table9[[#This Row],[Inflation Modifier]]-R677*(1+Table7[Monthly SF Inter])</f>
        <v>21.061249386032284</v>
      </c>
      <c r="R678" s="25">
        <f>IF(MOD(Table9[[#This Row],[Month]],12)=0,Table9[[#This Row],[Q2 ACC FACTOR]],0)</f>
        <v>0</v>
      </c>
      <c r="S678" s="25">
        <f>S677*(1+D677)+Table9[[#This Row],[ACC FACTOR PAYMENTS]]</f>
        <v>6923.5791478199872</v>
      </c>
    </row>
    <row r="679" spans="1:19" x14ac:dyDescent="0.25">
      <c r="A679" s="1">
        <v>667</v>
      </c>
      <c r="B679" s="1">
        <f t="shared" si="10"/>
        <v>0</v>
      </c>
      <c r="C679" s="7">
        <f>G$12/-PV(Table7[Monthly mortgage rate], (12*Table7[Amortization period (yrs)]),1 )</f>
        <v>4377.9977174134756</v>
      </c>
      <c r="D679" s="11">
        <f>IF(Table1[[#This Row],[Month]]&lt;=(12*Table7[mortgage term (yrs)]),Table7[Monthly mortgage rate],Table7[Monthly Exp Renewal Rate])</f>
        <v>4.9038466830562122E-3</v>
      </c>
      <c r="E679" s="21">
        <f>Table1[[#This Row],[Current mortgage rate]]*G678</f>
        <v>-35230.995614801868</v>
      </c>
      <c r="F679" s="5">
        <f>Table1[[#This Row],[Payment amount]]-Table1[[#This Row],[Interest paid]]</f>
        <v>39608.993332215345</v>
      </c>
      <c r="G679" s="20">
        <f>G678-Table1[[#This Row],[Principal repaid]]-Table1[[#This Row],[Annual paym]]</f>
        <v>-7223968.1080924962</v>
      </c>
      <c r="H679" s="20">
        <f>H678-(Table1[[#This Row],[Payment amount]]-Table1[[#This Row],[Interest Paid W/O LSP]])</f>
        <v>-4628343.3312269095</v>
      </c>
      <c r="I679">
        <f>H678*Table1[[#This Row],[Current mortgage rate]]</f>
        <v>-22564.563901454694</v>
      </c>
      <c r="J679" s="25">
        <f>IF(Table1[[#This Row],[Month]]&gt;Table7[Amortization period (yrs)]*12,0,IF(Table1[[#This Row],[Month]]&lt;Table7[mortgage term (yrs)]*12,0,IF(Table1[[#This Row],[Month]]=Table7[mortgage term (yrs)]*12,-H$5,Table1[[#This Row],[Payment amount]]+B679)))</f>
        <v>0</v>
      </c>
      <c r="K679">
        <v>668</v>
      </c>
      <c r="L679">
        <f>Table7[Initial Monthly Deposit]*Table9[[#This Row],[Inflation Modifier]]</f>
        <v>1188.692269209236</v>
      </c>
      <c r="M679">
        <f xml:space="preserve"> (1+Table7[Inflation])^(QUOTIENT(Table9[[#This Row],[Month]]-1,12))</f>
        <v>2.9717306730230897</v>
      </c>
      <c r="N679">
        <f>N678*(1+Table7[Monthly SF Inter])+Table9[[#This Row],[Monthly Payment]]-O678*(1+Table7[Monthly SF Inter])</f>
        <v>166480.54408828233</v>
      </c>
      <c r="O679">
        <f>IF(MOD(Table9[[#This Row],[Month]],12)=0,(IF(Table9[[#This Row],[Current Balance]]&lt;Table9[[#This Row],[Max Lump Sum ]],Table9[[#This Row],[Current Balance]],Table9[[#This Row],[Max Lump Sum ]])),0)</f>
        <v>0</v>
      </c>
      <c r="P679" s="21">
        <f>Table7[Max annual lump sum repayment]*SUM(C680:C691)</f>
        <v>7880.3958913442566</v>
      </c>
      <c r="Q679" s="25">
        <f>Q678*(1+Table7[Monthly SF Inter])+Table9[[#This Row],[Inflation Modifier]]-R678*(1+Table7[Monthly SF Inter])</f>
        <v>24.119834871113689</v>
      </c>
      <c r="R679" s="25">
        <f>IF(MOD(Table9[[#This Row],[Month]],12)=0,Table9[[#This Row],[Q2 ACC FACTOR]],0)</f>
        <v>0</v>
      </c>
      <c r="S679" s="25">
        <f>S678*(1+D678)+Table9[[#This Row],[ACC FACTOR PAYMENTS]]</f>
        <v>6957.5313184589013</v>
      </c>
    </row>
    <row r="680" spans="1:19" x14ac:dyDescent="0.25">
      <c r="A680" s="1">
        <v>668</v>
      </c>
      <c r="B680" s="1">
        <f t="shared" si="10"/>
        <v>0</v>
      </c>
      <c r="C680" s="7">
        <f>G$12/-PV(Table7[Monthly mortgage rate], (12*Table7[Amortization period (yrs)]),1 )</f>
        <v>4377.9977174134756</v>
      </c>
      <c r="D680" s="11">
        <f>IF(Table1[[#This Row],[Month]]&lt;=(12*Table7[mortgage term (yrs)]),Table7[Monthly mortgage rate],Table7[Monthly Exp Renewal Rate])</f>
        <v>4.9038466830562122E-3</v>
      </c>
      <c r="E680" s="21">
        <f>Table1[[#This Row],[Current mortgage rate]]*G679</f>
        <v>-35425.232045373246</v>
      </c>
      <c r="F680" s="5">
        <f>Table1[[#This Row],[Payment amount]]-Table1[[#This Row],[Interest paid]]</f>
        <v>39803.229762786723</v>
      </c>
      <c r="G680" s="20">
        <f>G679-Table1[[#This Row],[Principal repaid]]-Table1[[#This Row],[Annual paym]]</f>
        <v>-7263771.3378552832</v>
      </c>
      <c r="H680" s="20">
        <f>H679-(Table1[[#This Row],[Payment amount]]-Table1[[#This Row],[Interest Paid W/O LSP]])</f>
        <v>-4655418.0150372051</v>
      </c>
      <c r="I680">
        <f>H679*Table1[[#This Row],[Current mortgage rate]]</f>
        <v>-22696.686092882421</v>
      </c>
      <c r="J680" s="25">
        <f>IF(Table1[[#This Row],[Month]]&gt;Table7[Amortization period (yrs)]*12,0,IF(Table1[[#This Row],[Month]]&lt;Table7[mortgage term (yrs)]*12,0,IF(Table1[[#This Row],[Month]]=Table7[mortgage term (yrs)]*12,-H$5,Table1[[#This Row],[Payment amount]]+B680)))</f>
        <v>0</v>
      </c>
      <c r="K680">
        <v>669</v>
      </c>
      <c r="L680">
        <f>Table7[Initial Monthly Deposit]*Table9[[#This Row],[Inflation Modifier]]</f>
        <v>1188.692269209236</v>
      </c>
      <c r="M680">
        <f xml:space="preserve"> (1+Table7[Inflation])^(QUOTIENT(Table9[[#This Row],[Month]]-1,12))</f>
        <v>2.9717306730230897</v>
      </c>
      <c r="N680">
        <f>N679*(1+Table7[Monthly SF Inter])+Table9[[#This Row],[Monthly Payment]]-O679*(1+Table7[Monthly SF Inter])</f>
        <v>168355.78804790287</v>
      </c>
      <c r="O680">
        <f>IF(MOD(Table9[[#This Row],[Month]],12)=0,(IF(Table9[[#This Row],[Current Balance]]&lt;Table9[[#This Row],[Max Lump Sum ]],Table9[[#This Row],[Current Balance]],Table9[[#This Row],[Max Lump Sum ]])),0)</f>
        <v>0</v>
      </c>
      <c r="P680" s="21">
        <f>Table7[Max annual lump sum repayment]*SUM(C681:C692)</f>
        <v>7880.3958913442566</v>
      </c>
      <c r="Q680" s="25">
        <f>Q679*(1+Table7[Monthly SF Inter])+Table9[[#This Row],[Inflation Modifier]]-R679*(1+Table7[Monthly SF Inter])</f>
        <v>27.191033704178487</v>
      </c>
      <c r="R680" s="25">
        <f>IF(MOD(Table9[[#This Row],[Month]],12)=0,Table9[[#This Row],[Q2 ACC FACTOR]],0)</f>
        <v>0</v>
      </c>
      <c r="S680" s="25">
        <f>S679*(1+D679)+Table9[[#This Row],[ACC FACTOR PAYMENTS]]</f>
        <v>6991.6499853371861</v>
      </c>
    </row>
    <row r="681" spans="1:19" x14ac:dyDescent="0.25">
      <c r="A681" s="1">
        <v>669</v>
      </c>
      <c r="B681" s="1">
        <f t="shared" si="10"/>
        <v>0</v>
      </c>
      <c r="C681" s="7">
        <f>G$12/-PV(Table7[Monthly mortgage rate], (12*Table7[Amortization period (yrs)]),1 )</f>
        <v>4377.9977174134756</v>
      </c>
      <c r="D681" s="11">
        <f>IF(Table1[[#This Row],[Month]]&lt;=(12*Table7[mortgage term (yrs)]),Table7[Monthly mortgage rate],Table7[Monthly Exp Renewal Rate])</f>
        <v>4.9038466830562122E-3</v>
      </c>
      <c r="E681" s="21">
        <f>Table1[[#This Row],[Current mortgage rate]]*G680</f>
        <v>-35620.420981620417</v>
      </c>
      <c r="F681" s="5">
        <f>Table1[[#This Row],[Payment amount]]-Table1[[#This Row],[Interest paid]]</f>
        <v>39998.418699033893</v>
      </c>
      <c r="G681" s="20">
        <f>G680-Table1[[#This Row],[Principal repaid]]-Table1[[#This Row],[Annual paym]]</f>
        <v>-7303769.7565543167</v>
      </c>
      <c r="H681" s="20">
        <f>H680-(Table1[[#This Row],[Payment amount]]-Table1[[#This Row],[Interest Paid W/O LSP]])</f>
        <v>-4682625.468945899</v>
      </c>
      <c r="I681">
        <f>H680*Table1[[#This Row],[Current mortgage rate]]</f>
        <v>-22829.456191280333</v>
      </c>
      <c r="J681" s="25">
        <f>IF(Table1[[#This Row],[Month]]&gt;Table7[Amortization period (yrs)]*12,0,IF(Table1[[#This Row],[Month]]&lt;Table7[mortgage term (yrs)]*12,0,IF(Table1[[#This Row],[Month]]=Table7[mortgage term (yrs)]*12,-H$5,Table1[[#This Row],[Payment amount]]+B681)))</f>
        <v>0</v>
      </c>
      <c r="K681">
        <v>670</v>
      </c>
      <c r="L681">
        <f>Table7[Initial Monthly Deposit]*Table9[[#This Row],[Inflation Modifier]]</f>
        <v>1188.692269209236</v>
      </c>
      <c r="M681">
        <f xml:space="preserve"> (1+Table7[Inflation])^(QUOTIENT(Table9[[#This Row],[Month]]-1,12))</f>
        <v>2.9717306730230897</v>
      </c>
      <c r="N681">
        <f>N680*(1+Table7[Monthly SF Inter])+Table9[[#This Row],[Monthly Payment]]-O680*(1+Table7[Monthly SF Inter])</f>
        <v>170238.76535508942</v>
      </c>
      <c r="O681">
        <f>IF(MOD(Table9[[#This Row],[Month]],12)=0,(IF(Table9[[#This Row],[Current Balance]]&lt;Table9[[#This Row],[Max Lump Sum ]],Table9[[#This Row],[Current Balance]],Table9[[#This Row],[Max Lump Sum ]])),0)</f>
        <v>0</v>
      </c>
      <c r="P681" s="21">
        <f>Table7[Max annual lump sum repayment]*SUM(C682:C693)</f>
        <v>7880.3958913442566</v>
      </c>
      <c r="Q681" s="25">
        <f>Q680*(1+Table7[Monthly SF Inter])+Table9[[#This Row],[Inflation Modifier]]-R680*(1+Table7[Monthly SF Inter])</f>
        <v>30.274897901607495</v>
      </c>
      <c r="R681" s="25">
        <f>IF(MOD(Table9[[#This Row],[Month]],12)=0,Table9[[#This Row],[Q2 ACC FACTOR]],0)</f>
        <v>0</v>
      </c>
      <c r="S681" s="25">
        <f>S680*(1+D680)+Table9[[#This Row],[ACC FACTOR PAYMENTS]]</f>
        <v>7025.9359649268717</v>
      </c>
    </row>
    <row r="682" spans="1:19" x14ac:dyDescent="0.25">
      <c r="A682" s="1">
        <v>670</v>
      </c>
      <c r="B682" s="1">
        <f t="shared" si="10"/>
        <v>0</v>
      </c>
      <c r="C682" s="7">
        <f>G$12/-PV(Table7[Monthly mortgage rate], (12*Table7[Amortization period (yrs)]),1 )</f>
        <v>4377.9977174134756</v>
      </c>
      <c r="D682" s="11">
        <f>IF(Table1[[#This Row],[Month]]&lt;=(12*Table7[mortgage term (yrs)]),Table7[Monthly mortgage rate],Table7[Monthly Exp Renewal Rate])</f>
        <v>4.9038466830562122E-3</v>
      </c>
      <c r="E682" s="21">
        <f>Table1[[#This Row],[Current mortgage rate]]*G681</f>
        <v>-35816.567094485166</v>
      </c>
      <c r="F682" s="5">
        <f>Table1[[#This Row],[Payment amount]]-Table1[[#This Row],[Interest paid]]</f>
        <v>40194.564811898643</v>
      </c>
      <c r="G682" s="20">
        <f>G681-Table1[[#This Row],[Principal repaid]]-Table1[[#This Row],[Annual paym]]</f>
        <v>-7343964.3213662151</v>
      </c>
      <c r="H682" s="20">
        <f>H681-(Table1[[#This Row],[Payment amount]]-Table1[[#This Row],[Interest Paid W/O LSP]])</f>
        <v>-4709966.3440371975</v>
      </c>
      <c r="I682">
        <f>H681*Table1[[#This Row],[Current mortgage rate]]</f>
        <v>-22962.877373884887</v>
      </c>
      <c r="J682" s="25">
        <f>IF(Table1[[#This Row],[Month]]&gt;Table7[Amortization period (yrs)]*12,0,IF(Table1[[#This Row],[Month]]&lt;Table7[mortgage term (yrs)]*12,0,IF(Table1[[#This Row],[Month]]=Table7[mortgage term (yrs)]*12,-H$5,Table1[[#This Row],[Payment amount]]+B682)))</f>
        <v>0</v>
      </c>
      <c r="K682">
        <v>671</v>
      </c>
      <c r="L682">
        <f>Table7[Initial Monthly Deposit]*Table9[[#This Row],[Inflation Modifier]]</f>
        <v>1188.692269209236</v>
      </c>
      <c r="M682">
        <f xml:space="preserve"> (1+Table7[Inflation])^(QUOTIENT(Table9[[#This Row],[Month]]-1,12))</f>
        <v>2.9717306730230897</v>
      </c>
      <c r="N682">
        <f>N681*(1+Table7[Monthly SF Inter])+Table9[[#This Row],[Monthly Payment]]-O681*(1+Table7[Monthly SF Inter])</f>
        <v>172129.50790151357</v>
      </c>
      <c r="O682">
        <f>IF(MOD(Table9[[#This Row],[Month]],12)=0,(IF(Table9[[#This Row],[Current Balance]]&lt;Table9[[#This Row],[Max Lump Sum ]],Table9[[#This Row],[Current Balance]],Table9[[#This Row],[Max Lump Sum ]])),0)</f>
        <v>0</v>
      </c>
      <c r="P682" s="21">
        <f>Table7[Max annual lump sum repayment]*SUM(C683:C694)</f>
        <v>7880.3958913442566</v>
      </c>
      <c r="Q682" s="25">
        <f>Q681*(1+Table7[Monthly SF Inter])+Table9[[#This Row],[Inflation Modifier]]-R681*(1+Table7[Monthly SF Inter])</f>
        <v>33.371479694292688</v>
      </c>
      <c r="R682" s="25">
        <f>IF(MOD(Table9[[#This Row],[Month]],12)=0,Table9[[#This Row],[Q2 ACC FACTOR]],0)</f>
        <v>0</v>
      </c>
      <c r="S682" s="25">
        <f>S681*(1+D681)+Table9[[#This Row],[ACC FACTOR PAYMENTS]]</f>
        <v>7060.3900777038434</v>
      </c>
    </row>
    <row r="683" spans="1:19" x14ac:dyDescent="0.25">
      <c r="A683" s="1">
        <v>671</v>
      </c>
      <c r="B683" s="1">
        <f t="shared" si="10"/>
        <v>0</v>
      </c>
      <c r="C683" s="7">
        <f>G$12/-PV(Table7[Monthly mortgage rate], (12*Table7[Amortization period (yrs)]),1 )</f>
        <v>4377.9977174134756</v>
      </c>
      <c r="D683" s="11">
        <f>IF(Table1[[#This Row],[Month]]&lt;=(12*Table7[mortgage term (yrs)]),Table7[Monthly mortgage rate],Table7[Monthly Exp Renewal Rate])</f>
        <v>4.9038466830562122E-3</v>
      </c>
      <c r="E683" s="21">
        <f>Table1[[#This Row],[Current mortgage rate]]*G682</f>
        <v>-36013.675077814878</v>
      </c>
      <c r="F683" s="5">
        <f>Table1[[#This Row],[Payment amount]]-Table1[[#This Row],[Interest paid]]</f>
        <v>40391.672795228355</v>
      </c>
      <c r="G683" s="20">
        <f>G682-Table1[[#This Row],[Principal repaid]]-Table1[[#This Row],[Annual paym]]</f>
        <v>-7384355.9941614438</v>
      </c>
      <c r="H683" s="20">
        <f>H682-(Table1[[#This Row],[Payment amount]]-Table1[[#This Row],[Interest Paid W/O LSP]])</f>
        <v>-4737441.2945881244</v>
      </c>
      <c r="I683">
        <f>H682*Table1[[#This Row],[Current mortgage rate]]</f>
        <v>-23096.952833513205</v>
      </c>
      <c r="J683" s="25">
        <f>IF(Table1[[#This Row],[Month]]&gt;Table7[Amortization period (yrs)]*12,0,IF(Table1[[#This Row],[Month]]&lt;Table7[mortgage term (yrs)]*12,0,IF(Table1[[#This Row],[Month]]=Table7[mortgage term (yrs)]*12,-H$5,Table1[[#This Row],[Payment amount]]+B683)))</f>
        <v>0</v>
      </c>
      <c r="K683">
        <v>672</v>
      </c>
      <c r="L683">
        <f>Table7[Initial Monthly Deposit]*Table9[[#This Row],[Inflation Modifier]]</f>
        <v>1188.692269209236</v>
      </c>
      <c r="M683">
        <f xml:space="preserve"> (1+Table7[Inflation])^(QUOTIENT(Table9[[#This Row],[Month]]-1,12))</f>
        <v>2.9717306730230897</v>
      </c>
      <c r="N683">
        <f>N682*(1+Table7[Monthly SF Inter])+Table9[[#This Row],[Monthly Payment]]-O682*(1+Table7[Monthly SF Inter])</f>
        <v>174028.04771036553</v>
      </c>
      <c r="O683">
        <f>IF(MOD(Table9[[#This Row],[Month]],12)=0,(IF(Table9[[#This Row],[Current Balance]]&lt;Table9[[#This Row],[Max Lump Sum ]],Table9[[#This Row],[Current Balance]],Table9[[#This Row],[Max Lump Sum ]])),0)</f>
        <v>7880.3958913442566</v>
      </c>
      <c r="P683" s="21">
        <f>Table7[Max annual lump sum repayment]*SUM(C684:C695)</f>
        <v>7880.3958913442566</v>
      </c>
      <c r="Q683" s="25">
        <f>Q682*(1+Table7[Monthly SF Inter])+Table9[[#This Row],[Inflation Modifier]]-R682*(1+Table7[Monthly SF Inter])</f>
        <v>36.480831528521819</v>
      </c>
      <c r="R683" s="25">
        <f>IF(MOD(Table9[[#This Row],[Month]],12)=0,Table9[[#This Row],[Q2 ACC FACTOR]],0)</f>
        <v>36.480831528521819</v>
      </c>
      <c r="S683" s="25">
        <f>S682*(1+D682)+Table9[[#This Row],[ACC FACTOR PAYMENTS]]</f>
        <v>7131.4939796959961</v>
      </c>
    </row>
    <row r="684" spans="1:19" x14ac:dyDescent="0.25">
      <c r="A684" s="1">
        <v>672</v>
      </c>
      <c r="B684" s="1">
        <f t="shared" si="10"/>
        <v>7880.3958913442566</v>
      </c>
      <c r="C684" s="7">
        <f>G$12/-PV(Table7[Monthly mortgage rate], (12*Table7[Amortization period (yrs)]),1 )</f>
        <v>4377.9977174134756</v>
      </c>
      <c r="D684" s="11">
        <f>IF(Table1[[#This Row],[Month]]&lt;=(12*Table7[mortgage term (yrs)]),Table7[Monthly mortgage rate],Table7[Monthly Exp Renewal Rate])</f>
        <v>4.9038466830562122E-3</v>
      </c>
      <c r="E684" s="21">
        <f>Table1[[#This Row],[Current mortgage rate]]*G683</f>
        <v>-36211.749648474855</v>
      </c>
      <c r="F684" s="5">
        <f>Table1[[#This Row],[Payment amount]]-Table1[[#This Row],[Interest paid]]</f>
        <v>40589.747365888332</v>
      </c>
      <c r="G684" s="20">
        <f>G683-Table1[[#This Row],[Principal repaid]]-Table1[[#This Row],[Annual paym]]</f>
        <v>-7432826.1374186762</v>
      </c>
      <c r="H684" s="20">
        <f>H683-(Table1[[#This Row],[Payment amount]]-Table1[[#This Row],[Interest Paid W/O LSP]])</f>
        <v>-4765050.9780841777</v>
      </c>
      <c r="I684">
        <f>H683*Table1[[#This Row],[Current mortgage rate]]</f>
        <v>-23231.685778639501</v>
      </c>
      <c r="J684" s="25">
        <f>IF(Table1[[#This Row],[Month]]&gt;Table7[Amortization period (yrs)]*12,0,IF(Table1[[#This Row],[Month]]&lt;Table7[mortgage term (yrs)]*12,0,IF(Table1[[#This Row],[Month]]=Table7[mortgage term (yrs)]*12,-H$5,Table1[[#This Row],[Payment amount]]+B684)))</f>
        <v>0</v>
      </c>
      <c r="K684">
        <v>673</v>
      </c>
      <c r="L684">
        <f>Table7[Initial Monthly Deposit]*Table9[[#This Row],[Inflation Modifier]]</f>
        <v>1212.4661145934206</v>
      </c>
      <c r="M684">
        <f xml:space="preserve"> (1+Table7[Inflation])^(QUOTIENT(Table9[[#This Row],[Month]]-1,12))</f>
        <v>3.0311652864835517</v>
      </c>
      <c r="N684">
        <f>N683*(1+Table7[Monthly SF Inter])+Table9[[#This Row],[Monthly Payment]]-O683*(1+Table7[Monthly SF Inter])</f>
        <v>168045.29680444856</v>
      </c>
      <c r="O684">
        <f>IF(MOD(Table9[[#This Row],[Month]],12)=0,(IF(Table9[[#This Row],[Current Balance]]&lt;Table9[[#This Row],[Max Lump Sum ]],Table9[[#This Row],[Current Balance]],Table9[[#This Row],[Max Lump Sum ]])),0)</f>
        <v>0</v>
      </c>
      <c r="P684" s="21">
        <f>Table7[Max annual lump sum repayment]*SUM(C685:C696)</f>
        <v>7880.3958913442566</v>
      </c>
      <c r="Q684" s="25">
        <f>Q683*(1+Table7[Monthly SF Inter])+Table9[[#This Row],[Inflation Modifier]]-R683*(1+Table7[Monthly SF Inter])</f>
        <v>3.0311652864835494</v>
      </c>
      <c r="R684" s="25">
        <f>IF(MOD(Table9[[#This Row],[Month]],12)=0,Table9[[#This Row],[Q2 ACC FACTOR]],0)</f>
        <v>0</v>
      </c>
      <c r="S684" s="25">
        <f>S683*(1+D683)+Table9[[#This Row],[ACC FACTOR PAYMENTS]]</f>
        <v>7166.4657327935638</v>
      </c>
    </row>
    <row r="685" spans="1:19" x14ac:dyDescent="0.25">
      <c r="A685" s="1">
        <v>673</v>
      </c>
      <c r="B685" s="1">
        <f t="shared" si="10"/>
        <v>0</v>
      </c>
      <c r="C685" s="7">
        <f>G$12/-PV(Table7[Monthly mortgage rate], (12*Table7[Amortization period (yrs)]),1 )</f>
        <v>4377.9977174134756</v>
      </c>
      <c r="D685" s="11">
        <f>IF(Table1[[#This Row],[Month]]&lt;=(12*Table7[mortgage term (yrs)]),Table7[Monthly mortgage rate],Table7[Monthly Exp Renewal Rate])</f>
        <v>4.9038466830562122E-3</v>
      </c>
      <c r="E685" s="21">
        <f>Table1[[#This Row],[Current mortgage rate]]*G684</f>
        <v>-36449.439799714091</v>
      </c>
      <c r="F685" s="5">
        <f>Table1[[#This Row],[Payment amount]]-Table1[[#This Row],[Interest paid]]</f>
        <v>40827.437517127568</v>
      </c>
      <c r="G685" s="20">
        <f>G684-Table1[[#This Row],[Principal repaid]]-Table1[[#This Row],[Annual paym]]</f>
        <v>-7473653.5749358041</v>
      </c>
      <c r="H685" s="20">
        <f>H684-(Table1[[#This Row],[Payment amount]]-Table1[[#This Row],[Interest Paid W/O LSP]])</f>
        <v>-4792796.0552350627</v>
      </c>
      <c r="I685">
        <f>H684*Table1[[#This Row],[Current mortgage rate]]</f>
        <v>-23367.079433471856</v>
      </c>
      <c r="J685" s="25">
        <f>IF(Table1[[#This Row],[Month]]&gt;Table7[Amortization period (yrs)]*12,0,IF(Table1[[#This Row],[Month]]&lt;Table7[mortgage term (yrs)]*12,0,IF(Table1[[#This Row],[Month]]=Table7[mortgage term (yrs)]*12,-H$5,Table1[[#This Row],[Payment amount]]+B685)))</f>
        <v>0</v>
      </c>
      <c r="K685">
        <v>674</v>
      </c>
      <c r="L685">
        <f>Table7[Initial Monthly Deposit]*Table9[[#This Row],[Inflation Modifier]]</f>
        <v>1212.4661145934206</v>
      </c>
      <c r="M685">
        <f xml:space="preserve"> (1+Table7[Inflation])^(QUOTIENT(Table9[[#This Row],[Month]]-1,12))</f>
        <v>3.0311652864835517</v>
      </c>
      <c r="N685">
        <f>N684*(1+Table7[Monthly SF Inter])+Table9[[#This Row],[Monthly Payment]]-O684*(1+Table7[Monthly SF Inter])</f>
        <v>169950.76751737858</v>
      </c>
      <c r="O685">
        <f>IF(MOD(Table9[[#This Row],[Month]],12)=0,(IF(Table9[[#This Row],[Current Balance]]&lt;Table9[[#This Row],[Max Lump Sum ]],Table9[[#This Row],[Current Balance]],Table9[[#This Row],[Max Lump Sum ]])),0)</f>
        <v>0</v>
      </c>
      <c r="P685" s="21">
        <f>Table7[Max annual lump sum repayment]*SUM(C686:C697)</f>
        <v>7880.3958913442566</v>
      </c>
      <c r="Q685" s="25">
        <f>Q684*(1+Table7[Monthly SF Inter])+Table9[[#This Row],[Inflation Modifier]]-R684*(1+Table7[Monthly SF Inter])</f>
        <v>6.0748308423694386</v>
      </c>
      <c r="R685" s="25">
        <f>IF(MOD(Table9[[#This Row],[Month]],12)=0,Table9[[#This Row],[Q2 ACC FACTOR]],0)</f>
        <v>0</v>
      </c>
      <c r="S685" s="25">
        <f>S684*(1+D684)+Table9[[#This Row],[ACC FACTOR PAYMENTS]]</f>
        <v>7201.6089820065599</v>
      </c>
    </row>
    <row r="686" spans="1:19" x14ac:dyDescent="0.25">
      <c r="A686" s="1">
        <v>674</v>
      </c>
      <c r="B686" s="1">
        <f t="shared" si="10"/>
        <v>0</v>
      </c>
      <c r="C686" s="7">
        <f>G$12/-PV(Table7[Monthly mortgage rate], (12*Table7[Amortization period (yrs)]),1 )</f>
        <v>4377.9977174134756</v>
      </c>
      <c r="D686" s="11">
        <f>IF(Table1[[#This Row],[Month]]&lt;=(12*Table7[mortgage term (yrs)]),Table7[Monthly mortgage rate],Table7[Monthly Exp Renewal Rate])</f>
        <v>4.9038466830562122E-3</v>
      </c>
      <c r="E686" s="21">
        <f>Table1[[#This Row],[Current mortgage rate]]*G685</f>
        <v>-36649.651293760144</v>
      </c>
      <c r="F686" s="5">
        <f>Table1[[#This Row],[Payment amount]]-Table1[[#This Row],[Interest paid]]</f>
        <v>41027.64901117362</v>
      </c>
      <c r="G686" s="20">
        <f>G685-Table1[[#This Row],[Principal repaid]]-Table1[[#This Row],[Annual paym]]</f>
        <v>-7514681.2239469774</v>
      </c>
      <c r="H686" s="20">
        <f>H685-(Table1[[#This Row],[Payment amount]]-Table1[[#This Row],[Interest Paid W/O LSP]])</f>
        <v>-4820677.1899905056</v>
      </c>
      <c r="I686">
        <f>H685*Table1[[#This Row],[Current mortgage rate]]</f>
        <v>-23503.137038029359</v>
      </c>
      <c r="J686" s="25">
        <f>IF(Table1[[#This Row],[Month]]&gt;Table7[Amortization period (yrs)]*12,0,IF(Table1[[#This Row],[Month]]&lt;Table7[mortgage term (yrs)]*12,0,IF(Table1[[#This Row],[Month]]=Table7[mortgage term (yrs)]*12,-H$5,Table1[[#This Row],[Payment amount]]+B686)))</f>
        <v>0</v>
      </c>
      <c r="K686">
        <v>675</v>
      </c>
      <c r="L686">
        <f>Table7[Initial Monthly Deposit]*Table9[[#This Row],[Inflation Modifier]]</f>
        <v>1212.4661145934206</v>
      </c>
      <c r="M686">
        <f xml:space="preserve"> (1+Table7[Inflation])^(QUOTIENT(Table9[[#This Row],[Month]]-1,12))</f>
        <v>3.0311652864835517</v>
      </c>
      <c r="N686">
        <f>N685*(1+Table7[Monthly SF Inter])+Table9[[#This Row],[Monthly Payment]]-O685*(1+Table7[Monthly SF Inter])</f>
        <v>171864.09623045003</v>
      </c>
      <c r="O686">
        <f>IF(MOD(Table9[[#This Row],[Month]],12)=0,(IF(Table9[[#This Row],[Current Balance]]&lt;Table9[[#This Row],[Max Lump Sum ]],Table9[[#This Row],[Current Balance]],Table9[[#This Row],[Max Lump Sum ]])),0)</f>
        <v>0</v>
      </c>
      <c r="P686" s="21">
        <f>Table7[Max annual lump sum repayment]*SUM(C687:C698)</f>
        <v>7880.3958913442566</v>
      </c>
      <c r="Q686" s="25">
        <f>Q685*(1+Table7[Monthly SF Inter])+Table9[[#This Row],[Inflation Modifier]]-R685*(1+Table7[Monthly SF Inter])</f>
        <v>9.1310482177119727</v>
      </c>
      <c r="R686" s="25">
        <f>IF(MOD(Table9[[#This Row],[Month]],12)=0,Table9[[#This Row],[Q2 ACC FACTOR]],0)</f>
        <v>0</v>
      </c>
      <c r="S686" s="25">
        <f>S685*(1+D685)+Table9[[#This Row],[ACC FACTOR PAYMENTS]]</f>
        <v>7236.9245683256404</v>
      </c>
    </row>
    <row r="687" spans="1:19" x14ac:dyDescent="0.25">
      <c r="A687" s="1">
        <v>675</v>
      </c>
      <c r="B687" s="1">
        <f t="shared" si="10"/>
        <v>0</v>
      </c>
      <c r="C687" s="7">
        <f>G$12/-PV(Table7[Monthly mortgage rate], (12*Table7[Amortization period (yrs)]),1 )</f>
        <v>4377.9977174134756</v>
      </c>
      <c r="D687" s="11">
        <f>IF(Table1[[#This Row],[Month]]&lt;=(12*Table7[mortgage term (yrs)]),Table7[Monthly mortgage rate],Table7[Monthly Exp Renewal Rate])</f>
        <v>4.9038466830562122E-3</v>
      </c>
      <c r="E687" s="21">
        <f>Table1[[#This Row],[Current mortgage rate]]*G686</f>
        <v>-36850.84459427718</v>
      </c>
      <c r="F687" s="5">
        <f>Table1[[#This Row],[Payment amount]]-Table1[[#This Row],[Interest paid]]</f>
        <v>41228.842311690656</v>
      </c>
      <c r="G687" s="20">
        <f>G686-Table1[[#This Row],[Principal repaid]]-Table1[[#This Row],[Annual paym]]</f>
        <v>-7555910.066258668</v>
      </c>
      <c r="H687" s="20">
        <f>H686-(Table1[[#This Row],[Payment amount]]-Table1[[#This Row],[Interest Paid W/O LSP]])</f>
        <v>-4848695.0495561389</v>
      </c>
      <c r="I687">
        <f>H686*Table1[[#This Row],[Current mortgage rate]]</f>
        <v>-23639.861848219683</v>
      </c>
      <c r="J687" s="25">
        <f>IF(Table1[[#This Row],[Month]]&gt;Table7[Amortization period (yrs)]*12,0,IF(Table1[[#This Row],[Month]]&lt;Table7[mortgage term (yrs)]*12,0,IF(Table1[[#This Row],[Month]]=Table7[mortgage term (yrs)]*12,-H$5,Table1[[#This Row],[Payment amount]]+B687)))</f>
        <v>0</v>
      </c>
      <c r="K687">
        <v>676</v>
      </c>
      <c r="L687">
        <f>Table7[Initial Monthly Deposit]*Table9[[#This Row],[Inflation Modifier]]</f>
        <v>1212.4661145934206</v>
      </c>
      <c r="M687">
        <f xml:space="preserve"> (1+Table7[Inflation])^(QUOTIENT(Table9[[#This Row],[Month]]-1,12))</f>
        <v>3.0311652864835517</v>
      </c>
      <c r="N687">
        <f>N686*(1+Table7[Monthly SF Inter])+Table9[[#This Row],[Monthly Payment]]-O686*(1+Table7[Monthly SF Inter])</f>
        <v>173785.31534939123</v>
      </c>
      <c r="O687">
        <f>IF(MOD(Table9[[#This Row],[Month]],12)=0,(IF(Table9[[#This Row],[Current Balance]]&lt;Table9[[#This Row],[Max Lump Sum ]],Table9[[#This Row],[Current Balance]],Table9[[#This Row],[Max Lump Sum ]])),0)</f>
        <v>0</v>
      </c>
      <c r="P687" s="21">
        <f>Table7[Max annual lump sum repayment]*SUM(C688:C699)</f>
        <v>7880.3958913442566</v>
      </c>
      <c r="Q687" s="25">
        <f>Q686*(1+Table7[Monthly SF Inter])+Table9[[#This Row],[Inflation Modifier]]-R686*(1+Table7[Monthly SF Inter])</f>
        <v>12.199869175153523</v>
      </c>
      <c r="R687" s="25">
        <f>IF(MOD(Table9[[#This Row],[Month]],12)=0,Table9[[#This Row],[Q2 ACC FACTOR]],0)</f>
        <v>0</v>
      </c>
      <c r="S687" s="25">
        <f>S686*(1+D686)+Table9[[#This Row],[ACC FACTOR PAYMENTS]]</f>
        <v>7272.4133368655521</v>
      </c>
    </row>
    <row r="688" spans="1:19" x14ac:dyDescent="0.25">
      <c r="A688" s="1">
        <v>676</v>
      </c>
      <c r="B688" s="1">
        <f t="shared" si="10"/>
        <v>0</v>
      </c>
      <c r="C688" s="7">
        <f>G$12/-PV(Table7[Monthly mortgage rate], (12*Table7[Amortization period (yrs)]),1 )</f>
        <v>4377.9977174134756</v>
      </c>
      <c r="D688" s="11">
        <f>IF(Table1[[#This Row],[Month]]&lt;=(12*Table7[mortgage term (yrs)]),Table7[Monthly mortgage rate],Table7[Monthly Exp Renewal Rate])</f>
        <v>4.9038466830562122E-3</v>
      </c>
      <c r="E688" s="21">
        <f>Table1[[#This Row],[Current mortgage rate]]*G687</f>
        <v>-37053.024515893616</v>
      </c>
      <c r="F688" s="5">
        <f>Table1[[#This Row],[Payment amount]]-Table1[[#This Row],[Interest paid]]</f>
        <v>41431.022233307092</v>
      </c>
      <c r="G688" s="20">
        <f>G687-Table1[[#This Row],[Principal repaid]]-Table1[[#This Row],[Annual paym]]</f>
        <v>-7597341.0884919753</v>
      </c>
      <c r="H688" s="20">
        <f>H687-(Table1[[#This Row],[Payment amount]]-Table1[[#This Row],[Interest Paid W/O LSP]])</f>
        <v>-4876850.3044094695</v>
      </c>
      <c r="I688">
        <f>H687*Table1[[#This Row],[Current mortgage rate]]</f>
        <v>-23777.257135916949</v>
      </c>
      <c r="J688" s="25">
        <f>IF(Table1[[#This Row],[Month]]&gt;Table7[Amortization period (yrs)]*12,0,IF(Table1[[#This Row],[Month]]&lt;Table7[mortgage term (yrs)]*12,0,IF(Table1[[#This Row],[Month]]=Table7[mortgage term (yrs)]*12,-H$5,Table1[[#This Row],[Payment amount]]+B688)))</f>
        <v>0</v>
      </c>
      <c r="K688">
        <v>677</v>
      </c>
      <c r="L688">
        <f>Table7[Initial Monthly Deposit]*Table9[[#This Row],[Inflation Modifier]]</f>
        <v>1212.4661145934206</v>
      </c>
      <c r="M688">
        <f xml:space="preserve"> (1+Table7[Inflation])^(QUOTIENT(Table9[[#This Row],[Month]]-1,12))</f>
        <v>3.0311652864835517</v>
      </c>
      <c r="N688">
        <f>N687*(1+Table7[Monthly SF Inter])+Table9[[#This Row],[Monthly Payment]]-O687*(1+Table7[Monthly SF Inter])</f>
        <v>175714.45741356895</v>
      </c>
      <c r="O688">
        <f>IF(MOD(Table9[[#This Row],[Month]],12)=0,(IF(Table9[[#This Row],[Current Balance]]&lt;Table9[[#This Row],[Max Lump Sum ]],Table9[[#This Row],[Current Balance]],Table9[[#This Row],[Max Lump Sum ]])),0)</f>
        <v>0</v>
      </c>
      <c r="P688" s="21">
        <f>Table7[Max annual lump sum repayment]*SUM(C689:C700)</f>
        <v>7880.3958913442566</v>
      </c>
      <c r="Q688" s="25">
        <f>Q687*(1+Table7[Monthly SF Inter])+Table9[[#This Row],[Inflation Modifier]]-R687*(1+Table7[Monthly SF Inter])</f>
        <v>15.281345690801226</v>
      </c>
      <c r="R688" s="25">
        <f>IF(MOD(Table9[[#This Row],[Month]],12)=0,Table9[[#This Row],[Q2 ACC FACTOR]],0)</f>
        <v>0</v>
      </c>
      <c r="S688" s="25">
        <f>S687*(1+D687)+Table9[[#This Row],[ACC FACTOR PAYMENTS]]</f>
        <v>7308.0761368853537</v>
      </c>
    </row>
    <row r="689" spans="1:19" x14ac:dyDescent="0.25">
      <c r="A689" s="1">
        <v>677</v>
      </c>
      <c r="B689" s="1">
        <f t="shared" si="10"/>
        <v>0</v>
      </c>
      <c r="C689" s="7">
        <f>G$12/-PV(Table7[Monthly mortgage rate], (12*Table7[Amortization period (yrs)]),1 )</f>
        <v>4377.9977174134756</v>
      </c>
      <c r="D689" s="11">
        <f>IF(Table1[[#This Row],[Month]]&lt;=(12*Table7[mortgage term (yrs)]),Table7[Monthly mortgage rate],Table7[Monthly Exp Renewal Rate])</f>
        <v>4.9038466830562122E-3</v>
      </c>
      <c r="E689" s="21">
        <f>Table1[[#This Row],[Current mortgage rate]]*G688</f>
        <v>-37256.195896848047</v>
      </c>
      <c r="F689" s="5">
        <f>Table1[[#This Row],[Payment amount]]-Table1[[#This Row],[Interest paid]]</f>
        <v>41634.193614261523</v>
      </c>
      <c r="G689" s="20">
        <f>G688-Table1[[#This Row],[Principal repaid]]-Table1[[#This Row],[Annual paym]]</f>
        <v>-7638975.2821062366</v>
      </c>
      <c r="H689" s="20">
        <f>H688-(Table1[[#This Row],[Payment amount]]-Table1[[#This Row],[Interest Paid W/O LSP]])</f>
        <v>-4905143.6283159228</v>
      </c>
      <c r="I689">
        <f>H688*Table1[[#This Row],[Current mortgage rate]]</f>
        <v>-23915.326189040057</v>
      </c>
      <c r="J689" s="25">
        <f>IF(Table1[[#This Row],[Month]]&gt;Table7[Amortization period (yrs)]*12,0,IF(Table1[[#This Row],[Month]]&lt;Table7[mortgage term (yrs)]*12,0,IF(Table1[[#This Row],[Month]]=Table7[mortgage term (yrs)]*12,-H$5,Table1[[#This Row],[Payment amount]]+B689)))</f>
        <v>0</v>
      </c>
      <c r="K689">
        <v>678</v>
      </c>
      <c r="L689">
        <f>Table7[Initial Monthly Deposit]*Table9[[#This Row],[Inflation Modifier]]</f>
        <v>1212.4661145934206</v>
      </c>
      <c r="M689">
        <f xml:space="preserve"> (1+Table7[Inflation])^(QUOTIENT(Table9[[#This Row],[Month]]-1,12))</f>
        <v>3.0311652864835517</v>
      </c>
      <c r="N689">
        <f>N688*(1+Table7[Monthly SF Inter])+Table9[[#This Row],[Monthly Payment]]-O688*(1+Table7[Monthly SF Inter])</f>
        <v>177651.55509653961</v>
      </c>
      <c r="O689">
        <f>IF(MOD(Table9[[#This Row],[Month]],12)=0,(IF(Table9[[#This Row],[Current Balance]]&lt;Table9[[#This Row],[Max Lump Sum ]],Table9[[#This Row],[Current Balance]],Table9[[#This Row],[Max Lump Sum ]])),0)</f>
        <v>0</v>
      </c>
      <c r="P689" s="21">
        <f>Table7[Max annual lump sum repayment]*SUM(C690:C701)</f>
        <v>7880.3958913442566</v>
      </c>
      <c r="Q689" s="25">
        <f>Q688*(1+Table7[Monthly SF Inter])+Table9[[#This Row],[Inflation Modifier]]-R688*(1+Table7[Monthly SF Inter])</f>
        <v>18.375529955107289</v>
      </c>
      <c r="R689" s="25">
        <f>IF(MOD(Table9[[#This Row],[Month]],12)=0,Table9[[#This Row],[Q2 ACC FACTOR]],0)</f>
        <v>0</v>
      </c>
      <c r="S689" s="25">
        <f>S688*(1+D688)+Table9[[#This Row],[ACC FACTOR PAYMENTS]]</f>
        <v>7343.913821808741</v>
      </c>
    </row>
    <row r="690" spans="1:19" x14ac:dyDescent="0.25">
      <c r="A690" s="1">
        <v>678</v>
      </c>
      <c r="B690" s="1">
        <f t="shared" si="10"/>
        <v>0</v>
      </c>
      <c r="C690" s="7">
        <f>G$12/-PV(Table7[Monthly mortgage rate], (12*Table7[Amortization period (yrs)]),1 )</f>
        <v>4377.9977174134756</v>
      </c>
      <c r="D690" s="11">
        <f>IF(Table1[[#This Row],[Month]]&lt;=(12*Table7[mortgage term (yrs)]),Table7[Monthly mortgage rate],Table7[Monthly Exp Renewal Rate])</f>
        <v>4.9038466830562122E-3</v>
      </c>
      <c r="E690" s="21">
        <f>Table1[[#This Row],[Current mortgage rate]]*G689</f>
        <v>-37460.363599105061</v>
      </c>
      <c r="F690" s="5">
        <f>Table1[[#This Row],[Payment amount]]-Table1[[#This Row],[Interest paid]]</f>
        <v>41838.361316518538</v>
      </c>
      <c r="G690" s="20">
        <f>G689-Table1[[#This Row],[Principal repaid]]-Table1[[#This Row],[Annual paym]]</f>
        <v>-7680813.6434227554</v>
      </c>
      <c r="H690" s="20">
        <f>H689-(Table1[[#This Row],[Payment amount]]-Table1[[#This Row],[Interest Paid W/O LSP]])</f>
        <v>-4933575.6983449673</v>
      </c>
      <c r="I690">
        <f>H689*Table1[[#This Row],[Current mortgage rate]]</f>
        <v>-24054.072311631353</v>
      </c>
      <c r="J690" s="25">
        <f>IF(Table1[[#This Row],[Month]]&gt;Table7[Amortization period (yrs)]*12,0,IF(Table1[[#This Row],[Month]]&lt;Table7[mortgage term (yrs)]*12,0,IF(Table1[[#This Row],[Month]]=Table7[mortgage term (yrs)]*12,-H$5,Table1[[#This Row],[Payment amount]]+B690)))</f>
        <v>0</v>
      </c>
      <c r="K690">
        <v>679</v>
      </c>
      <c r="L690">
        <f>Table7[Initial Monthly Deposit]*Table9[[#This Row],[Inflation Modifier]]</f>
        <v>1212.4661145934206</v>
      </c>
      <c r="M690">
        <f xml:space="preserve"> (1+Table7[Inflation])^(QUOTIENT(Table9[[#This Row],[Month]]-1,12))</f>
        <v>3.0311652864835517</v>
      </c>
      <c r="N690">
        <f>N689*(1+Table7[Monthly SF Inter])+Table9[[#This Row],[Monthly Payment]]-O689*(1+Table7[Monthly SF Inter])</f>
        <v>179596.64120660257</v>
      </c>
      <c r="O690">
        <f>IF(MOD(Table9[[#This Row],[Month]],12)=0,(IF(Table9[[#This Row],[Current Balance]]&lt;Table9[[#This Row],[Max Lump Sum ]],Table9[[#This Row],[Current Balance]],Table9[[#This Row],[Max Lump Sum ]])),0)</f>
        <v>0</v>
      </c>
      <c r="P690" s="21">
        <f>Table7[Max annual lump sum repayment]*SUM(C691:C702)</f>
        <v>7880.3958913442566</v>
      </c>
      <c r="Q690" s="25">
        <f>Q689*(1+Table7[Monthly SF Inter])+Table9[[#This Row],[Inflation Modifier]]-R689*(1+Table7[Monthly SF Inter])</f>
        <v>21.482474373752929</v>
      </c>
      <c r="R690" s="25">
        <f>IF(MOD(Table9[[#This Row],[Month]],12)=0,Table9[[#This Row],[Q2 ACC FACTOR]],0)</f>
        <v>0</v>
      </c>
      <c r="S690" s="25">
        <f>S689*(1+D689)+Table9[[#This Row],[ACC FACTOR PAYMENTS]]</f>
        <v>7379.9272492444688</v>
      </c>
    </row>
    <row r="691" spans="1:19" x14ac:dyDescent="0.25">
      <c r="A691" s="1">
        <v>679</v>
      </c>
      <c r="B691" s="1">
        <f t="shared" si="10"/>
        <v>0</v>
      </c>
      <c r="C691" s="7">
        <f>G$12/-PV(Table7[Monthly mortgage rate], (12*Table7[Amortization period (yrs)]),1 )</f>
        <v>4377.9977174134756</v>
      </c>
      <c r="D691" s="11">
        <f>IF(Table1[[#This Row],[Month]]&lt;=(12*Table7[mortgage term (yrs)]),Table7[Monthly mortgage rate],Table7[Monthly Exp Renewal Rate])</f>
        <v>4.9038466830562122E-3</v>
      </c>
      <c r="E691" s="21">
        <f>Table1[[#This Row],[Current mortgage rate]]*G690</f>
        <v>-37665.532508471581</v>
      </c>
      <c r="F691" s="5">
        <f>Table1[[#This Row],[Payment amount]]-Table1[[#This Row],[Interest paid]]</f>
        <v>42043.530225885057</v>
      </c>
      <c r="G691" s="20">
        <f>G690-Table1[[#This Row],[Principal repaid]]-Table1[[#This Row],[Annual paym]]</f>
        <v>-7722857.1736486405</v>
      </c>
      <c r="H691" s="20">
        <f>H690-(Table1[[#This Row],[Payment amount]]-Table1[[#This Row],[Interest Paid W/O LSP]])</f>
        <v>-4962147.1948863165</v>
      </c>
      <c r="I691">
        <f>H690*Table1[[#This Row],[Current mortgage rate]]</f>
        <v>-24193.498823935704</v>
      </c>
      <c r="J691" s="25">
        <f>IF(Table1[[#This Row],[Month]]&gt;Table7[Amortization period (yrs)]*12,0,IF(Table1[[#This Row],[Month]]&lt;Table7[mortgage term (yrs)]*12,0,IF(Table1[[#This Row],[Month]]=Table7[mortgage term (yrs)]*12,-H$5,Table1[[#This Row],[Payment amount]]+B691)))</f>
        <v>0</v>
      </c>
      <c r="K691">
        <v>680</v>
      </c>
      <c r="L691">
        <f>Table7[Initial Monthly Deposit]*Table9[[#This Row],[Inflation Modifier]]</f>
        <v>1212.4661145934206</v>
      </c>
      <c r="M691">
        <f xml:space="preserve"> (1+Table7[Inflation])^(QUOTIENT(Table9[[#This Row],[Month]]-1,12))</f>
        <v>3.0311652864835517</v>
      </c>
      <c r="N691">
        <f>N690*(1+Table7[Monthly SF Inter])+Table9[[#This Row],[Monthly Payment]]-O690*(1+Table7[Monthly SF Inter])</f>
        <v>181549.74868735584</v>
      </c>
      <c r="O691">
        <f>IF(MOD(Table9[[#This Row],[Month]],12)=0,(IF(Table9[[#This Row],[Current Balance]]&lt;Table9[[#This Row],[Max Lump Sum ]],Table9[[#This Row],[Current Balance]],Table9[[#This Row],[Max Lump Sum ]])),0)</f>
        <v>0</v>
      </c>
      <c r="P691" s="21">
        <f>Table7[Max annual lump sum repayment]*SUM(C692:C703)</f>
        <v>7880.3958913442566</v>
      </c>
      <c r="Q691" s="25">
        <f>Q690*(1+Table7[Monthly SF Inter])+Table9[[#This Row],[Inflation Modifier]]-R690*(1+Table7[Monthly SF Inter])</f>
        <v>24.602231568535966</v>
      </c>
      <c r="R691" s="25">
        <f>IF(MOD(Table9[[#This Row],[Month]],12)=0,Table9[[#This Row],[Q2 ACC FACTOR]],0)</f>
        <v>0</v>
      </c>
      <c r="S691" s="25">
        <f>S690*(1+D690)+Table9[[#This Row],[ACC FACTOR PAYMENTS]]</f>
        <v>7416.1172810068729</v>
      </c>
    </row>
    <row r="692" spans="1:19" x14ac:dyDescent="0.25">
      <c r="A692" s="1">
        <v>680</v>
      </c>
      <c r="B692" s="1">
        <f t="shared" si="10"/>
        <v>0</v>
      </c>
      <c r="C692" s="7">
        <f>G$12/-PV(Table7[Monthly mortgage rate], (12*Table7[Amortization period (yrs)]),1 )</f>
        <v>4377.9977174134756</v>
      </c>
      <c r="D692" s="11">
        <f>IF(Table1[[#This Row],[Month]]&lt;=(12*Table7[mortgage term (yrs)]),Table7[Monthly mortgage rate],Table7[Monthly Exp Renewal Rate])</f>
        <v>4.9038466830562122E-3</v>
      </c>
      <c r="E692" s="21">
        <f>Table1[[#This Row],[Current mortgage rate]]*G691</f>
        <v>-37871.707534713758</v>
      </c>
      <c r="F692" s="5">
        <f>Table1[[#This Row],[Payment amount]]-Table1[[#This Row],[Interest paid]]</f>
        <v>42249.705252127234</v>
      </c>
      <c r="G692" s="20">
        <f>G691-Table1[[#This Row],[Principal repaid]]-Table1[[#This Row],[Annual paym]]</f>
        <v>-7765106.8789007673</v>
      </c>
      <c r="H692" s="20">
        <f>H691-(Table1[[#This Row],[Payment amount]]-Table1[[#This Row],[Interest Paid W/O LSP]])</f>
        <v>-4990858.8016662104</v>
      </c>
      <c r="I692">
        <f>H691*Table1[[#This Row],[Current mortgage rate]]</f>
        <v>-24333.609062479951</v>
      </c>
      <c r="J692" s="25">
        <f>IF(Table1[[#This Row],[Month]]&gt;Table7[Amortization period (yrs)]*12,0,IF(Table1[[#This Row],[Month]]&lt;Table7[mortgage term (yrs)]*12,0,IF(Table1[[#This Row],[Month]]=Table7[mortgage term (yrs)]*12,-H$5,Table1[[#This Row],[Payment amount]]+B692)))</f>
        <v>0</v>
      </c>
      <c r="K692">
        <v>681</v>
      </c>
      <c r="L692">
        <f>Table7[Initial Monthly Deposit]*Table9[[#This Row],[Inflation Modifier]]</f>
        <v>1212.4661145934206</v>
      </c>
      <c r="M692">
        <f xml:space="preserve"> (1+Table7[Inflation])^(QUOTIENT(Table9[[#This Row],[Month]]-1,12))</f>
        <v>3.0311652864835517</v>
      </c>
      <c r="N692">
        <f>N691*(1+Table7[Monthly SF Inter])+Table9[[#This Row],[Monthly Payment]]-O691*(1+Table7[Monthly SF Inter])</f>
        <v>183510.91061825407</v>
      </c>
      <c r="O692">
        <f>IF(MOD(Table9[[#This Row],[Month]],12)=0,(IF(Table9[[#This Row],[Current Balance]]&lt;Table9[[#This Row],[Max Lump Sum ]],Table9[[#This Row],[Current Balance]],Table9[[#This Row],[Max Lump Sum ]])),0)</f>
        <v>0</v>
      </c>
      <c r="P692" s="21">
        <f>Table7[Max annual lump sum repayment]*SUM(C693:C704)</f>
        <v>7880.3958913442566</v>
      </c>
      <c r="Q692" s="25">
        <f>Q691*(1+Table7[Monthly SF Inter])+Table9[[#This Row],[Inflation Modifier]]-R691*(1+Table7[Monthly SF Inter])</f>
        <v>27.734854378262064</v>
      </c>
      <c r="R692" s="25">
        <f>IF(MOD(Table9[[#This Row],[Month]],12)=0,Table9[[#This Row],[Q2 ACC FACTOR]],0)</f>
        <v>0</v>
      </c>
      <c r="S692" s="25">
        <f>S691*(1+D691)+Table9[[#This Row],[ACC FACTOR PAYMENTS]]</f>
        <v>7452.4847831364941</v>
      </c>
    </row>
    <row r="693" spans="1:19" x14ac:dyDescent="0.25">
      <c r="A693" s="1">
        <v>681</v>
      </c>
      <c r="B693" s="1">
        <f t="shared" si="10"/>
        <v>0</v>
      </c>
      <c r="C693" s="7">
        <f>G$12/-PV(Table7[Monthly mortgage rate], (12*Table7[Amortization period (yrs)]),1 )</f>
        <v>4377.9977174134756</v>
      </c>
      <c r="D693" s="11">
        <f>IF(Table1[[#This Row],[Month]]&lt;=(12*Table7[mortgage term (yrs)]),Table7[Monthly mortgage rate],Table7[Monthly Exp Renewal Rate])</f>
        <v>4.9038466830562122E-3</v>
      </c>
      <c r="E693" s="21">
        <f>Table1[[#This Row],[Current mortgage rate]]*G692</f>
        <v>-38078.893611674503</v>
      </c>
      <c r="F693" s="5">
        <f>Table1[[#This Row],[Payment amount]]-Table1[[#This Row],[Interest paid]]</f>
        <v>42456.891329087979</v>
      </c>
      <c r="G693" s="20">
        <f>G692-Table1[[#This Row],[Principal repaid]]-Table1[[#This Row],[Annual paym]]</f>
        <v>-7807563.7702298556</v>
      </c>
      <c r="H693" s="20">
        <f>H692-(Table1[[#This Row],[Payment amount]]-Table1[[#This Row],[Interest Paid W/O LSP]])</f>
        <v>-5019711.2057637768</v>
      </c>
      <c r="I693">
        <f>H692*Table1[[#This Row],[Current mortgage rate]]</f>
        <v>-24474.406380152748</v>
      </c>
      <c r="J693" s="25">
        <f>IF(Table1[[#This Row],[Month]]&gt;Table7[Amortization period (yrs)]*12,0,IF(Table1[[#This Row],[Month]]&lt;Table7[mortgage term (yrs)]*12,0,IF(Table1[[#This Row],[Month]]=Table7[mortgage term (yrs)]*12,-H$5,Table1[[#This Row],[Payment amount]]+B693)))</f>
        <v>0</v>
      </c>
      <c r="K693">
        <v>682</v>
      </c>
      <c r="L693">
        <f>Table7[Initial Monthly Deposit]*Table9[[#This Row],[Inflation Modifier]]</f>
        <v>1212.4661145934206</v>
      </c>
      <c r="M693">
        <f xml:space="preserve"> (1+Table7[Inflation])^(QUOTIENT(Table9[[#This Row],[Month]]-1,12))</f>
        <v>3.0311652864835517</v>
      </c>
      <c r="N693">
        <f>N692*(1+Table7[Monthly SF Inter])+Table9[[#This Row],[Monthly Payment]]-O692*(1+Table7[Monthly SF Inter])</f>
        <v>185480.16021516878</v>
      </c>
      <c r="O693">
        <f>IF(MOD(Table9[[#This Row],[Month]],12)=0,(IF(Table9[[#This Row],[Current Balance]]&lt;Table9[[#This Row],[Max Lump Sum ]],Table9[[#This Row],[Current Balance]],Table9[[#This Row],[Max Lump Sum ]])),0)</f>
        <v>0</v>
      </c>
      <c r="P693" s="21">
        <f>Table7[Max annual lump sum repayment]*SUM(C694:C705)</f>
        <v>7880.3958913442566</v>
      </c>
      <c r="Q693" s="25">
        <f>Q692*(1+Table7[Monthly SF Inter])+Table9[[#This Row],[Inflation Modifier]]-R692*(1+Table7[Monthly SF Inter])</f>
        <v>30.880395859639655</v>
      </c>
      <c r="R693" s="25">
        <f>IF(MOD(Table9[[#This Row],[Month]],12)=0,Table9[[#This Row],[Q2 ACC FACTOR]],0)</f>
        <v>0</v>
      </c>
      <c r="S693" s="25">
        <f>S692*(1+D692)+Table9[[#This Row],[ACC FACTOR PAYMENTS]]</f>
        <v>7489.0306259208046</v>
      </c>
    </row>
    <row r="694" spans="1:19" x14ac:dyDescent="0.25">
      <c r="A694" s="1">
        <v>682</v>
      </c>
      <c r="B694" s="1">
        <f t="shared" si="10"/>
        <v>0</v>
      </c>
      <c r="C694" s="7">
        <f>G$12/-PV(Table7[Monthly mortgage rate], (12*Table7[Amortization period (yrs)]),1 )</f>
        <v>4377.9977174134756</v>
      </c>
      <c r="D694" s="11">
        <f>IF(Table1[[#This Row],[Month]]&lt;=(12*Table7[mortgage term (yrs)]),Table7[Monthly mortgage rate],Table7[Monthly Exp Renewal Rate])</f>
        <v>4.9038466830562122E-3</v>
      </c>
      <c r="E694" s="21">
        <f>Table1[[#This Row],[Current mortgage rate]]*G693</f>
        <v>-38287.095697391531</v>
      </c>
      <c r="F694" s="5">
        <f>Table1[[#This Row],[Payment amount]]-Table1[[#This Row],[Interest paid]]</f>
        <v>42665.093414805007</v>
      </c>
      <c r="G694" s="20">
        <f>G693-Table1[[#This Row],[Principal repaid]]-Table1[[#This Row],[Annual paym]]</f>
        <v>-7850228.8636446605</v>
      </c>
      <c r="H694" s="20">
        <f>H693-(Table1[[#This Row],[Payment amount]]-Table1[[#This Row],[Interest Paid W/O LSP]])</f>
        <v>-5048705.0976274749</v>
      </c>
      <c r="I694">
        <f>H693*Table1[[#This Row],[Current mortgage rate]]</f>
        <v>-24615.894146284798</v>
      </c>
      <c r="J694" s="25">
        <f>IF(Table1[[#This Row],[Month]]&gt;Table7[Amortization period (yrs)]*12,0,IF(Table1[[#This Row],[Month]]&lt;Table7[mortgage term (yrs)]*12,0,IF(Table1[[#This Row],[Month]]=Table7[mortgage term (yrs)]*12,-H$5,Table1[[#This Row],[Payment amount]]+B694)))</f>
        <v>0</v>
      </c>
      <c r="K694">
        <v>683</v>
      </c>
      <c r="L694">
        <f>Table7[Initial Monthly Deposit]*Table9[[#This Row],[Inflation Modifier]]</f>
        <v>1212.4661145934206</v>
      </c>
      <c r="M694">
        <f xml:space="preserve"> (1+Table7[Inflation])^(QUOTIENT(Table9[[#This Row],[Month]]-1,12))</f>
        <v>3.0311652864835517</v>
      </c>
      <c r="N694">
        <f>N693*(1+Table7[Monthly SF Inter])+Table9[[#This Row],[Monthly Payment]]-O693*(1+Table7[Monthly SF Inter])</f>
        <v>187457.53083095097</v>
      </c>
      <c r="O694">
        <f>IF(MOD(Table9[[#This Row],[Month]],12)=0,(IF(Table9[[#This Row],[Current Balance]]&lt;Table9[[#This Row],[Max Lump Sum ]],Table9[[#This Row],[Current Balance]],Table9[[#This Row],[Max Lump Sum ]])),0)</f>
        <v>0</v>
      </c>
      <c r="P694" s="21">
        <f>Table7[Max annual lump sum repayment]*SUM(C695:C706)</f>
        <v>7880.3958913442566</v>
      </c>
      <c r="Q694" s="25">
        <f>Q693*(1+Table7[Monthly SF Inter])+Table9[[#This Row],[Inflation Modifier]]-R693*(1+Table7[Monthly SF Inter])</f>
        <v>34.038909288178552</v>
      </c>
      <c r="R694" s="25">
        <f>IF(MOD(Table9[[#This Row],[Month]],12)=0,Table9[[#This Row],[Q2 ACC FACTOR]],0)</f>
        <v>0</v>
      </c>
      <c r="S694" s="25">
        <f>S693*(1+D693)+Table9[[#This Row],[ACC FACTOR PAYMENTS]]</f>
        <v>7525.7556839150329</v>
      </c>
    </row>
    <row r="695" spans="1:19" x14ac:dyDescent="0.25">
      <c r="A695" s="1">
        <v>683</v>
      </c>
      <c r="B695" s="1">
        <f t="shared" si="10"/>
        <v>0</v>
      </c>
      <c r="C695" s="7">
        <f>G$12/-PV(Table7[Monthly mortgage rate], (12*Table7[Amortization period (yrs)]),1 )</f>
        <v>4377.9977174134756</v>
      </c>
      <c r="D695" s="11">
        <f>IF(Table1[[#This Row],[Month]]&lt;=(12*Table7[mortgage term (yrs)]),Table7[Monthly mortgage rate],Table7[Monthly Exp Renewal Rate])</f>
        <v>4.9038466830562122E-3</v>
      </c>
      <c r="E695" s="21">
        <f>Table1[[#This Row],[Current mortgage rate]]*G694</f>
        <v>-38496.318774216008</v>
      </c>
      <c r="F695" s="5">
        <f>Table1[[#This Row],[Payment amount]]-Table1[[#This Row],[Interest paid]]</f>
        <v>42874.316491629485</v>
      </c>
      <c r="G695" s="20">
        <f>G694-Table1[[#This Row],[Principal repaid]]-Table1[[#This Row],[Annual paym]]</f>
        <v>-7893103.1801362904</v>
      </c>
      <c r="H695" s="20">
        <f>H694-(Table1[[#This Row],[Payment amount]]-Table1[[#This Row],[Interest Paid W/O LSP]])</f>
        <v>-5077841.171091618</v>
      </c>
      <c r="I695">
        <f>H694*Table1[[#This Row],[Current mortgage rate]]</f>
        <v>-24758.075746729482</v>
      </c>
      <c r="J695" s="25">
        <f>IF(Table1[[#This Row],[Month]]&gt;Table7[Amortization period (yrs)]*12,0,IF(Table1[[#This Row],[Month]]&lt;Table7[mortgage term (yrs)]*12,0,IF(Table1[[#This Row],[Month]]=Table7[mortgage term (yrs)]*12,-H$5,Table1[[#This Row],[Payment amount]]+B695)))</f>
        <v>0</v>
      </c>
      <c r="K695">
        <v>684</v>
      </c>
      <c r="L695">
        <f>Table7[Initial Monthly Deposit]*Table9[[#This Row],[Inflation Modifier]]</f>
        <v>1212.4661145934206</v>
      </c>
      <c r="M695">
        <f xml:space="preserve"> (1+Table7[Inflation])^(QUOTIENT(Table9[[#This Row],[Month]]-1,12))</f>
        <v>3.0311652864835517</v>
      </c>
      <c r="N695">
        <f>N694*(1+Table7[Monthly SF Inter])+Table9[[#This Row],[Monthly Payment]]-O694*(1+Table7[Monthly SF Inter])</f>
        <v>189443.05595599589</v>
      </c>
      <c r="O695">
        <f>IF(MOD(Table9[[#This Row],[Month]],12)=0,(IF(Table9[[#This Row],[Current Balance]]&lt;Table9[[#This Row],[Max Lump Sum ]],Table9[[#This Row],[Current Balance]],Table9[[#This Row],[Max Lump Sum ]])),0)</f>
        <v>7880.3958913442566</v>
      </c>
      <c r="P695" s="21">
        <f>Table7[Max annual lump sum repayment]*SUM(C696:C707)</f>
        <v>7880.3958913442566</v>
      </c>
      <c r="Q695" s="25">
        <f>Q694*(1+Table7[Monthly SF Inter])+Table9[[#This Row],[Inflation Modifier]]-R694*(1+Table7[Monthly SF Inter])</f>
        <v>37.210448159092259</v>
      </c>
      <c r="R695" s="25">
        <f>IF(MOD(Table9[[#This Row],[Month]],12)=0,Table9[[#This Row],[Q2 ACC FACTOR]],0)</f>
        <v>37.210448159092259</v>
      </c>
      <c r="S695" s="25">
        <f>S694*(1+D694)+Table9[[#This Row],[ACC FACTOR PAYMENTS]]</f>
        <v>7599.8712841221832</v>
      </c>
    </row>
    <row r="696" spans="1:19" x14ac:dyDescent="0.25">
      <c r="A696" s="1">
        <v>684</v>
      </c>
      <c r="B696" s="1">
        <f t="shared" si="10"/>
        <v>7880.3958913442566</v>
      </c>
      <c r="C696" s="7">
        <f>G$12/-PV(Table7[Monthly mortgage rate], (12*Table7[Amortization period (yrs)]),1 )</f>
        <v>4377.9977174134756</v>
      </c>
      <c r="D696" s="11">
        <f>IF(Table1[[#This Row],[Month]]&lt;=(12*Table7[mortgage term (yrs)]),Table7[Monthly mortgage rate],Table7[Monthly Exp Renewal Rate])</f>
        <v>4.9038466830562122E-3</v>
      </c>
      <c r="E696" s="21">
        <f>Table1[[#This Row],[Current mortgage rate]]*G695</f>
        <v>-38706.567848931787</v>
      </c>
      <c r="F696" s="5">
        <f>Table1[[#This Row],[Payment amount]]-Table1[[#This Row],[Interest paid]]</f>
        <v>43084.565566345264</v>
      </c>
      <c r="G696" s="20">
        <f>G695-Table1[[#This Row],[Principal repaid]]-Table1[[#This Row],[Annual paym]]</f>
        <v>-7944068.1415939797</v>
      </c>
      <c r="H696" s="20">
        <f>H695-(Table1[[#This Row],[Payment amount]]-Table1[[#This Row],[Interest Paid W/O LSP]])</f>
        <v>-5107120.123392975</v>
      </c>
      <c r="I696">
        <f>H695*Table1[[#This Row],[Current mortgage rate]]</f>
        <v>-24900.954583943902</v>
      </c>
      <c r="J696" s="25">
        <f>IF(Table1[[#This Row],[Month]]&gt;Table7[Amortization period (yrs)]*12,0,IF(Table1[[#This Row],[Month]]&lt;Table7[mortgage term (yrs)]*12,0,IF(Table1[[#This Row],[Month]]=Table7[mortgage term (yrs)]*12,-H$5,Table1[[#This Row],[Payment amount]]+B696)))</f>
        <v>0</v>
      </c>
      <c r="K696">
        <v>685</v>
      </c>
      <c r="L696">
        <f>Table7[Initial Monthly Deposit]*Table9[[#This Row],[Inflation Modifier]]</f>
        <v>1236.7154368852891</v>
      </c>
      <c r="M696">
        <f xml:space="preserve"> (1+Table7[Inflation])^(QUOTIENT(Table9[[#This Row],[Month]]-1,12))</f>
        <v>3.0917885922132227</v>
      </c>
      <c r="N696">
        <f>N695*(1+Table7[Monthly SF Inter])+Table9[[#This Row],[Monthly Payment]]-O695*(1+Table7[Monthly SF Inter])</f>
        <v>183548.12456327028</v>
      </c>
      <c r="O696">
        <f>IF(MOD(Table9[[#This Row],[Month]],12)=0,(IF(Table9[[#This Row],[Current Balance]]&lt;Table9[[#This Row],[Max Lump Sum ]],Table9[[#This Row],[Current Balance]],Table9[[#This Row],[Max Lump Sum ]])),0)</f>
        <v>0</v>
      </c>
      <c r="P696" s="21">
        <f>Table7[Max annual lump sum repayment]*SUM(C697:C708)</f>
        <v>7880.3958913442566</v>
      </c>
      <c r="Q696" s="25">
        <f>Q695*(1+Table7[Monthly SF Inter])+Table9[[#This Row],[Inflation Modifier]]-R695*(1+Table7[Monthly SF Inter])</f>
        <v>3.09178859221322</v>
      </c>
      <c r="R696" s="25">
        <f>IF(MOD(Table9[[#This Row],[Month]],12)=0,Table9[[#This Row],[Q2 ACC FACTOR]],0)</f>
        <v>0</v>
      </c>
      <c r="S696" s="25">
        <f>S695*(1+D695)+Table9[[#This Row],[ACC FACTOR PAYMENTS]]</f>
        <v>7637.1398877104803</v>
      </c>
    </row>
    <row r="697" spans="1:19" x14ac:dyDescent="0.25">
      <c r="A697" s="1">
        <v>685</v>
      </c>
      <c r="B697" s="1">
        <f t="shared" si="10"/>
        <v>0</v>
      </c>
      <c r="C697" s="7">
        <f>G$12/-PV(Table7[Monthly mortgage rate], (12*Table7[Amortization period (yrs)]),1 )</f>
        <v>4377.9977174134756</v>
      </c>
      <c r="D697" s="11">
        <f>IF(Table1[[#This Row],[Month]]&lt;=(12*Table7[mortgage term (yrs)]),Table7[Monthly mortgage rate],Table7[Monthly Exp Renewal Rate])</f>
        <v>4.9038466830562122E-3</v>
      </c>
      <c r="E697" s="21">
        <f>Table1[[#This Row],[Current mortgage rate]]*G696</f>
        <v>-38956.492206128161</v>
      </c>
      <c r="F697" s="5">
        <f>Table1[[#This Row],[Payment amount]]-Table1[[#This Row],[Interest paid]]</f>
        <v>43334.489923541638</v>
      </c>
      <c r="G697" s="20">
        <f>G696-Table1[[#This Row],[Principal repaid]]-Table1[[#This Row],[Annual paym]]</f>
        <v>-7987402.6315175211</v>
      </c>
      <c r="H697" s="20">
        <f>H696-(Table1[[#This Row],[Payment amount]]-Table1[[#This Row],[Interest Paid W/O LSP]])</f>
        <v>-5136542.6551874587</v>
      </c>
      <c r="I697">
        <f>H696*Table1[[#This Row],[Current mortgage rate]]</f>
        <v>-25044.534077070275</v>
      </c>
      <c r="J697" s="25">
        <f>IF(Table1[[#This Row],[Month]]&gt;Table7[Amortization period (yrs)]*12,0,IF(Table1[[#This Row],[Month]]&lt;Table7[mortgage term (yrs)]*12,0,IF(Table1[[#This Row],[Month]]=Table7[mortgage term (yrs)]*12,-H$5,Table1[[#This Row],[Payment amount]]+B697)))</f>
        <v>0</v>
      </c>
      <c r="K697">
        <v>686</v>
      </c>
      <c r="L697">
        <f>Table7[Initial Monthly Deposit]*Table9[[#This Row],[Inflation Modifier]]</f>
        <v>1236.7154368852891</v>
      </c>
      <c r="M697">
        <f xml:space="preserve"> (1+Table7[Inflation])^(QUOTIENT(Table9[[#This Row],[Month]]-1,12))</f>
        <v>3.0917885922132227</v>
      </c>
      <c r="N697">
        <f>N696*(1+Table7[Monthly SF Inter])+Table9[[#This Row],[Monthly Payment]]-O696*(1+Table7[Monthly SF Inter])</f>
        <v>185541.77694964025</v>
      </c>
      <c r="O697">
        <f>IF(MOD(Table9[[#This Row],[Month]],12)=0,(IF(Table9[[#This Row],[Current Balance]]&lt;Table9[[#This Row],[Max Lump Sum ]],Table9[[#This Row],[Current Balance]],Table9[[#This Row],[Max Lump Sum ]])),0)</f>
        <v>0</v>
      </c>
      <c r="P697" s="21">
        <f>Table7[Max annual lump sum repayment]*SUM(C698:C709)</f>
        <v>7880.3958913442566</v>
      </c>
      <c r="Q697" s="25">
        <f>Q696*(1+Table7[Monthly SF Inter])+Table9[[#This Row],[Inflation Modifier]]-R696*(1+Table7[Monthly SF Inter])</f>
        <v>6.1963274592168274</v>
      </c>
      <c r="R697" s="25">
        <f>IF(MOD(Table9[[#This Row],[Month]],12)=0,Table9[[#This Row],[Q2 ACC FACTOR]],0)</f>
        <v>0</v>
      </c>
      <c r="S697" s="25">
        <f>S696*(1+D696)+Table9[[#This Row],[ACC FACTOR PAYMENTS]]</f>
        <v>7674.5912508168658</v>
      </c>
    </row>
    <row r="698" spans="1:19" x14ac:dyDescent="0.25">
      <c r="A698" s="1">
        <v>686</v>
      </c>
      <c r="B698" s="1">
        <f t="shared" si="10"/>
        <v>0</v>
      </c>
      <c r="C698" s="7">
        <f>G$12/-PV(Table7[Monthly mortgage rate], (12*Table7[Amortization period (yrs)]),1 )</f>
        <v>4377.9977174134756</v>
      </c>
      <c r="D698" s="11">
        <f>IF(Table1[[#This Row],[Month]]&lt;=(12*Table7[mortgage term (yrs)]),Table7[Monthly mortgage rate],Table7[Monthly Exp Renewal Rate])</f>
        <v>4.9038466830562122E-3</v>
      </c>
      <c r="E698" s="21">
        <f>Table1[[#This Row],[Current mortgage rate]]*G697</f>
        <v>-39168.99790080166</v>
      </c>
      <c r="F698" s="5">
        <f>Table1[[#This Row],[Payment amount]]-Table1[[#This Row],[Interest paid]]</f>
        <v>43546.995618215136</v>
      </c>
      <c r="G698" s="20">
        <f>G697-Table1[[#This Row],[Principal repaid]]-Table1[[#This Row],[Annual paym]]</f>
        <v>-8030949.6271357359</v>
      </c>
      <c r="H698" s="20">
        <f>H697-(Table1[[#This Row],[Payment amount]]-Table1[[#This Row],[Interest Paid W/O LSP]])</f>
        <v>-5166109.4705668902</v>
      </c>
      <c r="I698">
        <f>H697*Table1[[#This Row],[Current mortgage rate]]</f>
        <v>-25188.817662017769</v>
      </c>
      <c r="J698" s="25">
        <f>IF(Table1[[#This Row],[Month]]&gt;Table7[Amortization period (yrs)]*12,0,IF(Table1[[#This Row],[Month]]&lt;Table7[mortgage term (yrs)]*12,0,IF(Table1[[#This Row],[Month]]=Table7[mortgage term (yrs)]*12,-H$5,Table1[[#This Row],[Payment amount]]+B698)))</f>
        <v>0</v>
      </c>
      <c r="K698">
        <v>687</v>
      </c>
      <c r="L698">
        <f>Table7[Initial Monthly Deposit]*Table9[[#This Row],[Inflation Modifier]]</f>
        <v>1236.7154368852891</v>
      </c>
      <c r="M698">
        <f xml:space="preserve"> (1+Table7[Inflation])^(QUOTIENT(Table9[[#This Row],[Month]]-1,12))</f>
        <v>3.0917885922132227</v>
      </c>
      <c r="N698">
        <f>N697*(1+Table7[Monthly SF Inter])+Table9[[#This Row],[Monthly Payment]]-O697*(1+Table7[Monthly SF Inter])</f>
        <v>187543.6509899185</v>
      </c>
      <c r="O698">
        <f>IF(MOD(Table9[[#This Row],[Month]],12)=0,(IF(Table9[[#This Row],[Current Balance]]&lt;Table9[[#This Row],[Max Lump Sum ]],Table9[[#This Row],[Current Balance]],Table9[[#This Row],[Max Lump Sum ]])),0)</f>
        <v>0</v>
      </c>
      <c r="P698" s="21">
        <f>Table7[Max annual lump sum repayment]*SUM(C699:C710)</f>
        <v>7880.3958913442566</v>
      </c>
      <c r="Q698" s="25">
        <f>Q697*(1+Table7[Monthly SF Inter])+Table9[[#This Row],[Inflation Modifier]]-R697*(1+Table7[Monthly SF Inter])</f>
        <v>9.3136691820662119</v>
      </c>
      <c r="R698" s="25">
        <f>IF(MOD(Table9[[#This Row],[Month]],12)=0,Table9[[#This Row],[Q2 ACC FACTOR]],0)</f>
        <v>0</v>
      </c>
      <c r="S698" s="25">
        <f>S697*(1+D697)+Table9[[#This Row],[ACC FACTOR PAYMENTS]]</f>
        <v>7712.2262696659964</v>
      </c>
    </row>
    <row r="699" spans="1:19" x14ac:dyDescent="0.25">
      <c r="A699" s="1">
        <v>687</v>
      </c>
      <c r="B699" s="1">
        <f t="shared" si="10"/>
        <v>0</v>
      </c>
      <c r="C699" s="7">
        <f>G$12/-PV(Table7[Monthly mortgage rate], (12*Table7[Amortization period (yrs)]),1 )</f>
        <v>4377.9977174134756</v>
      </c>
      <c r="D699" s="11">
        <f>IF(Table1[[#This Row],[Month]]&lt;=(12*Table7[mortgage term (yrs)]),Table7[Monthly mortgage rate],Table7[Monthly Exp Renewal Rate])</f>
        <v>4.9038466830562122E-3</v>
      </c>
      <c r="E699" s="21">
        <f>Table1[[#This Row],[Current mortgage rate]]*G698</f>
        <v>-39382.545690821105</v>
      </c>
      <c r="F699" s="5">
        <f>Table1[[#This Row],[Payment amount]]-Table1[[#This Row],[Interest paid]]</f>
        <v>43760.543408234582</v>
      </c>
      <c r="G699" s="20">
        <f>G698-Table1[[#This Row],[Principal repaid]]-Table1[[#This Row],[Annual paym]]</f>
        <v>-8074710.1705439705</v>
      </c>
      <c r="H699" s="20">
        <f>H698-(Table1[[#This Row],[Payment amount]]-Table1[[#This Row],[Interest Paid W/O LSP]])</f>
        <v>-5195821.2770758485</v>
      </c>
      <c r="I699">
        <f>H698*Table1[[#This Row],[Current mortgage rate]]</f>
        <v>-25333.808791544729</v>
      </c>
      <c r="J699" s="25">
        <f>IF(Table1[[#This Row],[Month]]&gt;Table7[Amortization period (yrs)]*12,0,IF(Table1[[#This Row],[Month]]&lt;Table7[mortgage term (yrs)]*12,0,IF(Table1[[#This Row],[Month]]=Table7[mortgage term (yrs)]*12,-H$5,Table1[[#This Row],[Payment amount]]+B699)))</f>
        <v>0</v>
      </c>
      <c r="K699">
        <v>688</v>
      </c>
      <c r="L699">
        <f>Table7[Initial Monthly Deposit]*Table9[[#This Row],[Inflation Modifier]]</f>
        <v>1236.7154368852891</v>
      </c>
      <c r="M699">
        <f xml:space="preserve"> (1+Table7[Inflation])^(QUOTIENT(Table9[[#This Row],[Month]]-1,12))</f>
        <v>3.0917885922132227</v>
      </c>
      <c r="N699">
        <f>N698*(1+Table7[Monthly SF Inter])+Table9[[#This Row],[Monthly Payment]]-O698*(1+Table7[Monthly SF Inter])</f>
        <v>189553.78058951072</v>
      </c>
      <c r="O699">
        <f>IF(MOD(Table9[[#This Row],[Month]],12)=0,(IF(Table9[[#This Row],[Current Balance]]&lt;Table9[[#This Row],[Max Lump Sum ]],Table9[[#This Row],[Current Balance]],Table9[[#This Row],[Max Lump Sum ]])),0)</f>
        <v>0</v>
      </c>
      <c r="P699" s="21">
        <f>Table7[Max annual lump sum repayment]*SUM(C700:C711)</f>
        <v>7880.3958913442566</v>
      </c>
      <c r="Q699" s="25">
        <f>Q698*(1+Table7[Monthly SF Inter])+Table9[[#This Row],[Inflation Modifier]]-R698*(1+Table7[Monthly SF Inter])</f>
        <v>12.443866558656595</v>
      </c>
      <c r="R699" s="25">
        <f>IF(MOD(Table9[[#This Row],[Month]],12)=0,Table9[[#This Row],[Q2 ACC FACTOR]],0)</f>
        <v>0</v>
      </c>
      <c r="S699" s="25">
        <f>S698*(1+D698)+Table9[[#This Row],[ACC FACTOR PAYMENTS]]</f>
        <v>7750.0458448774771</v>
      </c>
    </row>
    <row r="700" spans="1:19" x14ac:dyDescent="0.25">
      <c r="A700" s="1">
        <v>688</v>
      </c>
      <c r="B700" s="1">
        <f t="shared" si="10"/>
        <v>0</v>
      </c>
      <c r="C700" s="7">
        <f>G$12/-PV(Table7[Monthly mortgage rate], (12*Table7[Amortization period (yrs)]),1 )</f>
        <v>4377.9977174134756</v>
      </c>
      <c r="D700" s="11">
        <f>IF(Table1[[#This Row],[Month]]&lt;=(12*Table7[mortgage term (yrs)]),Table7[Monthly mortgage rate],Table7[Monthly Exp Renewal Rate])</f>
        <v>4.9038466830562122E-3</v>
      </c>
      <c r="E700" s="21">
        <f>Table1[[#This Row],[Current mortgage rate]]*G699</f>
        <v>-39597.140686462313</v>
      </c>
      <c r="F700" s="5">
        <f>Table1[[#This Row],[Payment amount]]-Table1[[#This Row],[Interest paid]]</f>
        <v>43975.13840387579</v>
      </c>
      <c r="G700" s="20">
        <f>G699-Table1[[#This Row],[Principal repaid]]-Table1[[#This Row],[Annual paym]]</f>
        <v>-8118685.3089478463</v>
      </c>
      <c r="H700" s="20">
        <f>H699-(Table1[[#This Row],[Payment amount]]-Table1[[#This Row],[Interest Paid W/O LSP]])</f>
        <v>-5225678.7857286036</v>
      </c>
      <c r="I700">
        <f>H699*Table1[[#This Row],[Current mortgage rate]]</f>
        <v>-25479.510935341292</v>
      </c>
      <c r="J700" s="25">
        <f>IF(Table1[[#This Row],[Month]]&gt;Table7[Amortization period (yrs)]*12,0,IF(Table1[[#This Row],[Month]]&lt;Table7[mortgage term (yrs)]*12,0,IF(Table1[[#This Row],[Month]]=Table7[mortgage term (yrs)]*12,-H$5,Table1[[#This Row],[Payment amount]]+B700)))</f>
        <v>0</v>
      </c>
      <c r="K700">
        <v>689</v>
      </c>
      <c r="L700">
        <f>Table7[Initial Monthly Deposit]*Table9[[#This Row],[Inflation Modifier]]</f>
        <v>1236.7154368852891</v>
      </c>
      <c r="M700">
        <f xml:space="preserve"> (1+Table7[Inflation])^(QUOTIENT(Table9[[#This Row],[Month]]-1,12))</f>
        <v>3.0917885922132227</v>
      </c>
      <c r="N700">
        <f>N699*(1+Table7[Monthly SF Inter])+Table9[[#This Row],[Monthly Payment]]-O699*(1+Table7[Monthly SF Inter])</f>
        <v>191572.19979364565</v>
      </c>
      <c r="O700">
        <f>IF(MOD(Table9[[#This Row],[Month]],12)=0,(IF(Table9[[#This Row],[Current Balance]]&lt;Table9[[#This Row],[Max Lump Sum ]],Table9[[#This Row],[Current Balance]],Table9[[#This Row],[Max Lump Sum ]])),0)</f>
        <v>0</v>
      </c>
      <c r="P700" s="21">
        <f>Table7[Max annual lump sum repayment]*SUM(C701:C712)</f>
        <v>7880.3958913442566</v>
      </c>
      <c r="Q700" s="25">
        <f>Q699*(1+Table7[Monthly SF Inter])+Table9[[#This Row],[Inflation Modifier]]-R699*(1+Table7[Monthly SF Inter])</f>
        <v>15.586972604617252</v>
      </c>
      <c r="R700" s="25">
        <f>IF(MOD(Table9[[#This Row],[Month]],12)=0,Table9[[#This Row],[Q2 ACC FACTOR]],0)</f>
        <v>0</v>
      </c>
      <c r="S700" s="25">
        <f>S699*(1+D699)+Table9[[#This Row],[ACC FACTOR PAYMENTS]]</f>
        <v>7788.0508814874129</v>
      </c>
    </row>
    <row r="701" spans="1:19" x14ac:dyDescent="0.25">
      <c r="A701" s="1">
        <v>689</v>
      </c>
      <c r="B701" s="1">
        <f t="shared" si="10"/>
        <v>0</v>
      </c>
      <c r="C701" s="7">
        <f>G$12/-PV(Table7[Monthly mortgage rate], (12*Table7[Amortization period (yrs)]),1 )</f>
        <v>4377.9977174134756</v>
      </c>
      <c r="D701" s="11">
        <f>IF(Table1[[#This Row],[Month]]&lt;=(12*Table7[mortgage term (yrs)]),Table7[Monthly mortgage rate],Table7[Monthly Exp Renewal Rate])</f>
        <v>4.9038466830562122E-3</v>
      </c>
      <c r="E701" s="21">
        <f>Table1[[#This Row],[Current mortgage rate]]*G700</f>
        <v>-39812.788023061097</v>
      </c>
      <c r="F701" s="5">
        <f>Table1[[#This Row],[Payment amount]]-Table1[[#This Row],[Interest paid]]</f>
        <v>44190.785740474574</v>
      </c>
      <c r="G701" s="20">
        <f>G700-Table1[[#This Row],[Principal repaid]]-Table1[[#This Row],[Annual paym]]</f>
        <v>-8162876.0946883205</v>
      </c>
      <c r="H701" s="20">
        <f>H700-(Table1[[#This Row],[Payment amount]]-Table1[[#This Row],[Interest Paid W/O LSP]])</f>
        <v>-5255682.7110261293</v>
      </c>
      <c r="I701">
        <f>H700*Table1[[#This Row],[Current mortgage rate]]</f>
        <v>-25625.927580112428</v>
      </c>
      <c r="J701" s="25">
        <f>IF(Table1[[#This Row],[Month]]&gt;Table7[Amortization period (yrs)]*12,0,IF(Table1[[#This Row],[Month]]&lt;Table7[mortgage term (yrs)]*12,0,IF(Table1[[#This Row],[Month]]=Table7[mortgage term (yrs)]*12,-H$5,Table1[[#This Row],[Payment amount]]+B701)))</f>
        <v>0</v>
      </c>
      <c r="K701">
        <v>690</v>
      </c>
      <c r="L701">
        <f>Table7[Initial Monthly Deposit]*Table9[[#This Row],[Inflation Modifier]]</f>
        <v>1236.7154368852891</v>
      </c>
      <c r="M701">
        <f xml:space="preserve"> (1+Table7[Inflation])^(QUOTIENT(Table9[[#This Row],[Month]]-1,12))</f>
        <v>3.0917885922132227</v>
      </c>
      <c r="N701">
        <f>N700*(1+Table7[Monthly SF Inter])+Table9[[#This Row],[Monthly Payment]]-O700*(1+Table7[Monthly SF Inter])</f>
        <v>193598.94278795164</v>
      </c>
      <c r="O701">
        <f>IF(MOD(Table9[[#This Row],[Month]],12)=0,(IF(Table9[[#This Row],[Current Balance]]&lt;Table9[[#This Row],[Max Lump Sum ]],Table9[[#This Row],[Current Balance]],Table9[[#This Row],[Max Lump Sum ]])),0)</f>
        <v>0</v>
      </c>
      <c r="P701" s="21">
        <f>Table7[Max annual lump sum repayment]*SUM(C702:C713)</f>
        <v>7880.3958913442566</v>
      </c>
      <c r="Q701" s="25">
        <f>Q700*(1+Table7[Monthly SF Inter])+Table9[[#This Row],[Inflation Modifier]]-R700*(1+Table7[Monthly SF Inter])</f>
        <v>18.743040554209436</v>
      </c>
      <c r="R701" s="25">
        <f>IF(MOD(Table9[[#This Row],[Month]],12)=0,Table9[[#This Row],[Q2 ACC FACTOR]],0)</f>
        <v>0</v>
      </c>
      <c r="S701" s="25">
        <f>S700*(1+D700)+Table9[[#This Row],[ACC FACTOR PAYMENTS]]</f>
        <v>7826.2422889700683</v>
      </c>
    </row>
    <row r="702" spans="1:19" x14ac:dyDescent="0.25">
      <c r="A702" s="1">
        <v>690</v>
      </c>
      <c r="B702" s="1">
        <f t="shared" si="10"/>
        <v>0</v>
      </c>
      <c r="C702" s="7">
        <f>G$12/-PV(Table7[Monthly mortgage rate], (12*Table7[Amortization period (yrs)]),1 )</f>
        <v>4377.9977174134756</v>
      </c>
      <c r="D702" s="11">
        <f>IF(Table1[[#This Row],[Month]]&lt;=(12*Table7[mortgage term (yrs)]),Table7[Monthly mortgage rate],Table7[Monthly Exp Renewal Rate])</f>
        <v>4.9038466830562122E-3</v>
      </c>
      <c r="E702" s="21">
        <f>Table1[[#This Row],[Current mortgage rate]]*G701</f>
        <v>-40029.492861136168</v>
      </c>
      <c r="F702" s="5">
        <f>Table1[[#This Row],[Payment amount]]-Table1[[#This Row],[Interest paid]]</f>
        <v>44407.490578549645</v>
      </c>
      <c r="G702" s="20">
        <f>G701-Table1[[#This Row],[Principal repaid]]-Table1[[#This Row],[Annual paym]]</f>
        <v>-8207283.5852668704</v>
      </c>
      <c r="H702" s="20">
        <f>H701-(Table1[[#This Row],[Payment amount]]-Table1[[#This Row],[Interest Paid W/O LSP]])</f>
        <v>-5285833.7709732037</v>
      </c>
      <c r="I702">
        <f>H701*Table1[[#This Row],[Current mortgage rate]]</f>
        <v>-25773.062229661366</v>
      </c>
      <c r="J702" s="25">
        <f>IF(Table1[[#This Row],[Month]]&gt;Table7[Amortization period (yrs)]*12,0,IF(Table1[[#This Row],[Month]]&lt;Table7[mortgage term (yrs)]*12,0,IF(Table1[[#This Row],[Month]]=Table7[mortgage term (yrs)]*12,-H$5,Table1[[#This Row],[Payment amount]]+B702)))</f>
        <v>0</v>
      </c>
      <c r="K702">
        <v>691</v>
      </c>
      <c r="L702">
        <f>Table7[Initial Monthly Deposit]*Table9[[#This Row],[Inflation Modifier]]</f>
        <v>1236.7154368852891</v>
      </c>
      <c r="M702">
        <f xml:space="preserve"> (1+Table7[Inflation])^(QUOTIENT(Table9[[#This Row],[Month]]-1,12))</f>
        <v>3.0917885922132227</v>
      </c>
      <c r="N702">
        <f>N701*(1+Table7[Monthly SF Inter])+Table9[[#This Row],[Monthly Payment]]-O701*(1+Table7[Monthly SF Inter])</f>
        <v>195634.04389903572</v>
      </c>
      <c r="O702">
        <f>IF(MOD(Table9[[#This Row],[Month]],12)=0,(IF(Table9[[#This Row],[Current Balance]]&lt;Table9[[#This Row],[Max Lump Sum ]],Table9[[#This Row],[Current Balance]],Table9[[#This Row],[Max Lump Sum ]])),0)</f>
        <v>0</v>
      </c>
      <c r="P702" s="21">
        <f>Table7[Max annual lump sum repayment]*SUM(C703:C714)</f>
        <v>7880.3958913442566</v>
      </c>
      <c r="Q702" s="25">
        <f>Q701*(1+Table7[Monthly SF Inter])+Table9[[#This Row],[Inflation Modifier]]-R701*(1+Table7[Monthly SF Inter])</f>
        <v>21.91212386122799</v>
      </c>
      <c r="R702" s="25">
        <f>IF(MOD(Table9[[#This Row],[Month]],12)=0,Table9[[#This Row],[Q2 ACC FACTOR]],0)</f>
        <v>0</v>
      </c>
      <c r="S702" s="25">
        <f>S701*(1+D701)+Table9[[#This Row],[ACC FACTOR PAYMENTS]]</f>
        <v>7864.620981259628</v>
      </c>
    </row>
    <row r="703" spans="1:19" x14ac:dyDescent="0.25">
      <c r="A703" s="1">
        <v>691</v>
      </c>
      <c r="B703" s="1">
        <f t="shared" si="10"/>
        <v>0</v>
      </c>
      <c r="C703" s="7">
        <f>G$12/-PV(Table7[Monthly mortgage rate], (12*Table7[Amortization period (yrs)]),1 )</f>
        <v>4377.9977174134756</v>
      </c>
      <c r="D703" s="11">
        <f>IF(Table1[[#This Row],[Month]]&lt;=(12*Table7[mortgage term (yrs)]),Table7[Monthly mortgage rate],Table7[Monthly Exp Renewal Rate])</f>
        <v>4.9038466830562122E-3</v>
      </c>
      <c r="E703" s="21">
        <f>Table1[[#This Row],[Current mortgage rate]]*G702</f>
        <v>-40247.260386512637</v>
      </c>
      <c r="F703" s="5">
        <f>Table1[[#This Row],[Payment amount]]-Table1[[#This Row],[Interest paid]]</f>
        <v>44625.258103926113</v>
      </c>
      <c r="G703" s="20">
        <f>G702-Table1[[#This Row],[Principal repaid]]-Table1[[#This Row],[Annual paym]]</f>
        <v>-8251908.8433707962</v>
      </c>
      <c r="H703" s="20">
        <f>H702-(Table1[[#This Row],[Payment amount]]-Table1[[#This Row],[Interest Paid W/O LSP]])</f>
        <v>-5316132.6870955909</v>
      </c>
      <c r="I703">
        <f>H702*Table1[[#This Row],[Current mortgage rate]]</f>
        <v>-25920.918404973454</v>
      </c>
      <c r="J703" s="25">
        <f>IF(Table1[[#This Row],[Month]]&gt;Table7[Amortization period (yrs)]*12,0,IF(Table1[[#This Row],[Month]]&lt;Table7[mortgage term (yrs)]*12,0,IF(Table1[[#This Row],[Month]]=Table7[mortgage term (yrs)]*12,-H$5,Table1[[#This Row],[Payment amount]]+B703)))</f>
        <v>0</v>
      </c>
      <c r="K703">
        <v>692</v>
      </c>
      <c r="L703">
        <f>Table7[Initial Monthly Deposit]*Table9[[#This Row],[Inflation Modifier]]</f>
        <v>1236.7154368852891</v>
      </c>
      <c r="M703">
        <f xml:space="preserve"> (1+Table7[Inflation])^(QUOTIENT(Table9[[#This Row],[Month]]-1,12))</f>
        <v>3.0917885922132227</v>
      </c>
      <c r="N703">
        <f>N702*(1+Table7[Monthly SF Inter])+Table9[[#This Row],[Monthly Payment]]-O702*(1+Table7[Monthly SF Inter])</f>
        <v>197677.53759506493</v>
      </c>
      <c r="O703">
        <f>IF(MOD(Table9[[#This Row],[Month]],12)=0,(IF(Table9[[#This Row],[Current Balance]]&lt;Table9[[#This Row],[Max Lump Sum ]],Table9[[#This Row],[Current Balance]],Table9[[#This Row],[Max Lump Sum ]])),0)</f>
        <v>0</v>
      </c>
      <c r="P703" s="21">
        <f>Table7[Max annual lump sum repayment]*SUM(C704:C715)</f>
        <v>7880.3958913442566</v>
      </c>
      <c r="Q703" s="25">
        <f>Q702*(1+Table7[Monthly SF Inter])+Table9[[#This Row],[Inflation Modifier]]-R702*(1+Table7[Monthly SF Inter])</f>
        <v>25.094276199906687</v>
      </c>
      <c r="R703" s="25">
        <f>IF(MOD(Table9[[#This Row],[Month]],12)=0,Table9[[#This Row],[Q2 ACC FACTOR]],0)</f>
        <v>0</v>
      </c>
      <c r="S703" s="25">
        <f>S702*(1+D702)+Table9[[#This Row],[ACC FACTOR PAYMENTS]]</f>
        <v>7903.1878767720727</v>
      </c>
    </row>
    <row r="704" spans="1:19" x14ac:dyDescent="0.25">
      <c r="A704" s="1">
        <v>692</v>
      </c>
      <c r="B704" s="1">
        <f t="shared" si="10"/>
        <v>0</v>
      </c>
      <c r="C704" s="7">
        <f>G$12/-PV(Table7[Monthly mortgage rate], (12*Table7[Amortization period (yrs)]),1 )</f>
        <v>4377.9977174134756</v>
      </c>
      <c r="D704" s="11">
        <f>IF(Table1[[#This Row],[Month]]&lt;=(12*Table7[mortgage term (yrs)]),Table7[Monthly mortgage rate],Table7[Monthly Exp Renewal Rate])</f>
        <v>4.9038466830562122E-3</v>
      </c>
      <c r="E704" s="21">
        <f>Table1[[#This Row],[Current mortgage rate]]*G703</f>
        <v>-40466.095810446102</v>
      </c>
      <c r="F704" s="5">
        <f>Table1[[#This Row],[Payment amount]]-Table1[[#This Row],[Interest paid]]</f>
        <v>44844.093527859579</v>
      </c>
      <c r="G704" s="20">
        <f>G703-Table1[[#This Row],[Principal repaid]]-Table1[[#This Row],[Annual paym]]</f>
        <v>-8296752.9368986562</v>
      </c>
      <c r="H704" s="20">
        <f>H703-(Table1[[#This Row],[Payment amount]]-Table1[[#This Row],[Interest Paid W/O LSP]])</f>
        <v>-5346580.1844573049</v>
      </c>
      <c r="I704">
        <f>H703*Table1[[#This Row],[Current mortgage rate]]</f>
        <v>-26069.49964430042</v>
      </c>
      <c r="J704" s="25">
        <f>IF(Table1[[#This Row],[Month]]&gt;Table7[Amortization period (yrs)]*12,0,IF(Table1[[#This Row],[Month]]&lt;Table7[mortgage term (yrs)]*12,0,IF(Table1[[#This Row],[Month]]=Table7[mortgage term (yrs)]*12,-H$5,Table1[[#This Row],[Payment amount]]+B704)))</f>
        <v>0</v>
      </c>
      <c r="K704">
        <v>693</v>
      </c>
      <c r="L704">
        <f>Table7[Initial Monthly Deposit]*Table9[[#This Row],[Inflation Modifier]]</f>
        <v>1236.7154368852891</v>
      </c>
      <c r="M704">
        <f xml:space="preserve"> (1+Table7[Inflation])^(QUOTIENT(Table9[[#This Row],[Month]]-1,12))</f>
        <v>3.0917885922132227</v>
      </c>
      <c r="N704">
        <f>N703*(1+Table7[Monthly SF Inter])+Table9[[#This Row],[Monthly Payment]]-O703*(1+Table7[Monthly SF Inter])</f>
        <v>199729.45848635014</v>
      </c>
      <c r="O704">
        <f>IF(MOD(Table9[[#This Row],[Month]],12)=0,(IF(Table9[[#This Row],[Current Balance]]&lt;Table9[[#This Row],[Max Lump Sum ]],Table9[[#This Row],[Current Balance]],Table9[[#This Row],[Max Lump Sum ]])),0)</f>
        <v>0</v>
      </c>
      <c r="P704" s="21">
        <f>Table7[Max annual lump sum repayment]*SUM(C705:C716)</f>
        <v>7880.3958913442566</v>
      </c>
      <c r="Q704" s="25">
        <f>Q703*(1+Table7[Monthly SF Inter])+Table9[[#This Row],[Inflation Modifier]]-R703*(1+Table7[Monthly SF Inter])</f>
        <v>28.289551465827309</v>
      </c>
      <c r="R704" s="25">
        <f>IF(MOD(Table9[[#This Row],[Month]],12)=0,Table9[[#This Row],[Q2 ACC FACTOR]],0)</f>
        <v>0</v>
      </c>
      <c r="S704" s="25">
        <f>S703*(1+D703)+Table9[[#This Row],[ACC FACTOR PAYMENTS]]</f>
        <v>7941.9438984271519</v>
      </c>
    </row>
    <row r="705" spans="1:19" x14ac:dyDescent="0.25">
      <c r="A705" s="1">
        <v>693</v>
      </c>
      <c r="B705" s="1">
        <f t="shared" si="10"/>
        <v>0</v>
      </c>
      <c r="C705" s="7">
        <f>G$12/-PV(Table7[Monthly mortgage rate], (12*Table7[Amortization period (yrs)]),1 )</f>
        <v>4377.9977174134756</v>
      </c>
      <c r="D705" s="11">
        <f>IF(Table1[[#This Row],[Month]]&lt;=(12*Table7[mortgage term (yrs)]),Table7[Monthly mortgage rate],Table7[Monthly Exp Renewal Rate])</f>
        <v>4.9038466830562122E-3</v>
      </c>
      <c r="E705" s="21">
        <f>Table1[[#This Row],[Current mortgage rate]]*G704</f>
        <v>-40686.004369747359</v>
      </c>
      <c r="F705" s="5">
        <f>Table1[[#This Row],[Payment amount]]-Table1[[#This Row],[Interest paid]]</f>
        <v>45064.002087160836</v>
      </c>
      <c r="G705" s="20">
        <f>G704-Table1[[#This Row],[Principal repaid]]-Table1[[#This Row],[Annual paym]]</f>
        <v>-8341816.9389858171</v>
      </c>
      <c r="H705" s="20">
        <f>H704-(Table1[[#This Row],[Payment amount]]-Table1[[#This Row],[Interest Paid W/O LSP]])</f>
        <v>-5377176.9916779632</v>
      </c>
      <c r="I705">
        <f>H704*Table1[[#This Row],[Current mortgage rate]]</f>
        <v>-26218.809503245026</v>
      </c>
      <c r="J705" s="25">
        <f>IF(Table1[[#This Row],[Month]]&gt;Table7[Amortization period (yrs)]*12,0,IF(Table1[[#This Row],[Month]]&lt;Table7[mortgage term (yrs)]*12,0,IF(Table1[[#This Row],[Month]]=Table7[mortgage term (yrs)]*12,-H$5,Table1[[#This Row],[Payment amount]]+B705)))</f>
        <v>0</v>
      </c>
      <c r="K705">
        <v>694</v>
      </c>
      <c r="L705">
        <f>Table7[Initial Monthly Deposit]*Table9[[#This Row],[Inflation Modifier]]</f>
        <v>1236.7154368852891</v>
      </c>
      <c r="M705">
        <f xml:space="preserve"> (1+Table7[Inflation])^(QUOTIENT(Table9[[#This Row],[Month]]-1,12))</f>
        <v>3.0917885922132227</v>
      </c>
      <c r="N705">
        <f>N704*(1+Table7[Monthly SF Inter])+Table9[[#This Row],[Monthly Payment]]-O704*(1+Table7[Monthly SF Inter])</f>
        <v>201789.84132593215</v>
      </c>
      <c r="O705">
        <f>IF(MOD(Table9[[#This Row],[Month]],12)=0,(IF(Table9[[#This Row],[Current Balance]]&lt;Table9[[#This Row],[Max Lump Sum ]],Table9[[#This Row],[Current Balance]],Table9[[#This Row],[Max Lump Sum ]])),0)</f>
        <v>0</v>
      </c>
      <c r="P705" s="21">
        <f>Table7[Max annual lump sum repayment]*SUM(C706:C717)</f>
        <v>7880.3958913442566</v>
      </c>
      <c r="Q705" s="25">
        <f>Q704*(1+Table7[Monthly SF Inter])+Table9[[#This Row],[Inflation Modifier]]-R704*(1+Table7[Monthly SF Inter])</f>
        <v>31.498003776832451</v>
      </c>
      <c r="R705" s="25">
        <f>IF(MOD(Table9[[#This Row],[Month]],12)=0,Table9[[#This Row],[Q2 ACC FACTOR]],0)</f>
        <v>0</v>
      </c>
      <c r="S705" s="25">
        <f>S704*(1+D704)+Table9[[#This Row],[ACC FACTOR PAYMENTS]]</f>
        <v>7980.8899736704725</v>
      </c>
    </row>
    <row r="706" spans="1:19" x14ac:dyDescent="0.25">
      <c r="A706" s="1">
        <v>694</v>
      </c>
      <c r="B706" s="1">
        <f t="shared" si="10"/>
        <v>0</v>
      </c>
      <c r="C706" s="7">
        <f>G$12/-PV(Table7[Monthly mortgage rate], (12*Table7[Amortization period (yrs)]),1 )</f>
        <v>4377.9977174134756</v>
      </c>
      <c r="D706" s="11">
        <f>IF(Table1[[#This Row],[Month]]&lt;=(12*Table7[mortgage term (yrs)]),Table7[Monthly mortgage rate],Table7[Monthly Exp Renewal Rate])</f>
        <v>4.9038466830562122E-3</v>
      </c>
      <c r="E706" s="21">
        <f>Table1[[#This Row],[Current mortgage rate]]*G705</f>
        <v>-40906.991326907722</v>
      </c>
      <c r="F706" s="5">
        <f>Table1[[#This Row],[Payment amount]]-Table1[[#This Row],[Interest paid]]</f>
        <v>45284.989044321199</v>
      </c>
      <c r="G706" s="20">
        <f>G705-Table1[[#This Row],[Principal repaid]]-Table1[[#This Row],[Annual paym]]</f>
        <v>-8387101.9280301379</v>
      </c>
      <c r="H706" s="20">
        <f>H705-(Table1[[#This Row],[Payment amount]]-Table1[[#This Row],[Interest Paid W/O LSP]])</f>
        <v>-5407923.8409502227</v>
      </c>
      <c r="I706">
        <f>H705*Table1[[#This Row],[Current mortgage rate]]</f>
        <v>-26368.851554846162</v>
      </c>
      <c r="J706" s="25">
        <f>IF(Table1[[#This Row],[Month]]&gt;Table7[Amortization period (yrs)]*12,0,IF(Table1[[#This Row],[Month]]&lt;Table7[mortgage term (yrs)]*12,0,IF(Table1[[#This Row],[Month]]=Table7[mortgage term (yrs)]*12,-H$5,Table1[[#This Row],[Payment amount]]+B706)))</f>
        <v>0</v>
      </c>
      <c r="K706">
        <v>695</v>
      </c>
      <c r="L706">
        <f>Table7[Initial Monthly Deposit]*Table9[[#This Row],[Inflation Modifier]]</f>
        <v>1236.7154368852891</v>
      </c>
      <c r="M706">
        <f xml:space="preserve"> (1+Table7[Inflation])^(QUOTIENT(Table9[[#This Row],[Month]]-1,12))</f>
        <v>3.0917885922132227</v>
      </c>
      <c r="N706">
        <f>N705*(1+Table7[Monthly SF Inter])+Table9[[#This Row],[Monthly Payment]]-O705*(1+Table7[Monthly SF Inter])</f>
        <v>203858.72101017044</v>
      </c>
      <c r="O706">
        <f>IF(MOD(Table9[[#This Row],[Month]],12)=0,(IF(Table9[[#This Row],[Current Balance]]&lt;Table9[[#This Row],[Max Lump Sum ]],Table9[[#This Row],[Current Balance]],Table9[[#This Row],[Max Lump Sum ]])),0)</f>
        <v>0</v>
      </c>
      <c r="P706" s="21">
        <f>Table7[Max annual lump sum repayment]*SUM(C707:C718)</f>
        <v>7880.3958913442566</v>
      </c>
      <c r="Q706" s="25">
        <f>Q705*(1+Table7[Monthly SF Inter])+Table9[[#This Row],[Inflation Modifier]]-R705*(1+Table7[Monthly SF Inter])</f>
        <v>34.719687473942123</v>
      </c>
      <c r="R706" s="25">
        <f>IF(MOD(Table9[[#This Row],[Month]],12)=0,Table9[[#This Row],[Q2 ACC FACTOR]],0)</f>
        <v>0</v>
      </c>
      <c r="S706" s="25">
        <f>S705*(1+D705)+Table9[[#This Row],[ACC FACTOR PAYMENTS]]</f>
        <v>8020.0270344956934</v>
      </c>
    </row>
    <row r="707" spans="1:19" x14ac:dyDescent="0.25">
      <c r="A707" s="1">
        <v>695</v>
      </c>
      <c r="B707" s="1">
        <f t="shared" si="10"/>
        <v>0</v>
      </c>
      <c r="C707" s="7">
        <f>G$12/-PV(Table7[Monthly mortgage rate], (12*Table7[Amortization period (yrs)]),1 )</f>
        <v>4377.9977174134756</v>
      </c>
      <c r="D707" s="11">
        <f>IF(Table1[[#This Row],[Month]]&lt;=(12*Table7[mortgage term (yrs)]),Table7[Monthly mortgage rate],Table7[Monthly Exp Renewal Rate])</f>
        <v>4.9038466830562122E-3</v>
      </c>
      <c r="E707" s="21">
        <f>Table1[[#This Row],[Current mortgage rate]]*G706</f>
        <v>-41129.061970224953</v>
      </c>
      <c r="F707" s="5">
        <f>Table1[[#This Row],[Payment amount]]-Table1[[#This Row],[Interest paid]]</f>
        <v>45507.05968763843</v>
      </c>
      <c r="G707" s="20">
        <f>G706-Table1[[#This Row],[Principal repaid]]-Table1[[#This Row],[Annual paym]]</f>
        <v>-8432608.9877177756</v>
      </c>
      <c r="H707" s="20">
        <f>H706-(Table1[[#This Row],[Payment amount]]-Table1[[#This Row],[Interest Paid W/O LSP]])</f>
        <v>-5438821.4680573009</v>
      </c>
      <c r="I707">
        <f>H706*Table1[[#This Row],[Current mortgage rate]]</f>
        <v>-26519.629389664362</v>
      </c>
      <c r="J707" s="25">
        <f>IF(Table1[[#This Row],[Month]]&gt;Table7[Amortization period (yrs)]*12,0,IF(Table1[[#This Row],[Month]]&lt;Table7[mortgage term (yrs)]*12,0,IF(Table1[[#This Row],[Month]]=Table7[mortgage term (yrs)]*12,-H$5,Table1[[#This Row],[Payment amount]]+B707)))</f>
        <v>0</v>
      </c>
      <c r="K707">
        <v>696</v>
      </c>
      <c r="L707">
        <f>Table7[Initial Monthly Deposit]*Table9[[#This Row],[Inflation Modifier]]</f>
        <v>1236.7154368852891</v>
      </c>
      <c r="M707">
        <f xml:space="preserve"> (1+Table7[Inflation])^(QUOTIENT(Table9[[#This Row],[Month]]-1,12))</f>
        <v>3.0917885922132227</v>
      </c>
      <c r="N707">
        <f>N706*(1+Table7[Monthly SF Inter])+Table9[[#This Row],[Monthly Payment]]-O706*(1+Table7[Monthly SF Inter])</f>
        <v>205936.13257933408</v>
      </c>
      <c r="O707">
        <f>IF(MOD(Table9[[#This Row],[Month]],12)=0,(IF(Table9[[#This Row],[Current Balance]]&lt;Table9[[#This Row],[Max Lump Sum ]],Table9[[#This Row],[Current Balance]],Table9[[#This Row],[Max Lump Sum ]])),0)</f>
        <v>7880.3958913442566</v>
      </c>
      <c r="P707" s="21">
        <f>Table7[Max annual lump sum repayment]*SUM(C708:C719)</f>
        <v>7880.3958913442566</v>
      </c>
      <c r="Q707" s="25">
        <f>Q706*(1+Table7[Monthly SF Inter])+Table9[[#This Row],[Inflation Modifier]]-R706*(1+Table7[Monthly SF Inter])</f>
        <v>37.954657122274106</v>
      </c>
      <c r="R707" s="25">
        <f>IF(MOD(Table9[[#This Row],[Month]],12)=0,Table9[[#This Row],[Q2 ACC FACTOR]],0)</f>
        <v>37.954657122274106</v>
      </c>
      <c r="S707" s="25">
        <f>S706*(1+D706)+Table9[[#This Row],[ACC FACTOR PAYMENTS]]</f>
        <v>8097.3106745891009</v>
      </c>
    </row>
    <row r="708" spans="1:19" x14ac:dyDescent="0.25">
      <c r="A708" s="1">
        <v>696</v>
      </c>
      <c r="B708" s="1">
        <f t="shared" si="10"/>
        <v>7880.3958913442566</v>
      </c>
      <c r="C708" s="7">
        <f>G$12/-PV(Table7[Monthly mortgage rate], (12*Table7[Amortization period (yrs)]),1 )</f>
        <v>4377.9977174134756</v>
      </c>
      <c r="D708" s="11">
        <f>IF(Table1[[#This Row],[Month]]&lt;=(12*Table7[mortgage term (yrs)]),Table7[Monthly mortgage rate],Table7[Monthly Exp Renewal Rate])</f>
        <v>4.9038466830562122E-3</v>
      </c>
      <c r="E708" s="21">
        <f>Table1[[#This Row],[Current mortgage rate]]*G707</f>
        <v>-41352.221613929818</v>
      </c>
      <c r="F708" s="5">
        <f>Table1[[#This Row],[Payment amount]]-Table1[[#This Row],[Interest paid]]</f>
        <v>45730.219331343294</v>
      </c>
      <c r="G708" s="20">
        <f>G707-Table1[[#This Row],[Principal repaid]]-Table1[[#This Row],[Annual paym]]</f>
        <v>-8486219.6029404625</v>
      </c>
      <c r="H708" s="20">
        <f>H707-(Table1[[#This Row],[Payment amount]]-Table1[[#This Row],[Interest Paid W/O LSP]])</f>
        <v>-5469870.6123905824</v>
      </c>
      <c r="I708">
        <f>H707*Table1[[#This Row],[Current mortgage rate]]</f>
        <v>-26671.146615867714</v>
      </c>
      <c r="J708" s="25">
        <f>IF(Table1[[#This Row],[Month]]&gt;Table7[Amortization period (yrs)]*12,0,IF(Table1[[#This Row],[Month]]&lt;Table7[mortgage term (yrs)]*12,0,IF(Table1[[#This Row],[Month]]=Table7[mortgage term (yrs)]*12,-H$5,Table1[[#This Row],[Payment amount]]+B708)))</f>
        <v>0</v>
      </c>
      <c r="K708">
        <v>697</v>
      </c>
      <c r="L708">
        <f>Table7[Initial Monthly Deposit]*Table9[[#This Row],[Inflation Modifier]]</f>
        <v>1261.4497456229949</v>
      </c>
      <c r="M708">
        <f xml:space="preserve"> (1+Table7[Inflation])^(QUOTIENT(Table9[[#This Row],[Month]]-1,12))</f>
        <v>3.1536243640574875</v>
      </c>
      <c r="N708">
        <f>N707*(1+Table7[Monthly SF Inter])+Table9[[#This Row],[Monthly Payment]]-O707*(1+Table7[Monthly SF Inter])</f>
        <v>200133.95154910095</v>
      </c>
      <c r="O708">
        <f>IF(MOD(Table9[[#This Row],[Month]],12)=0,(IF(Table9[[#This Row],[Current Balance]]&lt;Table9[[#This Row],[Max Lump Sum ]],Table9[[#This Row],[Current Balance]],Table9[[#This Row],[Max Lump Sum ]])),0)</f>
        <v>0</v>
      </c>
      <c r="P708" s="21">
        <f>Table7[Max annual lump sum repayment]*SUM(C709:C720)</f>
        <v>7880.3958913442566</v>
      </c>
      <c r="Q708" s="25">
        <f>Q707*(1+Table7[Monthly SF Inter])+Table9[[#This Row],[Inflation Modifier]]-R707*(1+Table7[Monthly SF Inter])</f>
        <v>3.1536243640574853</v>
      </c>
      <c r="R708" s="25">
        <f>IF(MOD(Table9[[#This Row],[Month]],12)=0,Table9[[#This Row],[Q2 ACC FACTOR]],0)</f>
        <v>0</v>
      </c>
      <c r="S708" s="25">
        <f>S707*(1+D707)+Table9[[#This Row],[ACC FACTOR PAYMENTS]]</f>
        <v>8137.01864468236</v>
      </c>
    </row>
    <row r="709" spans="1:19" x14ac:dyDescent="0.25">
      <c r="A709" s="1">
        <v>697</v>
      </c>
      <c r="B709" s="1">
        <f t="shared" si="10"/>
        <v>0</v>
      </c>
      <c r="C709" s="7">
        <f>G$12/-PV(Table7[Monthly mortgage rate], (12*Table7[Amortization period (yrs)]),1 )</f>
        <v>4377.9977174134756</v>
      </c>
      <c r="D709" s="11">
        <f>IF(Table1[[#This Row],[Month]]&lt;=(12*Table7[mortgage term (yrs)]),Table7[Monthly mortgage rate],Table7[Monthly Exp Renewal Rate])</f>
        <v>4.9038466830562122E-3</v>
      </c>
      <c r="E709" s="21">
        <f>Table1[[#This Row],[Current mortgage rate]]*G708</f>
        <v>-41615.119851566196</v>
      </c>
      <c r="F709" s="5">
        <f>Table1[[#This Row],[Payment amount]]-Table1[[#This Row],[Interest paid]]</f>
        <v>45993.117568979673</v>
      </c>
      <c r="G709" s="20">
        <f>G708-Table1[[#This Row],[Principal repaid]]-Table1[[#This Row],[Annual paym]]</f>
        <v>-8532212.7205094416</v>
      </c>
      <c r="H709" s="20">
        <f>H708-(Table1[[#This Row],[Payment amount]]-Table1[[#This Row],[Interest Paid W/O LSP]])</f>
        <v>-5501072.0169673143</v>
      </c>
      <c r="I709">
        <f>H708*Table1[[#This Row],[Current mortgage rate]]</f>
        <v>-26823.406859318209</v>
      </c>
      <c r="J709" s="25">
        <f>IF(Table1[[#This Row],[Month]]&gt;Table7[Amortization period (yrs)]*12,0,IF(Table1[[#This Row],[Month]]&lt;Table7[mortgage term (yrs)]*12,0,IF(Table1[[#This Row],[Month]]=Table7[mortgage term (yrs)]*12,-H$5,Table1[[#This Row],[Payment amount]]+B709)))</f>
        <v>0</v>
      </c>
      <c r="K709">
        <v>698</v>
      </c>
      <c r="L709">
        <f>Table7[Initial Monthly Deposit]*Table9[[#This Row],[Inflation Modifier]]</f>
        <v>1261.4497456229949</v>
      </c>
      <c r="M709">
        <f xml:space="preserve"> (1+Table7[Inflation])^(QUOTIENT(Table9[[#This Row],[Month]]-1,12))</f>
        <v>3.1536243640574875</v>
      </c>
      <c r="N709">
        <f>N708*(1+Table7[Monthly SF Inter])+Table9[[#This Row],[Monthly Payment]]-O708*(1+Table7[Monthly SF Inter])</f>
        <v>202220.73679261771</v>
      </c>
      <c r="O709">
        <f>IF(MOD(Table9[[#This Row],[Month]],12)=0,(IF(Table9[[#This Row],[Current Balance]]&lt;Table9[[#This Row],[Max Lump Sum ]],Table9[[#This Row],[Current Balance]],Table9[[#This Row],[Max Lump Sum ]])),0)</f>
        <v>0</v>
      </c>
      <c r="P709" s="21">
        <f>Table7[Max annual lump sum repayment]*SUM(C710:C721)</f>
        <v>7880.3958913442566</v>
      </c>
      <c r="Q709" s="25">
        <f>Q708*(1+Table7[Monthly SF Inter])+Table9[[#This Row],[Inflation Modifier]]-R708*(1+Table7[Monthly SF Inter])</f>
        <v>6.3202540084011645</v>
      </c>
      <c r="R709" s="25">
        <f>IF(MOD(Table9[[#This Row],[Month]],12)=0,Table9[[#This Row],[Q2 ACC FACTOR]],0)</f>
        <v>0</v>
      </c>
      <c r="S709" s="25">
        <f>S708*(1+D708)+Table9[[#This Row],[ACC FACTOR PAYMENTS]]</f>
        <v>8176.921336573052</v>
      </c>
    </row>
    <row r="710" spans="1:19" x14ac:dyDescent="0.25">
      <c r="A710" s="1">
        <v>698</v>
      </c>
      <c r="B710" s="1">
        <f t="shared" si="10"/>
        <v>0</v>
      </c>
      <c r="C710" s="7">
        <f>G$12/-PV(Table7[Monthly mortgage rate], (12*Table7[Amortization period (yrs)]),1 )</f>
        <v>4377.9977174134756</v>
      </c>
      <c r="D710" s="11">
        <f>IF(Table1[[#This Row],[Month]]&lt;=(12*Table7[mortgage term (yrs)]),Table7[Monthly mortgage rate],Table7[Monthly Exp Renewal Rate])</f>
        <v>4.9038466830562122E-3</v>
      </c>
      <c r="E710" s="21">
        <f>Table1[[#This Row],[Current mortgage rate]]*G709</f>
        <v>-41840.663048600247</v>
      </c>
      <c r="F710" s="5">
        <f>Table1[[#This Row],[Payment amount]]-Table1[[#This Row],[Interest paid]]</f>
        <v>46218.660766013723</v>
      </c>
      <c r="G710" s="20">
        <f>G709-Table1[[#This Row],[Principal repaid]]-Table1[[#This Row],[Annual paym]]</f>
        <v>-8578431.3812754545</v>
      </c>
      <c r="H710" s="20">
        <f>H709-(Table1[[#This Row],[Payment amount]]-Table1[[#This Row],[Interest Paid W/O LSP]])</f>
        <v>-5532426.4284483865</v>
      </c>
      <c r="I710">
        <f>H709*Table1[[#This Row],[Current mortgage rate]]</f>
        <v>-26976.413763658511</v>
      </c>
      <c r="J710" s="25">
        <f>IF(Table1[[#This Row],[Month]]&gt;Table7[Amortization period (yrs)]*12,0,IF(Table1[[#This Row],[Month]]&lt;Table7[mortgage term (yrs)]*12,0,IF(Table1[[#This Row],[Month]]=Table7[mortgage term (yrs)]*12,-H$5,Table1[[#This Row],[Payment amount]]+B710)))</f>
        <v>0</v>
      </c>
      <c r="K710">
        <v>699</v>
      </c>
      <c r="L710">
        <f>Table7[Initial Monthly Deposit]*Table9[[#This Row],[Inflation Modifier]]</f>
        <v>1261.4497456229949</v>
      </c>
      <c r="M710">
        <f xml:space="preserve"> (1+Table7[Inflation])^(QUOTIENT(Table9[[#This Row],[Month]]-1,12))</f>
        <v>3.1536243640574875</v>
      </c>
      <c r="N710">
        <f>N709*(1+Table7[Monthly SF Inter])+Table9[[#This Row],[Monthly Payment]]-O709*(1+Table7[Monthly SF Inter])</f>
        <v>204316.12776207263</v>
      </c>
      <c r="O710">
        <f>IF(MOD(Table9[[#This Row],[Month]],12)=0,(IF(Table9[[#This Row],[Current Balance]]&lt;Table9[[#This Row],[Max Lump Sum ]],Table9[[#This Row],[Current Balance]],Table9[[#This Row],[Max Lump Sum ]])),0)</f>
        <v>0</v>
      </c>
      <c r="P710" s="21">
        <f>Table7[Max annual lump sum repayment]*SUM(C711:C722)</f>
        <v>7880.3958913442566</v>
      </c>
      <c r="Q710" s="25">
        <f>Q709*(1+Table7[Monthly SF Inter])+Table9[[#This Row],[Inflation Modifier]]-R709*(1+Table7[Monthly SF Inter])</f>
        <v>9.4999425657075367</v>
      </c>
      <c r="R710" s="25">
        <f>IF(MOD(Table9[[#This Row],[Month]],12)=0,Table9[[#This Row],[Q2 ACC FACTOR]],0)</f>
        <v>0</v>
      </c>
      <c r="S710" s="25">
        <f>S709*(1+D709)+Table9[[#This Row],[ACC FACTOR PAYMENTS]]</f>
        <v>8217.0197051470168</v>
      </c>
    </row>
    <row r="711" spans="1:19" x14ac:dyDescent="0.25">
      <c r="A711" s="1">
        <v>699</v>
      </c>
      <c r="B711" s="1">
        <f t="shared" si="10"/>
        <v>0</v>
      </c>
      <c r="C711" s="7">
        <f>G$12/-PV(Table7[Monthly mortgage rate], (12*Table7[Amortization period (yrs)]),1 )</f>
        <v>4377.9977174134756</v>
      </c>
      <c r="D711" s="11">
        <f>IF(Table1[[#This Row],[Month]]&lt;=(12*Table7[mortgage term (yrs)]),Table7[Monthly mortgage rate],Table7[Monthly Exp Renewal Rate])</f>
        <v>4.9038466830562122E-3</v>
      </c>
      <c r="E711" s="21">
        <f>Table1[[#This Row],[Current mortgage rate]]*G710</f>
        <v>-42067.31227489296</v>
      </c>
      <c r="F711" s="5">
        <f>Table1[[#This Row],[Payment amount]]-Table1[[#This Row],[Interest paid]]</f>
        <v>46445.309992306436</v>
      </c>
      <c r="G711" s="20">
        <f>G710-Table1[[#This Row],[Principal repaid]]-Table1[[#This Row],[Annual paym]]</f>
        <v>-8624876.6912677605</v>
      </c>
      <c r="H711" s="20">
        <f>H710-(Table1[[#This Row],[Payment amount]]-Table1[[#This Row],[Interest Paid W/O LSP]])</f>
        <v>-5563934.5971561987</v>
      </c>
      <c r="I711">
        <f>H710*Table1[[#This Row],[Current mortgage rate]]</f>
        <v>-27130.170990399147</v>
      </c>
      <c r="J711" s="25">
        <f>IF(Table1[[#This Row],[Month]]&gt;Table7[Amortization period (yrs)]*12,0,IF(Table1[[#This Row],[Month]]&lt;Table7[mortgage term (yrs)]*12,0,IF(Table1[[#This Row],[Month]]=Table7[mortgage term (yrs)]*12,-H$5,Table1[[#This Row],[Payment amount]]+B711)))</f>
        <v>0</v>
      </c>
      <c r="K711">
        <v>700</v>
      </c>
      <c r="L711">
        <f>Table7[Initial Monthly Deposit]*Table9[[#This Row],[Inflation Modifier]]</f>
        <v>1261.4497456229949</v>
      </c>
      <c r="M711">
        <f xml:space="preserve"> (1+Table7[Inflation])^(QUOTIENT(Table9[[#This Row],[Month]]-1,12))</f>
        <v>3.1536243640574875</v>
      </c>
      <c r="N711">
        <f>N710*(1+Table7[Monthly SF Inter])+Table9[[#This Row],[Monthly Payment]]-O710*(1+Table7[Monthly SF Inter])</f>
        <v>206420.15994675201</v>
      </c>
      <c r="O711">
        <f>IF(MOD(Table9[[#This Row],[Month]],12)=0,(IF(Table9[[#This Row],[Current Balance]]&lt;Table9[[#This Row],[Max Lump Sum ]],Table9[[#This Row],[Current Balance]],Table9[[#This Row],[Max Lump Sum ]])),0)</f>
        <v>0</v>
      </c>
      <c r="P711" s="21">
        <f>Table7[Max annual lump sum repayment]*SUM(C712:C723)</f>
        <v>7880.3958913442566</v>
      </c>
      <c r="Q711" s="25">
        <f>Q710*(1+Table7[Monthly SF Inter])+Table9[[#This Row],[Inflation Modifier]]-R710*(1+Table7[Monthly SF Inter])</f>
        <v>12.692743889829726</v>
      </c>
      <c r="R711" s="25">
        <f>IF(MOD(Table9[[#This Row],[Month]],12)=0,Table9[[#This Row],[Q2 ACC FACTOR]],0)</f>
        <v>0</v>
      </c>
      <c r="S711" s="25">
        <f>S710*(1+D710)+Table9[[#This Row],[ACC FACTOR PAYMENTS]]</f>
        <v>8257.3147099727103</v>
      </c>
    </row>
    <row r="712" spans="1:19" x14ac:dyDescent="0.25">
      <c r="A712" s="1">
        <v>700</v>
      </c>
      <c r="B712" s="1">
        <f t="shared" si="10"/>
        <v>0</v>
      </c>
      <c r="C712" s="7">
        <f>G$12/-PV(Table7[Monthly mortgage rate], (12*Table7[Amortization period (yrs)]),1 )</f>
        <v>4377.9977174134756</v>
      </c>
      <c r="D712" s="11">
        <f>IF(Table1[[#This Row],[Month]]&lt;=(12*Table7[mortgage term (yrs)]),Table7[Monthly mortgage rate],Table7[Monthly Exp Renewal Rate])</f>
        <v>4.9038466830562122E-3</v>
      </c>
      <c r="E712" s="21">
        <f>Table1[[#This Row],[Current mortgage rate]]*G711</f>
        <v>-42295.072954242249</v>
      </c>
      <c r="F712" s="5">
        <f>Table1[[#This Row],[Payment amount]]-Table1[[#This Row],[Interest paid]]</f>
        <v>46673.070671655725</v>
      </c>
      <c r="G712" s="20">
        <f>G711-Table1[[#This Row],[Principal repaid]]-Table1[[#This Row],[Annual paym]]</f>
        <v>-8671549.7619394157</v>
      </c>
      <c r="H712" s="20">
        <f>H711-(Table1[[#This Row],[Payment amount]]-Table1[[#This Row],[Interest Paid W/O LSP]])</f>
        <v>-5595597.2770926179</v>
      </c>
      <c r="I712">
        <f>H711*Table1[[#This Row],[Current mortgage rate]]</f>
        <v>-27284.682219006128</v>
      </c>
      <c r="J712" s="25">
        <f>IF(Table1[[#This Row],[Month]]&gt;Table7[Amortization period (yrs)]*12,0,IF(Table1[[#This Row],[Month]]&lt;Table7[mortgage term (yrs)]*12,0,IF(Table1[[#This Row],[Month]]=Table7[mortgage term (yrs)]*12,-H$5,Table1[[#This Row],[Payment amount]]+B712)))</f>
        <v>0</v>
      </c>
      <c r="K712">
        <v>701</v>
      </c>
      <c r="L712">
        <f>Table7[Initial Monthly Deposit]*Table9[[#This Row],[Inflation Modifier]]</f>
        <v>1261.4497456229949</v>
      </c>
      <c r="M712">
        <f xml:space="preserve"> (1+Table7[Inflation])^(QUOTIENT(Table9[[#This Row],[Month]]-1,12))</f>
        <v>3.1536243640574875</v>
      </c>
      <c r="N712">
        <f>N711*(1+Table7[Monthly SF Inter])+Table9[[#This Row],[Monthly Payment]]-O711*(1+Table7[Monthly SF Inter])</f>
        <v>208532.86898229696</v>
      </c>
      <c r="O712">
        <f>IF(MOD(Table9[[#This Row],[Month]],12)=0,(IF(Table9[[#This Row],[Current Balance]]&lt;Table9[[#This Row],[Max Lump Sum ]],Table9[[#This Row],[Current Balance]],Table9[[#This Row],[Max Lump Sum ]])),0)</f>
        <v>0</v>
      </c>
      <c r="P712" s="21">
        <f>Table7[Max annual lump sum repayment]*SUM(C713:C724)</f>
        <v>7880.3958913442566</v>
      </c>
      <c r="Q712" s="25">
        <f>Q711*(1+Table7[Monthly SF Inter])+Table9[[#This Row],[Inflation Modifier]]-R711*(1+Table7[Monthly SF Inter])</f>
        <v>15.898712056709597</v>
      </c>
      <c r="R712" s="25">
        <f>IF(MOD(Table9[[#This Row],[Month]],12)=0,Table9[[#This Row],[Q2 ACC FACTOR]],0)</f>
        <v>0</v>
      </c>
      <c r="S712" s="25">
        <f>S711*(1+D711)+Table9[[#This Row],[ACC FACTOR PAYMENTS]]</f>
        <v>8297.8073153241603</v>
      </c>
    </row>
    <row r="713" spans="1:19" x14ac:dyDescent="0.25">
      <c r="A713" s="1">
        <v>701</v>
      </c>
      <c r="B713" s="1">
        <f t="shared" si="10"/>
        <v>0</v>
      </c>
      <c r="C713" s="7">
        <f>G$12/-PV(Table7[Monthly mortgage rate], (12*Table7[Amortization period (yrs)]),1 )</f>
        <v>4377.9977174134756</v>
      </c>
      <c r="D713" s="11">
        <f>IF(Table1[[#This Row],[Month]]&lt;=(12*Table7[mortgage term (yrs)]),Table7[Monthly mortgage rate],Table7[Monthly Exp Renewal Rate])</f>
        <v>4.9038466830562122E-3</v>
      </c>
      <c r="E713" s="21">
        <f>Table1[[#This Row],[Current mortgage rate]]*G712</f>
        <v>-42523.950537043493</v>
      </c>
      <c r="F713" s="5">
        <f>Table1[[#This Row],[Payment amount]]-Table1[[#This Row],[Interest paid]]</f>
        <v>46901.948254456969</v>
      </c>
      <c r="G713" s="20">
        <f>G712-Table1[[#This Row],[Principal repaid]]-Table1[[#This Row],[Annual paym]]</f>
        <v>-8718451.7101938725</v>
      </c>
      <c r="H713" s="20">
        <f>H712-(Table1[[#This Row],[Payment amount]]-Table1[[#This Row],[Interest Paid W/O LSP]])</f>
        <v>-5627415.2259570202</v>
      </c>
      <c r="I713">
        <f>H712*Table1[[#This Row],[Current mortgage rate]]</f>
        <v>-27439.951146989006</v>
      </c>
      <c r="J713" s="25">
        <f>IF(Table1[[#This Row],[Month]]&gt;Table7[Amortization period (yrs)]*12,0,IF(Table1[[#This Row],[Month]]&lt;Table7[mortgage term (yrs)]*12,0,IF(Table1[[#This Row],[Month]]=Table7[mortgage term (yrs)]*12,-H$5,Table1[[#This Row],[Payment amount]]+B713)))</f>
        <v>0</v>
      </c>
      <c r="K713">
        <v>702</v>
      </c>
      <c r="L713">
        <f>Table7[Initial Monthly Deposit]*Table9[[#This Row],[Inflation Modifier]]</f>
        <v>1261.4497456229949</v>
      </c>
      <c r="M713">
        <f xml:space="preserve"> (1+Table7[Inflation])^(QUOTIENT(Table9[[#This Row],[Month]]-1,12))</f>
        <v>3.1536243640574875</v>
      </c>
      <c r="N713">
        <f>N712*(1+Table7[Monthly SF Inter])+Table9[[#This Row],[Monthly Payment]]-O712*(1+Table7[Monthly SF Inter])</f>
        <v>210654.29065130695</v>
      </c>
      <c r="O713">
        <f>IF(MOD(Table9[[#This Row],[Month]],12)=0,(IF(Table9[[#This Row],[Current Balance]]&lt;Table9[[#This Row],[Max Lump Sum ]],Table9[[#This Row],[Current Balance]],Table9[[#This Row],[Max Lump Sum ]])),0)</f>
        <v>0</v>
      </c>
      <c r="P713" s="21">
        <f>Table7[Max annual lump sum repayment]*SUM(C714:C725)</f>
        <v>7880.3958913442566</v>
      </c>
      <c r="Q713" s="25">
        <f>Q712*(1+Table7[Monthly SF Inter])+Table9[[#This Row],[Inflation Modifier]]-R712*(1+Table7[Monthly SF Inter])</f>
        <v>19.117901365293623</v>
      </c>
      <c r="R713" s="25">
        <f>IF(MOD(Table9[[#This Row],[Month]],12)=0,Table9[[#This Row],[Q2 ACC FACTOR]],0)</f>
        <v>0</v>
      </c>
      <c r="S713" s="25">
        <f>S712*(1+D712)+Table9[[#This Row],[ACC FACTOR PAYMENTS]]</f>
        <v>8338.4984902040524</v>
      </c>
    </row>
    <row r="714" spans="1:19" x14ac:dyDescent="0.25">
      <c r="A714" s="1">
        <v>702</v>
      </c>
      <c r="B714" s="1">
        <f t="shared" si="10"/>
        <v>0</v>
      </c>
      <c r="C714" s="7">
        <f>G$12/-PV(Table7[Monthly mortgage rate], (12*Table7[Amortization period (yrs)]),1 )</f>
        <v>4377.9977174134756</v>
      </c>
      <c r="D714" s="11">
        <f>IF(Table1[[#This Row],[Month]]&lt;=(12*Table7[mortgage term (yrs)]),Table7[Monthly mortgage rate],Table7[Monthly Exp Renewal Rate])</f>
        <v>4.9038466830562122E-3</v>
      </c>
      <c r="E714" s="21">
        <f>Table1[[#This Row],[Current mortgage rate]]*G713</f>
        <v>-42753.950500419982</v>
      </c>
      <c r="F714" s="5">
        <f>Table1[[#This Row],[Payment amount]]-Table1[[#This Row],[Interest paid]]</f>
        <v>47131.948217833458</v>
      </c>
      <c r="G714" s="20">
        <f>G713-Table1[[#This Row],[Principal repaid]]-Table1[[#This Row],[Annual paym]]</f>
        <v>-8765583.6584117059</v>
      </c>
      <c r="H714" s="20">
        <f>H713-(Table1[[#This Row],[Payment amount]]-Table1[[#This Row],[Interest Paid W/O LSP]])</f>
        <v>-5659389.2051644232</v>
      </c>
      <c r="I714">
        <f>H713*Table1[[#This Row],[Current mortgage rate]]</f>
        <v>-27595.981489989357</v>
      </c>
      <c r="J714" s="25">
        <f>IF(Table1[[#This Row],[Month]]&gt;Table7[Amortization period (yrs)]*12,0,IF(Table1[[#This Row],[Month]]&lt;Table7[mortgage term (yrs)]*12,0,IF(Table1[[#This Row],[Month]]=Table7[mortgage term (yrs)]*12,-H$5,Table1[[#This Row],[Payment amount]]+B714)))</f>
        <v>0</v>
      </c>
      <c r="K714">
        <v>703</v>
      </c>
      <c r="L714">
        <f>Table7[Initial Monthly Deposit]*Table9[[#This Row],[Inflation Modifier]]</f>
        <v>1261.4497456229949</v>
      </c>
      <c r="M714">
        <f xml:space="preserve"> (1+Table7[Inflation])^(QUOTIENT(Table9[[#This Row],[Month]]-1,12))</f>
        <v>3.1536243640574875</v>
      </c>
      <c r="N714">
        <f>N713*(1+Table7[Monthly SF Inter])+Table9[[#This Row],[Monthly Payment]]-O713*(1+Table7[Monthly SF Inter])</f>
        <v>212784.46088394584</v>
      </c>
      <c r="O714">
        <f>IF(MOD(Table9[[#This Row],[Month]],12)=0,(IF(Table9[[#This Row],[Current Balance]]&lt;Table9[[#This Row],[Max Lump Sum ]],Table9[[#This Row],[Current Balance]],Table9[[#This Row],[Max Lump Sum ]])),0)</f>
        <v>0</v>
      </c>
      <c r="P714" s="21">
        <f>Table7[Max annual lump sum repayment]*SUM(C715:C726)</f>
        <v>7880.3958913442566</v>
      </c>
      <c r="Q714" s="25">
        <f>Q713*(1+Table7[Monthly SF Inter])+Table9[[#This Row],[Inflation Modifier]]-R713*(1+Table7[Monthly SF Inter])</f>
        <v>22.350366338452549</v>
      </c>
      <c r="R714" s="25">
        <f>IF(MOD(Table9[[#This Row],[Month]],12)=0,Table9[[#This Row],[Q2 ACC FACTOR]],0)</f>
        <v>0</v>
      </c>
      <c r="S714" s="25">
        <f>S713*(1+D713)+Table9[[#This Row],[ACC FACTOR PAYMENTS]]</f>
        <v>8379.3892083669089</v>
      </c>
    </row>
    <row r="715" spans="1:19" x14ac:dyDescent="0.25">
      <c r="A715" s="1">
        <v>703</v>
      </c>
      <c r="B715" s="1">
        <f t="shared" si="10"/>
        <v>0</v>
      </c>
      <c r="C715" s="7">
        <f>G$12/-PV(Table7[Monthly mortgage rate], (12*Table7[Amortization period (yrs)]),1 )</f>
        <v>4377.9977174134756</v>
      </c>
      <c r="D715" s="11">
        <f>IF(Table1[[#This Row],[Month]]&lt;=(12*Table7[mortgage term (yrs)]),Table7[Monthly mortgage rate],Table7[Monthly Exp Renewal Rate])</f>
        <v>4.9038466830562122E-3</v>
      </c>
      <c r="E715" s="21">
        <f>Table1[[#This Row],[Current mortgage rate]]*G714</f>
        <v>-42985.078348353978</v>
      </c>
      <c r="F715" s="5">
        <f>Table1[[#This Row],[Payment amount]]-Table1[[#This Row],[Interest paid]]</f>
        <v>47363.076065767455</v>
      </c>
      <c r="G715" s="20">
        <f>G714-Table1[[#This Row],[Principal repaid]]-Table1[[#This Row],[Annual paym]]</f>
        <v>-8812946.7344774734</v>
      </c>
      <c r="H715" s="20">
        <f>H714-(Table1[[#This Row],[Payment amount]]-Table1[[#This Row],[Interest Paid W/O LSP]])</f>
        <v>-5691519.979863706</v>
      </c>
      <c r="I715">
        <f>H714*Table1[[#This Row],[Current mortgage rate]]</f>
        <v>-27752.776981869691</v>
      </c>
      <c r="J715" s="25">
        <f>IF(Table1[[#This Row],[Month]]&gt;Table7[Amortization period (yrs)]*12,0,IF(Table1[[#This Row],[Month]]&lt;Table7[mortgage term (yrs)]*12,0,IF(Table1[[#This Row],[Month]]=Table7[mortgage term (yrs)]*12,-H$5,Table1[[#This Row],[Payment amount]]+B715)))</f>
        <v>0</v>
      </c>
      <c r="K715">
        <v>704</v>
      </c>
      <c r="L715">
        <f>Table7[Initial Monthly Deposit]*Table9[[#This Row],[Inflation Modifier]]</f>
        <v>1261.4497456229949</v>
      </c>
      <c r="M715">
        <f xml:space="preserve"> (1+Table7[Inflation])^(QUOTIENT(Table9[[#This Row],[Month]]-1,12))</f>
        <v>3.1536243640574875</v>
      </c>
      <c r="N715">
        <f>N714*(1+Table7[Monthly SF Inter])+Table9[[#This Row],[Monthly Payment]]-O714*(1+Table7[Monthly SF Inter])</f>
        <v>214923.41575855052</v>
      </c>
      <c r="O715">
        <f>IF(MOD(Table9[[#This Row],[Month]],12)=0,(IF(Table9[[#This Row],[Current Balance]]&lt;Table9[[#This Row],[Max Lump Sum ]],Table9[[#This Row],[Current Balance]],Table9[[#This Row],[Max Lump Sum ]])),0)</f>
        <v>0</v>
      </c>
      <c r="P715" s="21">
        <f>Table7[Max annual lump sum repayment]*SUM(C716:C727)</f>
        <v>7880.3958913442566</v>
      </c>
      <c r="Q715" s="25">
        <f>Q714*(1+Table7[Monthly SF Inter])+Table9[[#This Row],[Inflation Modifier]]-R714*(1+Table7[Monthly SF Inter])</f>
        <v>25.596161723904821</v>
      </c>
      <c r="R715" s="25">
        <f>IF(MOD(Table9[[#This Row],[Month]],12)=0,Table9[[#This Row],[Q2 ACC FACTOR]],0)</f>
        <v>0</v>
      </c>
      <c r="S715" s="25">
        <f>S714*(1+D714)+Table9[[#This Row],[ACC FACTOR PAYMENTS]]</f>
        <v>8420.4804483423959</v>
      </c>
    </row>
    <row r="716" spans="1:19" x14ac:dyDescent="0.25">
      <c r="A716" s="1">
        <v>704</v>
      </c>
      <c r="B716" s="1">
        <f t="shared" si="10"/>
        <v>0</v>
      </c>
      <c r="C716" s="7">
        <f>G$12/-PV(Table7[Monthly mortgage rate], (12*Table7[Amortization period (yrs)]),1 )</f>
        <v>4377.9977174134756</v>
      </c>
      <c r="D716" s="11">
        <f>IF(Table1[[#This Row],[Month]]&lt;=(12*Table7[mortgage term (yrs)]),Table7[Monthly mortgage rate],Table7[Monthly Exp Renewal Rate])</f>
        <v>4.9038466830562122E-3</v>
      </c>
      <c r="E716" s="21">
        <f>Table1[[#This Row],[Current mortgage rate]]*G715</f>
        <v>-43217.339611818432</v>
      </c>
      <c r="F716" s="5">
        <f>Table1[[#This Row],[Payment amount]]-Table1[[#This Row],[Interest paid]]</f>
        <v>47595.337329231908</v>
      </c>
      <c r="G716" s="20">
        <f>G715-Table1[[#This Row],[Principal repaid]]-Table1[[#This Row],[Annual paym]]</f>
        <v>-8860542.0718067046</v>
      </c>
      <c r="H716" s="20">
        <f>H715-(Table1[[#This Row],[Payment amount]]-Table1[[#This Row],[Interest Paid W/O LSP]])</f>
        <v>-5723808.3189559225</v>
      </c>
      <c r="I716">
        <f>H715*Table1[[#This Row],[Current mortgage rate]]</f>
        <v>-27910.341374802796</v>
      </c>
      <c r="J716" s="25">
        <f>IF(Table1[[#This Row],[Month]]&gt;Table7[Amortization period (yrs)]*12,0,IF(Table1[[#This Row],[Month]]&lt;Table7[mortgage term (yrs)]*12,0,IF(Table1[[#This Row],[Month]]=Table7[mortgage term (yrs)]*12,-H$5,Table1[[#This Row],[Payment amount]]+B716)))</f>
        <v>0</v>
      </c>
      <c r="K716">
        <v>705</v>
      </c>
      <c r="L716">
        <f>Table7[Initial Monthly Deposit]*Table9[[#This Row],[Inflation Modifier]]</f>
        <v>1261.4497456229949</v>
      </c>
      <c r="M716">
        <f xml:space="preserve"> (1+Table7[Inflation])^(QUOTIENT(Table9[[#This Row],[Month]]-1,12))</f>
        <v>3.1536243640574875</v>
      </c>
      <c r="N716">
        <f>N715*(1+Table7[Monthly SF Inter])+Table9[[#This Row],[Monthly Payment]]-O715*(1+Table7[Monthly SF Inter])</f>
        <v>217071.19150224183</v>
      </c>
      <c r="O716">
        <f>IF(MOD(Table9[[#This Row],[Month]],12)=0,(IF(Table9[[#This Row],[Current Balance]]&lt;Table9[[#This Row],[Max Lump Sum ]],Table9[[#This Row],[Current Balance]],Table9[[#This Row],[Max Lump Sum ]])),0)</f>
        <v>0</v>
      </c>
      <c r="P716" s="21">
        <f>Table7[Max annual lump sum repayment]*SUM(C717:C728)</f>
        <v>7880.3958913442566</v>
      </c>
      <c r="Q716" s="25">
        <f>Q715*(1+Table7[Monthly SF Inter])+Table9[[#This Row],[Inflation Modifier]]-R715*(1+Table7[Monthly SF Inter])</f>
        <v>28.855342495143855</v>
      </c>
      <c r="R716" s="25">
        <f>IF(MOD(Table9[[#This Row],[Month]],12)=0,Table9[[#This Row],[Q2 ACC FACTOR]],0)</f>
        <v>0</v>
      </c>
      <c r="S716" s="25">
        <f>S715*(1+D715)+Table9[[#This Row],[ACC FACTOR PAYMENTS]]</f>
        <v>8461.7731934587391</v>
      </c>
    </row>
    <row r="717" spans="1:19" x14ac:dyDescent="0.25">
      <c r="A717" s="1">
        <v>705</v>
      </c>
      <c r="B717" s="1">
        <f t="shared" ref="B717:B780" si="11">O716</f>
        <v>0</v>
      </c>
      <c r="C717" s="7">
        <f>G$12/-PV(Table7[Monthly mortgage rate], (12*Table7[Amortization period (yrs)]),1 )</f>
        <v>4377.9977174134756</v>
      </c>
      <c r="D717" s="11">
        <f>IF(Table1[[#This Row],[Month]]&lt;=(12*Table7[mortgage term (yrs)]),Table7[Monthly mortgage rate],Table7[Monthly Exp Renewal Rate])</f>
        <v>4.9038466830562122E-3</v>
      </c>
      <c r="E717" s="21">
        <f>Table1[[#This Row],[Current mortgage rate]]*G716</f>
        <v>-43450.739848909325</v>
      </c>
      <c r="F717" s="5">
        <f>Table1[[#This Row],[Payment amount]]-Table1[[#This Row],[Interest paid]]</f>
        <v>47828.737566322801</v>
      </c>
      <c r="G717" s="20">
        <f>G716-Table1[[#This Row],[Principal repaid]]-Table1[[#This Row],[Annual paym]]</f>
        <v>-8908370.8093730267</v>
      </c>
      <c r="H717" s="20">
        <f>H716-(Table1[[#This Row],[Payment amount]]-Table1[[#This Row],[Interest Paid W/O LSP]])</f>
        <v>-5756254.9951126976</v>
      </c>
      <c r="I717">
        <f>H716*Table1[[#This Row],[Current mortgage rate]]</f>
        <v>-28068.678439361553</v>
      </c>
      <c r="J717" s="25">
        <f>IF(Table1[[#This Row],[Month]]&gt;Table7[Amortization period (yrs)]*12,0,IF(Table1[[#This Row],[Month]]&lt;Table7[mortgage term (yrs)]*12,0,IF(Table1[[#This Row],[Month]]=Table7[mortgage term (yrs)]*12,-H$5,Table1[[#This Row],[Payment amount]]+B717)))</f>
        <v>0</v>
      </c>
      <c r="K717">
        <v>706</v>
      </c>
      <c r="L717">
        <f>Table7[Initial Monthly Deposit]*Table9[[#This Row],[Inflation Modifier]]</f>
        <v>1261.4497456229949</v>
      </c>
      <c r="M717">
        <f xml:space="preserve"> (1+Table7[Inflation])^(QUOTIENT(Table9[[#This Row],[Month]]-1,12))</f>
        <v>3.1536243640574875</v>
      </c>
      <c r="N717">
        <f>N716*(1+Table7[Monthly SF Inter])+Table9[[#This Row],[Monthly Payment]]-O716*(1+Table7[Monthly SF Inter])</f>
        <v>219227.82449153819</v>
      </c>
      <c r="O717">
        <f>IF(MOD(Table9[[#This Row],[Month]],12)=0,(IF(Table9[[#This Row],[Current Balance]]&lt;Table9[[#This Row],[Max Lump Sum ]],Table9[[#This Row],[Current Balance]],Table9[[#This Row],[Max Lump Sum ]])),0)</f>
        <v>0</v>
      </c>
      <c r="P717" s="21">
        <f>Table7[Max annual lump sum repayment]*SUM(C718:C729)</f>
        <v>7880.3958913442566</v>
      </c>
      <c r="Q717" s="25">
        <f>Q716*(1+Table7[Monthly SF Inter])+Table9[[#This Row],[Inflation Modifier]]-R716*(1+Table7[Monthly SF Inter])</f>
        <v>32.127963852369099</v>
      </c>
      <c r="R717" s="25">
        <f>IF(MOD(Table9[[#This Row],[Month]],12)=0,Table9[[#This Row],[Q2 ACC FACTOR]],0)</f>
        <v>0</v>
      </c>
      <c r="S717" s="25">
        <f>S716*(1+D716)+Table9[[#This Row],[ACC FACTOR PAYMENTS]]</f>
        <v>8503.2684318662559</v>
      </c>
    </row>
    <row r="718" spans="1:19" x14ac:dyDescent="0.25">
      <c r="A718" s="1">
        <v>706</v>
      </c>
      <c r="B718" s="1">
        <f t="shared" si="11"/>
        <v>0</v>
      </c>
      <c r="C718" s="7">
        <f>G$12/-PV(Table7[Monthly mortgage rate], (12*Table7[Amortization period (yrs)]),1 )</f>
        <v>4377.9977174134756</v>
      </c>
      <c r="D718" s="11">
        <f>IF(Table1[[#This Row],[Month]]&lt;=(12*Table7[mortgage term (yrs)]),Table7[Monthly mortgage rate],Table7[Monthly Exp Renewal Rate])</f>
        <v>4.9038466830562122E-3</v>
      </c>
      <c r="E718" s="21">
        <f>Table1[[#This Row],[Current mortgage rate]]*G717</f>
        <v>-43685.284644978703</v>
      </c>
      <c r="F718" s="5">
        <f>Table1[[#This Row],[Payment amount]]-Table1[[#This Row],[Interest paid]]</f>
        <v>48063.282362392179</v>
      </c>
      <c r="G718" s="20">
        <f>G717-Table1[[#This Row],[Principal repaid]]-Table1[[#This Row],[Annual paym]]</f>
        <v>-8956434.0917354189</v>
      </c>
      <c r="H718" s="20">
        <f>H717-(Table1[[#This Row],[Payment amount]]-Table1[[#This Row],[Interest Paid W/O LSP]])</f>
        <v>-5788860.7847947199</v>
      </c>
      <c r="I718">
        <f>H717*Table1[[#This Row],[Current mortgage rate]]</f>
        <v>-28227.791964609154</v>
      </c>
      <c r="J718" s="25">
        <f>IF(Table1[[#This Row],[Month]]&gt;Table7[Amortization period (yrs)]*12,0,IF(Table1[[#This Row],[Month]]&lt;Table7[mortgage term (yrs)]*12,0,IF(Table1[[#This Row],[Month]]=Table7[mortgage term (yrs)]*12,-H$5,Table1[[#This Row],[Payment amount]]+B718)))</f>
        <v>0</v>
      </c>
      <c r="K718">
        <v>707</v>
      </c>
      <c r="L718">
        <f>Table7[Initial Monthly Deposit]*Table9[[#This Row],[Inflation Modifier]]</f>
        <v>1261.4497456229949</v>
      </c>
      <c r="M718">
        <f xml:space="preserve"> (1+Table7[Inflation])^(QUOTIENT(Table9[[#This Row],[Month]]-1,12))</f>
        <v>3.1536243640574875</v>
      </c>
      <c r="N718">
        <f>N717*(1+Table7[Monthly SF Inter])+Table9[[#This Row],[Monthly Payment]]-O717*(1+Table7[Monthly SF Inter])</f>
        <v>221393.35125297177</v>
      </c>
      <c r="O718">
        <f>IF(MOD(Table9[[#This Row],[Month]],12)=0,(IF(Table9[[#This Row],[Current Balance]]&lt;Table9[[#This Row],[Max Lump Sum ]],Table9[[#This Row],[Current Balance]],Table9[[#This Row],[Max Lump Sum ]])),0)</f>
        <v>0</v>
      </c>
      <c r="P718" s="21">
        <f>Table7[Max annual lump sum repayment]*SUM(C719:C730)</f>
        <v>7880.3958913442566</v>
      </c>
      <c r="Q718" s="25">
        <f>Q717*(1+Table7[Monthly SF Inter])+Table9[[#This Row],[Inflation Modifier]]-R717*(1+Table7[Monthly SF Inter])</f>
        <v>35.414081223420965</v>
      </c>
      <c r="R718" s="25">
        <f>IF(MOD(Table9[[#This Row],[Month]],12)=0,Table9[[#This Row],[Q2 ACC FACTOR]],0)</f>
        <v>0</v>
      </c>
      <c r="S718" s="25">
        <f>S717*(1+D717)+Table9[[#This Row],[ACC FACTOR PAYMENTS]]</f>
        <v>8544.9671565610006</v>
      </c>
    </row>
    <row r="719" spans="1:19" x14ac:dyDescent="0.25">
      <c r="A719" s="1">
        <v>707</v>
      </c>
      <c r="B719" s="1">
        <f t="shared" si="11"/>
        <v>0</v>
      </c>
      <c r="C719" s="7">
        <f>G$12/-PV(Table7[Monthly mortgage rate], (12*Table7[Amortization period (yrs)]),1 )</f>
        <v>4377.9977174134756</v>
      </c>
      <c r="D719" s="11">
        <f>IF(Table1[[#This Row],[Month]]&lt;=(12*Table7[mortgage term (yrs)]),Table7[Monthly mortgage rate],Table7[Monthly Exp Renewal Rate])</f>
        <v>4.9038466830562122E-3</v>
      </c>
      <c r="E719" s="21">
        <f>Table1[[#This Row],[Current mortgage rate]]*G718</f>
        <v>-43920.979612768315</v>
      </c>
      <c r="F719" s="5">
        <f>Table1[[#This Row],[Payment amount]]-Table1[[#This Row],[Interest paid]]</f>
        <v>48298.977330181791</v>
      </c>
      <c r="G719" s="20">
        <f>G718-Table1[[#This Row],[Principal repaid]]-Table1[[#This Row],[Annual paym]]</f>
        <v>-9004733.0690656006</v>
      </c>
      <c r="H719" s="20">
        <f>H718-(Table1[[#This Row],[Payment amount]]-Table1[[#This Row],[Interest Paid W/O LSP]])</f>
        <v>-5821626.4682703232</v>
      </c>
      <c r="I719">
        <f>H718*Table1[[#This Row],[Current mortgage rate]]</f>
        <v>-28387.685758189768</v>
      </c>
      <c r="J719" s="25">
        <f>IF(Table1[[#This Row],[Month]]&gt;Table7[Amortization period (yrs)]*12,0,IF(Table1[[#This Row],[Month]]&lt;Table7[mortgage term (yrs)]*12,0,IF(Table1[[#This Row],[Month]]=Table7[mortgage term (yrs)]*12,-H$5,Table1[[#This Row],[Payment amount]]+B719)))</f>
        <v>0</v>
      </c>
      <c r="K719">
        <v>708</v>
      </c>
      <c r="L719">
        <f>Table7[Initial Monthly Deposit]*Table9[[#This Row],[Inflation Modifier]]</f>
        <v>1261.4497456229949</v>
      </c>
      <c r="M719">
        <f xml:space="preserve"> (1+Table7[Inflation])^(QUOTIENT(Table9[[#This Row],[Month]]-1,12))</f>
        <v>3.1536243640574875</v>
      </c>
      <c r="N719">
        <f>N718*(1+Table7[Monthly SF Inter])+Table9[[#This Row],[Monthly Payment]]-O718*(1+Table7[Monthly SF Inter])</f>
        <v>223567.80846370698</v>
      </c>
      <c r="O719">
        <f>IF(MOD(Table9[[#This Row],[Month]],12)=0,(IF(Table9[[#This Row],[Current Balance]]&lt;Table9[[#This Row],[Max Lump Sum ]],Table9[[#This Row],[Current Balance]],Table9[[#This Row],[Max Lump Sum ]])),0)</f>
        <v>7880.3958913442566</v>
      </c>
      <c r="P719" s="21">
        <f>Table7[Max annual lump sum repayment]*SUM(C720:C731)</f>
        <v>7880.3958913442566</v>
      </c>
      <c r="Q719" s="25">
        <f>Q718*(1+Table7[Monthly SF Inter])+Table9[[#This Row],[Inflation Modifier]]-R718*(1+Table7[Monthly SF Inter])</f>
        <v>38.713750264719593</v>
      </c>
      <c r="R719" s="25">
        <f>IF(MOD(Table9[[#This Row],[Month]],12)=0,Table9[[#This Row],[Q2 ACC FACTOR]],0)</f>
        <v>38.713750264719593</v>
      </c>
      <c r="S719" s="25">
        <f>S718*(1+D718)+Table9[[#This Row],[ACC FACTOR PAYMENTS]]</f>
        <v>8625.5841156732458</v>
      </c>
    </row>
    <row r="720" spans="1:19" x14ac:dyDescent="0.25">
      <c r="A720" s="1">
        <v>708</v>
      </c>
      <c r="B720" s="1">
        <f t="shared" si="11"/>
        <v>7880.3958913442566</v>
      </c>
      <c r="C720" s="7">
        <f>G$12/-PV(Table7[Monthly mortgage rate], (12*Table7[Amortization period (yrs)]),1 )</f>
        <v>4377.9977174134756</v>
      </c>
      <c r="D720" s="11">
        <f>IF(Table1[[#This Row],[Month]]&lt;=(12*Table7[mortgage term (yrs)]),Table7[Monthly mortgage rate],Table7[Monthly Exp Renewal Rate])</f>
        <v>4.9038466830562122E-3</v>
      </c>
      <c r="E720" s="21">
        <f>Table1[[#This Row],[Current mortgage rate]]*G719</f>
        <v>-44157.830392543932</v>
      </c>
      <c r="F720" s="5">
        <f>Table1[[#This Row],[Payment amount]]-Table1[[#This Row],[Interest paid]]</f>
        <v>48535.828109957409</v>
      </c>
      <c r="G720" s="20">
        <f>G719-Table1[[#This Row],[Principal repaid]]-Table1[[#This Row],[Annual paym]]</f>
        <v>-9061149.2930669021</v>
      </c>
      <c r="H720" s="20">
        <f>H719-(Table1[[#This Row],[Payment amount]]-Table1[[#This Row],[Interest Paid W/O LSP]])</f>
        <v>-5854552.8296341561</v>
      </c>
      <c r="I720">
        <f>H719*Table1[[#This Row],[Current mortgage rate]]</f>
        <v>-28548.363646419675</v>
      </c>
      <c r="J720" s="25">
        <f>IF(Table1[[#This Row],[Month]]&gt;Table7[Amortization period (yrs)]*12,0,IF(Table1[[#This Row],[Month]]&lt;Table7[mortgage term (yrs)]*12,0,IF(Table1[[#This Row],[Month]]=Table7[mortgage term (yrs)]*12,-H$5,Table1[[#This Row],[Payment amount]]+B720)))</f>
        <v>0</v>
      </c>
      <c r="K720">
        <v>709</v>
      </c>
      <c r="L720">
        <f>Table7[Initial Monthly Deposit]*Table9[[#This Row],[Inflation Modifier]]</f>
        <v>1286.6787405354546</v>
      </c>
      <c r="M720">
        <f xml:space="preserve"> (1+Table7[Inflation])^(QUOTIENT(Table9[[#This Row],[Month]]-1,12))</f>
        <v>3.2166968513386367</v>
      </c>
      <c r="N720">
        <f>N719*(1+Table7[Monthly SF Inter])+Table9[[#This Row],[Monthly Payment]]-O719*(1+Table7[Monthly SF Inter])</f>
        <v>217863.56796924231</v>
      </c>
      <c r="O720">
        <f>IF(MOD(Table9[[#This Row],[Month]],12)=0,(IF(Table9[[#This Row],[Current Balance]]&lt;Table9[[#This Row],[Max Lump Sum ]],Table9[[#This Row],[Current Balance]],Table9[[#This Row],[Max Lump Sum ]])),0)</f>
        <v>0</v>
      </c>
      <c r="P720" s="21">
        <f>Table7[Max annual lump sum repayment]*SUM(C721:C732)</f>
        <v>7880.3958913442566</v>
      </c>
      <c r="Q720" s="25">
        <f>Q719*(1+Table7[Monthly SF Inter])+Table9[[#This Row],[Inflation Modifier]]-R719*(1+Table7[Monthly SF Inter])</f>
        <v>3.2166968513386394</v>
      </c>
      <c r="R720" s="25">
        <f>IF(MOD(Table9[[#This Row],[Month]],12)=0,Table9[[#This Row],[Q2 ACC FACTOR]],0)</f>
        <v>0</v>
      </c>
      <c r="S720" s="25">
        <f>S719*(1+D719)+Table9[[#This Row],[ACC FACTOR PAYMENTS]]</f>
        <v>8667.8826577283126</v>
      </c>
    </row>
    <row r="721" spans="1:19" x14ac:dyDescent="0.25">
      <c r="A721" s="1">
        <v>709</v>
      </c>
      <c r="B721" s="1">
        <f t="shared" si="11"/>
        <v>0</v>
      </c>
      <c r="C721" s="7">
        <f>G$12/-PV(Table7[Monthly mortgage rate], (12*Table7[Amortization period (yrs)]),1 )</f>
        <v>4377.9977174134756</v>
      </c>
      <c r="D721" s="11">
        <f>IF(Table1[[#This Row],[Month]]&lt;=(12*Table7[mortgage term (yrs)]),Table7[Monthly mortgage rate],Table7[Monthly Exp Renewal Rate])</f>
        <v>4.9038466830562122E-3</v>
      </c>
      <c r="E721" s="21">
        <f>Table1[[#This Row],[Current mortgage rate]]*G720</f>
        <v>-44434.486905483267</v>
      </c>
      <c r="F721" s="5">
        <f>Table1[[#This Row],[Payment amount]]-Table1[[#This Row],[Interest paid]]</f>
        <v>48812.484622896744</v>
      </c>
      <c r="G721" s="20">
        <f>G720-Table1[[#This Row],[Principal repaid]]-Table1[[#This Row],[Annual paym]]</f>
        <v>-9109961.7776897997</v>
      </c>
      <c r="H721" s="20">
        <f>H720-(Table1[[#This Row],[Payment amount]]-Table1[[#This Row],[Interest Paid W/O LSP]])</f>
        <v>-5887640.6568259485</v>
      </c>
      <c r="I721">
        <f>H720*Table1[[#This Row],[Current mortgage rate]]</f>
        <v>-28709.829474378817</v>
      </c>
      <c r="J721" s="25">
        <f>IF(Table1[[#This Row],[Month]]&gt;Table7[Amortization period (yrs)]*12,0,IF(Table1[[#This Row],[Month]]&lt;Table7[mortgage term (yrs)]*12,0,IF(Table1[[#This Row],[Month]]=Table7[mortgage term (yrs)]*12,-H$5,Table1[[#This Row],[Payment amount]]+B721)))</f>
        <v>0</v>
      </c>
      <c r="K721">
        <v>710</v>
      </c>
      <c r="L721">
        <f>Table7[Initial Monthly Deposit]*Table9[[#This Row],[Inflation Modifier]]</f>
        <v>1286.6787405354546</v>
      </c>
      <c r="M721">
        <f xml:space="preserve"> (1+Table7[Inflation])^(QUOTIENT(Table9[[#This Row],[Month]]-1,12))</f>
        <v>3.2166968513386367</v>
      </c>
      <c r="N721">
        <f>N720*(1+Table7[Monthly SF Inter])+Table9[[#This Row],[Monthly Payment]]-O720*(1+Table7[Monthly SF Inter])</f>
        <v>220048.69764701763</v>
      </c>
      <c r="O721">
        <f>IF(MOD(Table9[[#This Row],[Month]],12)=0,(IF(Table9[[#This Row],[Current Balance]]&lt;Table9[[#This Row],[Max Lump Sum ]],Table9[[#This Row],[Current Balance]],Table9[[#This Row],[Max Lump Sum ]])),0)</f>
        <v>0</v>
      </c>
      <c r="P721" s="21">
        <f>Table7[Max annual lump sum repayment]*SUM(C722:C733)</f>
        <v>7880.3958913442566</v>
      </c>
      <c r="Q721" s="25">
        <f>Q720*(1+Table7[Monthly SF Inter])+Table9[[#This Row],[Inflation Modifier]]-R720*(1+Table7[Monthly SF Inter])</f>
        <v>6.4466590885691923</v>
      </c>
      <c r="R721" s="25">
        <f>IF(MOD(Table9[[#This Row],[Month]],12)=0,Table9[[#This Row],[Q2 ACC FACTOR]],0)</f>
        <v>0</v>
      </c>
      <c r="S721" s="25">
        <f>S720*(1+D720)+Table9[[#This Row],[ACC FACTOR PAYMENTS]]</f>
        <v>8710.3886253485343</v>
      </c>
    </row>
    <row r="722" spans="1:19" x14ac:dyDescent="0.25">
      <c r="A722" s="1">
        <v>710</v>
      </c>
      <c r="B722" s="1">
        <f t="shared" si="11"/>
        <v>0</v>
      </c>
      <c r="C722" s="7">
        <f>G$12/-PV(Table7[Monthly mortgage rate], (12*Table7[Amortization period (yrs)]),1 )</f>
        <v>4377.9977174134756</v>
      </c>
      <c r="D722" s="11">
        <f>IF(Table1[[#This Row],[Month]]&lt;=(12*Table7[mortgage term (yrs)]),Table7[Monthly mortgage rate],Table7[Monthly Exp Renewal Rate])</f>
        <v>4.9038466830562122E-3</v>
      </c>
      <c r="E722" s="21">
        <f>Table1[[#This Row],[Current mortgage rate]]*G721</f>
        <v>-44673.855846293001</v>
      </c>
      <c r="F722" s="5">
        <f>Table1[[#This Row],[Payment amount]]-Table1[[#This Row],[Interest paid]]</f>
        <v>49051.853563706478</v>
      </c>
      <c r="G722" s="20">
        <f>G721-Table1[[#This Row],[Principal repaid]]-Table1[[#This Row],[Annual paym]]</f>
        <v>-9159013.631253507</v>
      </c>
      <c r="H722" s="20">
        <f>H721-(Table1[[#This Row],[Payment amount]]-Table1[[#This Row],[Interest Paid W/O LSP]])</f>
        <v>-5920890.7416493651</v>
      </c>
      <c r="I722">
        <f>H721*Table1[[#This Row],[Current mortgage rate]]</f>
        <v>-28872.087106002826</v>
      </c>
      <c r="J722" s="25">
        <f>IF(Table1[[#This Row],[Month]]&gt;Table7[Amortization period (yrs)]*12,0,IF(Table1[[#This Row],[Month]]&lt;Table7[mortgage term (yrs)]*12,0,IF(Table1[[#This Row],[Month]]=Table7[mortgage term (yrs)]*12,-H$5,Table1[[#This Row],[Payment amount]]+B722)))</f>
        <v>0</v>
      </c>
      <c r="K722">
        <v>711</v>
      </c>
      <c r="L722">
        <f>Table7[Initial Monthly Deposit]*Table9[[#This Row],[Inflation Modifier]]</f>
        <v>1286.6787405354546</v>
      </c>
      <c r="M722">
        <f xml:space="preserve"> (1+Table7[Inflation])^(QUOTIENT(Table9[[#This Row],[Month]]-1,12))</f>
        <v>3.2166968513386367</v>
      </c>
      <c r="N722">
        <f>N721*(1+Table7[Monthly SF Inter])+Table9[[#This Row],[Monthly Payment]]-O721*(1+Table7[Monthly SF Inter])</f>
        <v>222242.83861486448</v>
      </c>
      <c r="O722">
        <f>IF(MOD(Table9[[#This Row],[Month]],12)=0,(IF(Table9[[#This Row],[Current Balance]]&lt;Table9[[#This Row],[Max Lump Sum ]],Table9[[#This Row],[Current Balance]],Table9[[#This Row],[Max Lump Sum ]])),0)</f>
        <v>0</v>
      </c>
      <c r="P722" s="21">
        <f>Table7[Max annual lump sum repayment]*SUM(C723:C734)</f>
        <v>7880.3958913442566</v>
      </c>
      <c r="Q722" s="25">
        <f>Q721*(1+Table7[Monthly SF Inter])+Table9[[#This Row],[Inflation Modifier]]-R721*(1+Table7[Monthly SF Inter])</f>
        <v>9.6899414170216929</v>
      </c>
      <c r="R722" s="25">
        <f>IF(MOD(Table9[[#This Row],[Month]],12)=0,Table9[[#This Row],[Q2 ACC FACTOR]],0)</f>
        <v>0</v>
      </c>
      <c r="S722" s="25">
        <f>S721*(1+D721)+Table9[[#This Row],[ACC FACTOR PAYMENTS]]</f>
        <v>8753.1030357170803</v>
      </c>
    </row>
    <row r="723" spans="1:19" x14ac:dyDescent="0.25">
      <c r="A723" s="1">
        <v>711</v>
      </c>
      <c r="B723" s="1">
        <f t="shared" si="11"/>
        <v>0</v>
      </c>
      <c r="C723" s="7">
        <f>G$12/-PV(Table7[Monthly mortgage rate], (12*Table7[Amortization period (yrs)]),1 )</f>
        <v>4377.9977174134756</v>
      </c>
      <c r="D723" s="11">
        <f>IF(Table1[[#This Row],[Month]]&lt;=(12*Table7[mortgage term (yrs)]),Table7[Monthly mortgage rate],Table7[Monthly Exp Renewal Rate])</f>
        <v>4.9038466830562122E-3</v>
      </c>
      <c r="E723" s="21">
        <f>Table1[[#This Row],[Current mortgage rate]]*G722</f>
        <v>-44914.398615689141</v>
      </c>
      <c r="F723" s="5">
        <f>Table1[[#This Row],[Payment amount]]-Table1[[#This Row],[Interest paid]]</f>
        <v>49292.396333102617</v>
      </c>
      <c r="G723" s="20">
        <f>G722-Table1[[#This Row],[Principal repaid]]-Table1[[#This Row],[Annual paym]]</f>
        <v>-9208306.0275866091</v>
      </c>
      <c r="H723" s="20">
        <f>H722-(Table1[[#This Row],[Payment amount]]-Table1[[#This Row],[Interest Paid W/O LSP]])</f>
        <v>-5954303.8797909543</v>
      </c>
      <c r="I723">
        <f>H722*Table1[[#This Row],[Current mortgage rate]]</f>
        <v>-29035.140424175475</v>
      </c>
      <c r="J723" s="25">
        <f>IF(Table1[[#This Row],[Month]]&gt;Table7[Amortization period (yrs)]*12,0,IF(Table1[[#This Row],[Month]]&lt;Table7[mortgage term (yrs)]*12,0,IF(Table1[[#This Row],[Month]]=Table7[mortgage term (yrs)]*12,-H$5,Table1[[#This Row],[Payment amount]]+B723)))</f>
        <v>0</v>
      </c>
      <c r="K723">
        <v>712</v>
      </c>
      <c r="L723">
        <f>Table7[Initial Monthly Deposit]*Table9[[#This Row],[Inflation Modifier]]</f>
        <v>1286.6787405354546</v>
      </c>
      <c r="M723">
        <f xml:space="preserve"> (1+Table7[Inflation])^(QUOTIENT(Table9[[#This Row],[Month]]-1,12))</f>
        <v>3.2166968513386367</v>
      </c>
      <c r="N723">
        <f>N722*(1+Table7[Monthly SF Inter])+Table9[[#This Row],[Monthly Payment]]-O722*(1+Table7[Monthly SF Inter])</f>
        <v>224446.02803458134</v>
      </c>
      <c r="O723">
        <f>IF(MOD(Table9[[#This Row],[Month]],12)=0,(IF(Table9[[#This Row],[Current Balance]]&lt;Table9[[#This Row],[Max Lump Sum ]],Table9[[#This Row],[Current Balance]],Table9[[#This Row],[Max Lump Sum ]])),0)</f>
        <v>0</v>
      </c>
      <c r="P723" s="21">
        <f>Table7[Max annual lump sum repayment]*SUM(C724:C735)</f>
        <v>7880.3958913442566</v>
      </c>
      <c r="Q723" s="25">
        <f>Q722*(1+Table7[Monthly SF Inter])+Table9[[#This Row],[Inflation Modifier]]-R722*(1+Table7[Monthly SF Inter])</f>
        <v>12.946598767626327</v>
      </c>
      <c r="R723" s="25">
        <f>IF(MOD(Table9[[#This Row],[Month]],12)=0,Table9[[#This Row],[Q2 ACC FACTOR]],0)</f>
        <v>0</v>
      </c>
      <c r="S723" s="25">
        <f>S722*(1+D722)+Table9[[#This Row],[ACC FACTOR PAYMENTS]]</f>
        <v>8796.0269110052304</v>
      </c>
    </row>
    <row r="724" spans="1:19" x14ac:dyDescent="0.25">
      <c r="A724" s="1">
        <v>712</v>
      </c>
      <c r="B724" s="1">
        <f t="shared" si="11"/>
        <v>0</v>
      </c>
      <c r="C724" s="7">
        <f>G$12/-PV(Table7[Monthly mortgage rate], (12*Table7[Amortization period (yrs)]),1 )</f>
        <v>4377.9977174134756</v>
      </c>
      <c r="D724" s="11">
        <f>IF(Table1[[#This Row],[Month]]&lt;=(12*Table7[mortgage term (yrs)]),Table7[Monthly mortgage rate],Table7[Monthly Exp Renewal Rate])</f>
        <v>4.9038466830562122E-3</v>
      </c>
      <c r="E724" s="21">
        <f>Table1[[#This Row],[Current mortgage rate]]*G723</f>
        <v>-45156.120969947122</v>
      </c>
      <c r="F724" s="5">
        <f>Table1[[#This Row],[Payment amount]]-Table1[[#This Row],[Interest paid]]</f>
        <v>49534.118687360598</v>
      </c>
      <c r="G724" s="20">
        <f>G723-Table1[[#This Row],[Principal repaid]]-Table1[[#This Row],[Annual paym]]</f>
        <v>-9257840.1462739706</v>
      </c>
      <c r="H724" s="20">
        <f>H723-(Table1[[#This Row],[Payment amount]]-Table1[[#This Row],[Interest Paid W/O LSP]])</f>
        <v>-5987880.8708391897</v>
      </c>
      <c r="I724">
        <f>H723*Table1[[#This Row],[Current mortgage rate]]</f>
        <v>-29198.993330821606</v>
      </c>
      <c r="J724" s="25">
        <f>IF(Table1[[#This Row],[Month]]&gt;Table7[Amortization period (yrs)]*12,0,IF(Table1[[#This Row],[Month]]&lt;Table7[mortgage term (yrs)]*12,0,IF(Table1[[#This Row],[Month]]=Table7[mortgage term (yrs)]*12,-H$5,Table1[[#This Row],[Payment amount]]+B724)))</f>
        <v>0</v>
      </c>
      <c r="K724">
        <v>713</v>
      </c>
      <c r="L724">
        <f>Table7[Initial Monthly Deposit]*Table9[[#This Row],[Inflation Modifier]]</f>
        <v>1286.6787405354546</v>
      </c>
      <c r="M724">
        <f xml:space="preserve"> (1+Table7[Inflation])^(QUOTIENT(Table9[[#This Row],[Month]]-1,12))</f>
        <v>3.2166968513386367</v>
      </c>
      <c r="N724">
        <f>N723*(1+Table7[Monthly SF Inter])+Table9[[#This Row],[Monthly Payment]]-O723*(1+Table7[Monthly SF Inter])</f>
        <v>226658.30322121881</v>
      </c>
      <c r="O724">
        <f>IF(MOD(Table9[[#This Row],[Month]],12)=0,(IF(Table9[[#This Row],[Current Balance]]&lt;Table9[[#This Row],[Max Lump Sum ]],Table9[[#This Row],[Current Balance]],Table9[[#This Row],[Max Lump Sum ]])),0)</f>
        <v>0</v>
      </c>
      <c r="P724" s="21">
        <f>Table7[Max annual lump sum repayment]*SUM(C725:C736)</f>
        <v>7880.3958913442566</v>
      </c>
      <c r="Q724" s="25">
        <f>Q723*(1+Table7[Monthly SF Inter])+Table9[[#This Row],[Inflation Modifier]]-R723*(1+Table7[Monthly SF Inter])</f>
        <v>16.216686297843793</v>
      </c>
      <c r="R724" s="25">
        <f>IF(MOD(Table9[[#This Row],[Month]],12)=0,Table9[[#This Row],[Q2 ACC FACTOR]],0)</f>
        <v>0</v>
      </c>
      <c r="S724" s="25">
        <f>S723*(1+D723)+Table9[[#This Row],[ACC FACTOR PAYMENTS]]</f>
        <v>8839.1612783968358</v>
      </c>
    </row>
    <row r="725" spans="1:19" x14ac:dyDescent="0.25">
      <c r="A725" s="1">
        <v>713</v>
      </c>
      <c r="B725" s="1">
        <f t="shared" si="11"/>
        <v>0</v>
      </c>
      <c r="C725" s="7">
        <f>G$12/-PV(Table7[Monthly mortgage rate], (12*Table7[Amortization period (yrs)]),1 )</f>
        <v>4377.9977174134756</v>
      </c>
      <c r="D725" s="11">
        <f>IF(Table1[[#This Row],[Month]]&lt;=(12*Table7[mortgage term (yrs)]),Table7[Monthly mortgage rate],Table7[Monthly Exp Renewal Rate])</f>
        <v>4.9038466830562122E-3</v>
      </c>
      <c r="E725" s="21">
        <f>Table1[[#This Row],[Current mortgage rate]]*G724</f>
        <v>-45399.028693570246</v>
      </c>
      <c r="F725" s="5">
        <f>Table1[[#This Row],[Payment amount]]-Table1[[#This Row],[Interest paid]]</f>
        <v>49777.026410983723</v>
      </c>
      <c r="G725" s="20">
        <f>G724-Table1[[#This Row],[Principal repaid]]-Table1[[#This Row],[Annual paym]]</f>
        <v>-9307617.1726849545</v>
      </c>
      <c r="H725" s="20">
        <f>H724-(Table1[[#This Row],[Payment amount]]-Table1[[#This Row],[Interest Paid W/O LSP]])</f>
        <v>-6021622.5183036039</v>
      </c>
      <c r="I725">
        <f>H724*Table1[[#This Row],[Current mortgage rate]]</f>
        <v>-29363.649747000505</v>
      </c>
      <c r="J725" s="25">
        <f>IF(Table1[[#This Row],[Month]]&gt;Table7[Amortization period (yrs)]*12,0,IF(Table1[[#This Row],[Month]]&lt;Table7[mortgage term (yrs)]*12,0,IF(Table1[[#This Row],[Month]]=Table7[mortgage term (yrs)]*12,-H$5,Table1[[#This Row],[Payment amount]]+B725)))</f>
        <v>0</v>
      </c>
      <c r="K725">
        <v>714</v>
      </c>
      <c r="L725">
        <f>Table7[Initial Monthly Deposit]*Table9[[#This Row],[Inflation Modifier]]</f>
        <v>1286.6787405354546</v>
      </c>
      <c r="M725">
        <f xml:space="preserve"> (1+Table7[Inflation])^(QUOTIENT(Table9[[#This Row],[Month]]-1,12))</f>
        <v>3.2166968513386367</v>
      </c>
      <c r="N725">
        <f>N724*(1+Table7[Monthly SF Inter])+Table9[[#This Row],[Monthly Payment]]-O724*(1+Table7[Monthly SF Inter])</f>
        <v>228879.7016437116</v>
      </c>
      <c r="O725">
        <f>IF(MOD(Table9[[#This Row],[Month]],12)=0,(IF(Table9[[#This Row],[Current Balance]]&lt;Table9[[#This Row],[Max Lump Sum ]],Table9[[#This Row],[Current Balance]],Table9[[#This Row],[Max Lump Sum ]])),0)</f>
        <v>0</v>
      </c>
      <c r="P725" s="21">
        <f>Table7[Max annual lump sum repayment]*SUM(C726:C737)</f>
        <v>7880.3958913442566</v>
      </c>
      <c r="Q725" s="25">
        <f>Q724*(1+Table7[Monthly SF Inter])+Table9[[#This Row],[Inflation Modifier]]-R724*(1+Table7[Monthly SF Inter])</f>
        <v>19.500259392599499</v>
      </c>
      <c r="R725" s="25">
        <f>IF(MOD(Table9[[#This Row],[Month]],12)=0,Table9[[#This Row],[Q2 ACC FACTOR]],0)</f>
        <v>0</v>
      </c>
      <c r="S725" s="25">
        <f>S724*(1+D724)+Table9[[#This Row],[ACC FACTOR PAYMENTS]]</f>
        <v>8882.5071701129018</v>
      </c>
    </row>
    <row r="726" spans="1:19" x14ac:dyDescent="0.25">
      <c r="A726" s="1">
        <v>714</v>
      </c>
      <c r="B726" s="1">
        <f t="shared" si="11"/>
        <v>0</v>
      </c>
      <c r="C726" s="7">
        <f>G$12/-PV(Table7[Monthly mortgage rate], (12*Table7[Amortization period (yrs)]),1 )</f>
        <v>4377.9977174134756</v>
      </c>
      <c r="D726" s="11">
        <f>IF(Table1[[#This Row],[Month]]&lt;=(12*Table7[mortgage term (yrs)]),Table7[Monthly mortgage rate],Table7[Monthly Exp Renewal Rate])</f>
        <v>4.9038466830562122E-3</v>
      </c>
      <c r="E726" s="21">
        <f>Table1[[#This Row],[Current mortgage rate]]*G725</f>
        <v>-45643.127599428153</v>
      </c>
      <c r="F726" s="5">
        <f>Table1[[#This Row],[Payment amount]]-Table1[[#This Row],[Interest paid]]</f>
        <v>50021.12531684163</v>
      </c>
      <c r="G726" s="20">
        <f>G725-Table1[[#This Row],[Principal repaid]]-Table1[[#This Row],[Annual paym]]</f>
        <v>-9357638.298001796</v>
      </c>
      <c r="H726" s="20">
        <f>H725-(Table1[[#This Row],[Payment amount]]-Table1[[#This Row],[Interest Paid W/O LSP]])</f>
        <v>-6055529.6296340171</v>
      </c>
      <c r="I726">
        <f>H725*Table1[[#This Row],[Current mortgage rate]]</f>
        <v>-29529.113612999725</v>
      </c>
      <c r="J726" s="25">
        <f>IF(Table1[[#This Row],[Month]]&gt;Table7[Amortization period (yrs)]*12,0,IF(Table1[[#This Row],[Month]]&lt;Table7[mortgage term (yrs)]*12,0,IF(Table1[[#This Row],[Month]]=Table7[mortgage term (yrs)]*12,-H$5,Table1[[#This Row],[Payment amount]]+B726)))</f>
        <v>0</v>
      </c>
      <c r="K726">
        <v>715</v>
      </c>
      <c r="L726">
        <f>Table7[Initial Monthly Deposit]*Table9[[#This Row],[Inflation Modifier]]</f>
        <v>1286.6787405354546</v>
      </c>
      <c r="M726">
        <f xml:space="preserve"> (1+Table7[Inflation])^(QUOTIENT(Table9[[#This Row],[Month]]-1,12))</f>
        <v>3.2166968513386367</v>
      </c>
      <c r="N726">
        <f>N725*(1+Table7[Monthly SF Inter])+Table9[[#This Row],[Monthly Payment]]-O725*(1+Table7[Monthly SF Inter])</f>
        <v>231110.26092551314</v>
      </c>
      <c r="O726">
        <f>IF(MOD(Table9[[#This Row],[Month]],12)=0,(IF(Table9[[#This Row],[Current Balance]]&lt;Table9[[#This Row],[Max Lump Sum ]],Table9[[#This Row],[Current Balance]],Table9[[#This Row],[Max Lump Sum ]])),0)</f>
        <v>0</v>
      </c>
      <c r="P726" s="21">
        <f>Table7[Max annual lump sum repayment]*SUM(C727:C738)</f>
        <v>7880.3958913442566</v>
      </c>
      <c r="Q726" s="25">
        <f>Q725*(1+Table7[Monthly SF Inter])+Table9[[#This Row],[Inflation Modifier]]-R725*(1+Table7[Monthly SF Inter])</f>
        <v>22.797373665221599</v>
      </c>
      <c r="R726" s="25">
        <f>IF(MOD(Table9[[#This Row],[Month]],12)=0,Table9[[#This Row],[Q2 ACC FACTOR]],0)</f>
        <v>0</v>
      </c>
      <c r="S726" s="25">
        <f>S725*(1+D725)+Table9[[#This Row],[ACC FACTOR PAYMENTS]]</f>
        <v>8926.0656234362832</v>
      </c>
    </row>
    <row r="727" spans="1:19" x14ac:dyDescent="0.25">
      <c r="A727" s="1">
        <v>715</v>
      </c>
      <c r="B727" s="1">
        <f t="shared" si="11"/>
        <v>0</v>
      </c>
      <c r="C727" s="7">
        <f>G$12/-PV(Table7[Monthly mortgage rate], (12*Table7[Amortization period (yrs)]),1 )</f>
        <v>4377.9977174134756</v>
      </c>
      <c r="D727" s="11">
        <f>IF(Table1[[#This Row],[Month]]&lt;=(12*Table7[mortgage term (yrs)]),Table7[Monthly mortgage rate],Table7[Monthly Exp Renewal Rate])</f>
        <v>4.9038466830562122E-3</v>
      </c>
      <c r="E727" s="21">
        <f>Table1[[#This Row],[Current mortgage rate]]*G726</f>
        <v>-45888.423528895888</v>
      </c>
      <c r="F727" s="5">
        <f>Table1[[#This Row],[Payment amount]]-Table1[[#This Row],[Interest paid]]</f>
        <v>50266.421246309365</v>
      </c>
      <c r="G727" s="20">
        <f>G726-Table1[[#This Row],[Principal repaid]]-Table1[[#This Row],[Annual paym]]</f>
        <v>-9407904.7192481048</v>
      </c>
      <c r="H727" s="20">
        <f>H726-(Table1[[#This Row],[Payment amount]]-Table1[[#This Row],[Interest Paid W/O LSP]])</f>
        <v>-6089603.0162398601</v>
      </c>
      <c r="I727">
        <f>H726*Table1[[#This Row],[Current mortgage rate]]</f>
        <v>-29695.388888429388</v>
      </c>
      <c r="J727" s="25">
        <f>IF(Table1[[#This Row],[Month]]&gt;Table7[Amortization period (yrs)]*12,0,IF(Table1[[#This Row],[Month]]&lt;Table7[mortgage term (yrs)]*12,0,IF(Table1[[#This Row],[Month]]=Table7[mortgage term (yrs)]*12,-H$5,Table1[[#This Row],[Payment amount]]+B727)))</f>
        <v>0</v>
      </c>
      <c r="K727">
        <v>716</v>
      </c>
      <c r="L727">
        <f>Table7[Initial Monthly Deposit]*Table9[[#This Row],[Inflation Modifier]]</f>
        <v>1286.6787405354546</v>
      </c>
      <c r="M727">
        <f xml:space="preserve"> (1+Table7[Inflation])^(QUOTIENT(Table9[[#This Row],[Month]]-1,12))</f>
        <v>3.2166968513386367</v>
      </c>
      <c r="N727">
        <f>N726*(1+Table7[Monthly SF Inter])+Table9[[#This Row],[Monthly Payment]]-O726*(1+Table7[Monthly SF Inter])</f>
        <v>233350.01884523284</v>
      </c>
      <c r="O727">
        <f>IF(MOD(Table9[[#This Row],[Month]],12)=0,(IF(Table9[[#This Row],[Current Balance]]&lt;Table9[[#This Row],[Max Lump Sum ]],Table9[[#This Row],[Current Balance]],Table9[[#This Row],[Max Lump Sum ]])),0)</f>
        <v>0</v>
      </c>
      <c r="P727" s="21">
        <f>Table7[Max annual lump sum repayment]*SUM(C728:C739)</f>
        <v>7880.3958913442566</v>
      </c>
      <c r="Q727" s="25">
        <f>Q726*(1+Table7[Monthly SF Inter])+Table9[[#This Row],[Inflation Modifier]]-R726*(1+Table7[Monthly SF Inter])</f>
        <v>26.108084958382914</v>
      </c>
      <c r="R727" s="25">
        <f>IF(MOD(Table9[[#This Row],[Month]],12)=0,Table9[[#This Row],[Q2 ACC FACTOR]],0)</f>
        <v>0</v>
      </c>
      <c r="S727" s="25">
        <f>S726*(1+D726)+Table9[[#This Row],[ACC FACTOR PAYMENTS]]</f>
        <v>8969.837680736513</v>
      </c>
    </row>
    <row r="728" spans="1:19" x14ac:dyDescent="0.25">
      <c r="A728" s="1">
        <v>716</v>
      </c>
      <c r="B728" s="1">
        <f t="shared" si="11"/>
        <v>0</v>
      </c>
      <c r="C728" s="7">
        <f>G$12/-PV(Table7[Monthly mortgage rate], (12*Table7[Amortization period (yrs)]),1 )</f>
        <v>4377.9977174134756</v>
      </c>
      <c r="D728" s="11">
        <f>IF(Table1[[#This Row],[Month]]&lt;=(12*Table7[mortgage term (yrs)]),Table7[Monthly mortgage rate],Table7[Monthly Exp Renewal Rate])</f>
        <v>4.9038466830562122E-3</v>
      </c>
      <c r="E728" s="21">
        <f>Table1[[#This Row],[Current mortgage rate]]*G727</f>
        <v>-46134.9223519937</v>
      </c>
      <c r="F728" s="5">
        <f>Table1[[#This Row],[Payment amount]]-Table1[[#This Row],[Interest paid]]</f>
        <v>50512.920069407177</v>
      </c>
      <c r="G728" s="20">
        <f>G727-Table1[[#This Row],[Principal repaid]]-Table1[[#This Row],[Annual paym]]</f>
        <v>-9458417.6393175125</v>
      </c>
      <c r="H728" s="20">
        <f>H727-(Table1[[#This Row],[Payment amount]]-Table1[[#This Row],[Interest Paid W/O LSP]])</f>
        <v>-6123843.4935095906</v>
      </c>
      <c r="I728">
        <f>H727*Table1[[#This Row],[Current mortgage rate]]</f>
        <v>-29862.479552316941</v>
      </c>
      <c r="J728" s="25">
        <f>IF(Table1[[#This Row],[Month]]&gt;Table7[Amortization period (yrs)]*12,0,IF(Table1[[#This Row],[Month]]&lt;Table7[mortgage term (yrs)]*12,0,IF(Table1[[#This Row],[Month]]=Table7[mortgage term (yrs)]*12,-H$5,Table1[[#This Row],[Payment amount]]+B728)))</f>
        <v>0</v>
      </c>
      <c r="K728">
        <v>717</v>
      </c>
      <c r="L728">
        <f>Table7[Initial Monthly Deposit]*Table9[[#This Row],[Inflation Modifier]]</f>
        <v>1286.6787405354546</v>
      </c>
      <c r="M728">
        <f xml:space="preserve"> (1+Table7[Inflation])^(QUOTIENT(Table9[[#This Row],[Month]]-1,12))</f>
        <v>3.2166968513386367</v>
      </c>
      <c r="N728">
        <f>N727*(1+Table7[Monthly SF Inter])+Table9[[#This Row],[Monthly Payment]]-O727*(1+Table7[Monthly SF Inter])</f>
        <v>235599.01333727586</v>
      </c>
      <c r="O728">
        <f>IF(MOD(Table9[[#This Row],[Month]],12)=0,(IF(Table9[[#This Row],[Current Balance]]&lt;Table9[[#This Row],[Max Lump Sum ]],Table9[[#This Row],[Current Balance]],Table9[[#This Row],[Max Lump Sum ]])),0)</f>
        <v>0</v>
      </c>
      <c r="P728" s="21">
        <f>Table7[Max annual lump sum repayment]*SUM(C729:C740)</f>
        <v>7880.3958913442566</v>
      </c>
      <c r="Q728" s="25">
        <f>Q727*(1+Table7[Monthly SF Inter])+Table9[[#This Row],[Inflation Modifier]]-R727*(1+Table7[Monthly SF Inter])</f>
        <v>29.432449345046724</v>
      </c>
      <c r="R728" s="25">
        <f>IF(MOD(Table9[[#This Row],[Month]],12)=0,Table9[[#This Row],[Q2 ACC FACTOR]],0)</f>
        <v>0</v>
      </c>
      <c r="S728" s="25">
        <f>S727*(1+D727)+Table9[[#This Row],[ACC FACTOR PAYMENTS]]</f>
        <v>9013.8243894947445</v>
      </c>
    </row>
    <row r="729" spans="1:19" x14ac:dyDescent="0.25">
      <c r="A729" s="1">
        <v>717</v>
      </c>
      <c r="B729" s="1">
        <f t="shared" si="11"/>
        <v>0</v>
      </c>
      <c r="C729" s="7">
        <f>G$12/-PV(Table7[Monthly mortgage rate], (12*Table7[Amortization period (yrs)]),1 )</f>
        <v>4377.9977174134756</v>
      </c>
      <c r="D729" s="11">
        <f>IF(Table1[[#This Row],[Month]]&lt;=(12*Table7[mortgage term (yrs)]),Table7[Monthly mortgage rate],Table7[Monthly Exp Renewal Rate])</f>
        <v>4.9038466830562122E-3</v>
      </c>
      <c r="E729" s="21">
        <f>Table1[[#This Row],[Current mortgage rate]]*G728</f>
        <v>-46382.629967527551</v>
      </c>
      <c r="F729" s="5">
        <f>Table1[[#This Row],[Payment amount]]-Table1[[#This Row],[Interest paid]]</f>
        <v>50760.627684941028</v>
      </c>
      <c r="G729" s="20">
        <f>G728-Table1[[#This Row],[Principal repaid]]-Table1[[#This Row],[Annual paym]]</f>
        <v>-9509178.267002454</v>
      </c>
      <c r="H729" s="20">
        <f>H728-(Table1[[#This Row],[Payment amount]]-Table1[[#This Row],[Interest Paid W/O LSP]])</f>
        <v>-6158251.8808302069</v>
      </c>
      <c r="I729">
        <f>H728*Table1[[#This Row],[Current mortgage rate]]</f>
        <v>-30030.389603202373</v>
      </c>
      <c r="J729" s="25">
        <f>IF(Table1[[#This Row],[Month]]&gt;Table7[Amortization period (yrs)]*12,0,IF(Table1[[#This Row],[Month]]&lt;Table7[mortgage term (yrs)]*12,0,IF(Table1[[#This Row],[Month]]=Table7[mortgage term (yrs)]*12,-H$5,Table1[[#This Row],[Payment amount]]+B729)))</f>
        <v>0</v>
      </c>
      <c r="K729">
        <v>718</v>
      </c>
      <c r="L729">
        <f>Table7[Initial Monthly Deposit]*Table9[[#This Row],[Inflation Modifier]]</f>
        <v>1286.6787405354546</v>
      </c>
      <c r="M729">
        <f xml:space="preserve"> (1+Table7[Inflation])^(QUOTIENT(Table9[[#This Row],[Month]]-1,12))</f>
        <v>3.2166968513386367</v>
      </c>
      <c r="N729">
        <f>N728*(1+Table7[Monthly SF Inter])+Table9[[#This Row],[Monthly Payment]]-O728*(1+Table7[Monthly SF Inter])</f>
        <v>237857.28249248562</v>
      </c>
      <c r="O729">
        <f>IF(MOD(Table9[[#This Row],[Month]],12)=0,(IF(Table9[[#This Row],[Current Balance]]&lt;Table9[[#This Row],[Max Lump Sum ]],Table9[[#This Row],[Current Balance]],Table9[[#This Row],[Max Lump Sum ]])),0)</f>
        <v>0</v>
      </c>
      <c r="P729" s="21">
        <f>Table7[Max annual lump sum repayment]*SUM(C730:C741)</f>
        <v>7880.3958913442566</v>
      </c>
      <c r="Q729" s="25">
        <f>Q728*(1+Table7[Monthly SF Inter])+Table9[[#This Row],[Inflation Modifier]]-R728*(1+Table7[Monthly SF Inter])</f>
        <v>32.770523129416475</v>
      </c>
      <c r="R729" s="25">
        <f>IF(MOD(Table9[[#This Row],[Month]],12)=0,Table9[[#This Row],[Q2 ACC FACTOR]],0)</f>
        <v>0</v>
      </c>
      <c r="S729" s="25">
        <f>S728*(1+D728)+Table9[[#This Row],[ACC FACTOR PAYMENTS]]</f>
        <v>9058.026802328819</v>
      </c>
    </row>
    <row r="730" spans="1:19" x14ac:dyDescent="0.25">
      <c r="A730" s="1">
        <v>718</v>
      </c>
      <c r="B730" s="1">
        <f t="shared" si="11"/>
        <v>0</v>
      </c>
      <c r="C730" s="7">
        <f>G$12/-PV(Table7[Monthly mortgage rate], (12*Table7[Amortization period (yrs)]),1 )</f>
        <v>4377.9977174134756</v>
      </c>
      <c r="D730" s="11">
        <f>IF(Table1[[#This Row],[Month]]&lt;=(12*Table7[mortgage term (yrs)]),Table7[Monthly mortgage rate],Table7[Monthly Exp Renewal Rate])</f>
        <v>4.9038466830562122E-3</v>
      </c>
      <c r="E730" s="21">
        <f>Table1[[#This Row],[Current mortgage rate]]*G729</f>
        <v>-46631.552303230201</v>
      </c>
      <c r="F730" s="5">
        <f>Table1[[#This Row],[Payment amount]]-Table1[[#This Row],[Interest paid]]</f>
        <v>51009.550020643677</v>
      </c>
      <c r="G730" s="20">
        <f>G729-Table1[[#This Row],[Principal repaid]]-Table1[[#This Row],[Annual paym]]</f>
        <v>-9560187.8170230985</v>
      </c>
      <c r="H730" s="20">
        <f>H729-(Table1[[#This Row],[Payment amount]]-Table1[[#This Row],[Interest Paid W/O LSP]])</f>
        <v>-6192829.0016068546</v>
      </c>
      <c r="I730">
        <f>H729*Table1[[#This Row],[Current mortgage rate]]</f>
        <v>-30199.123059233891</v>
      </c>
      <c r="J730" s="25">
        <f>IF(Table1[[#This Row],[Month]]&gt;Table7[Amortization period (yrs)]*12,0,IF(Table1[[#This Row],[Month]]&lt;Table7[mortgage term (yrs)]*12,0,IF(Table1[[#This Row],[Month]]=Table7[mortgage term (yrs)]*12,-H$5,Table1[[#This Row],[Payment amount]]+B730)))</f>
        <v>0</v>
      </c>
      <c r="K730">
        <v>719</v>
      </c>
      <c r="L730">
        <f>Table7[Initial Monthly Deposit]*Table9[[#This Row],[Inflation Modifier]]</f>
        <v>1286.6787405354546</v>
      </c>
      <c r="M730">
        <f xml:space="preserve"> (1+Table7[Inflation])^(QUOTIENT(Table9[[#This Row],[Month]]-1,12))</f>
        <v>3.2166968513386367</v>
      </c>
      <c r="N730">
        <f>N729*(1+Table7[Monthly SF Inter])+Table9[[#This Row],[Monthly Payment]]-O729*(1+Table7[Monthly SF Inter])</f>
        <v>240124.86455878904</v>
      </c>
      <c r="O730">
        <f>IF(MOD(Table9[[#This Row],[Month]],12)=0,(IF(Table9[[#This Row],[Current Balance]]&lt;Table9[[#This Row],[Max Lump Sum ]],Table9[[#This Row],[Current Balance]],Table9[[#This Row],[Max Lump Sum ]])),0)</f>
        <v>0</v>
      </c>
      <c r="P730" s="21">
        <f>Table7[Max annual lump sum repayment]*SUM(C731:C742)</f>
        <v>7880.3958913442566</v>
      </c>
      <c r="Q730" s="25">
        <f>Q729*(1+Table7[Monthly SF Inter])+Table9[[#This Row],[Inflation Modifier]]-R729*(1+Table7[Monthly SF Inter])</f>
        <v>36.122362847889384</v>
      </c>
      <c r="R730" s="25">
        <f>IF(MOD(Table9[[#This Row],[Month]],12)=0,Table9[[#This Row],[Q2 ACC FACTOR]],0)</f>
        <v>0</v>
      </c>
      <c r="S730" s="25">
        <f>S729*(1+D729)+Table9[[#This Row],[ACC FACTOR PAYMENTS]]</f>
        <v>9102.445977018453</v>
      </c>
    </row>
    <row r="731" spans="1:19" x14ac:dyDescent="0.25">
      <c r="A731" s="1">
        <v>719</v>
      </c>
      <c r="B731" s="1">
        <f t="shared" si="11"/>
        <v>0</v>
      </c>
      <c r="C731" s="7">
        <f>G$12/-PV(Table7[Monthly mortgage rate], (12*Table7[Amortization period (yrs)]),1 )</f>
        <v>4377.9977174134756</v>
      </c>
      <c r="D731" s="11">
        <f>IF(Table1[[#This Row],[Month]]&lt;=(12*Table7[mortgage term (yrs)]),Table7[Monthly mortgage rate],Table7[Monthly Exp Renewal Rate])</f>
        <v>4.9038466830562122E-3</v>
      </c>
      <c r="E731" s="21">
        <f>Table1[[#This Row],[Current mortgage rate]]*G730</f>
        <v>-46881.695315903133</v>
      </c>
      <c r="F731" s="5">
        <f>Table1[[#This Row],[Payment amount]]-Table1[[#This Row],[Interest paid]]</f>
        <v>51259.693033316609</v>
      </c>
      <c r="G731" s="20">
        <f>G730-Table1[[#This Row],[Principal repaid]]-Table1[[#This Row],[Annual paym]]</f>
        <v>-9611447.5100564156</v>
      </c>
      <c r="H731" s="20">
        <f>H730-(Table1[[#This Row],[Payment amount]]-Table1[[#This Row],[Interest Paid W/O LSP]])</f>
        <v>-6227575.6832825318</v>
      </c>
      <c r="I731">
        <f>H730*Table1[[#This Row],[Current mortgage rate]]</f>
        <v>-30368.68395826409</v>
      </c>
      <c r="J731" s="25">
        <f>IF(Table1[[#This Row],[Month]]&gt;Table7[Amortization period (yrs)]*12,0,IF(Table1[[#This Row],[Month]]&lt;Table7[mortgage term (yrs)]*12,0,IF(Table1[[#This Row],[Month]]=Table7[mortgage term (yrs)]*12,-H$5,Table1[[#This Row],[Payment amount]]+B731)))</f>
        <v>0</v>
      </c>
      <c r="K731">
        <v>720</v>
      </c>
      <c r="L731">
        <f>Table7[Initial Monthly Deposit]*Table9[[#This Row],[Inflation Modifier]]</f>
        <v>1286.6787405354546</v>
      </c>
      <c r="M731">
        <f xml:space="preserve"> (1+Table7[Inflation])^(QUOTIENT(Table9[[#This Row],[Month]]-1,12))</f>
        <v>3.2166968513386367</v>
      </c>
      <c r="N731">
        <f>N730*(1+Table7[Monthly SF Inter])+Table9[[#This Row],[Monthly Payment]]-O730*(1+Table7[Monthly SF Inter])</f>
        <v>242401.79794184415</v>
      </c>
      <c r="O731">
        <f>IF(MOD(Table9[[#This Row],[Month]],12)=0,(IF(Table9[[#This Row],[Current Balance]]&lt;Table9[[#This Row],[Max Lump Sum ]],Table9[[#This Row],[Current Balance]],Table9[[#This Row],[Max Lump Sum ]])),0)</f>
        <v>7880.3958913442566</v>
      </c>
      <c r="P731" s="21">
        <f>Table7[Max annual lump sum repayment]*SUM(C732:C743)</f>
        <v>7880.3958913442566</v>
      </c>
      <c r="Q731" s="25">
        <f>Q730*(1+Table7[Monthly SF Inter])+Table9[[#This Row],[Inflation Modifier]]-R730*(1+Table7[Monthly SF Inter])</f>
        <v>39.488025270013985</v>
      </c>
      <c r="R731" s="25">
        <f>IF(MOD(Table9[[#This Row],[Month]],12)=0,Table9[[#This Row],[Q2 ACC FACTOR]],0)</f>
        <v>39.488025270013985</v>
      </c>
      <c r="S731" s="25">
        <f>S730*(1+D730)+Table9[[#This Row],[ACC FACTOR PAYMENTS]]</f>
        <v>9186.5710018005666</v>
      </c>
    </row>
    <row r="732" spans="1:19" x14ac:dyDescent="0.25">
      <c r="A732" s="1">
        <v>720</v>
      </c>
      <c r="B732" s="1">
        <f t="shared" si="11"/>
        <v>7880.3958913442566</v>
      </c>
      <c r="C732" s="7">
        <f>G$12/-PV(Table7[Monthly mortgage rate], (12*Table7[Amortization period (yrs)]),1 )</f>
        <v>4377.9977174134756</v>
      </c>
      <c r="D732" s="11">
        <f>IF(Table1[[#This Row],[Month]]&lt;=(12*Table7[mortgage term (yrs)]),Table7[Monthly mortgage rate],Table7[Monthly Exp Renewal Rate])</f>
        <v>4.9038466830562122E-3</v>
      </c>
      <c r="E732" s="21">
        <f>Table1[[#This Row],[Current mortgage rate]]*G731</f>
        <v>-47133.06499155904</v>
      </c>
      <c r="F732" s="5">
        <f>Table1[[#This Row],[Payment amount]]-Table1[[#This Row],[Interest paid]]</f>
        <v>51511.062708972517</v>
      </c>
      <c r="G732" s="20">
        <f>G731-Table1[[#This Row],[Principal repaid]]-Table1[[#This Row],[Annual paym]]</f>
        <v>-9670838.9686567318</v>
      </c>
      <c r="H732" s="20">
        <f>H731-(Table1[[#This Row],[Payment amount]]-Table1[[#This Row],[Interest Paid W/O LSP]])</f>
        <v>-6262492.7573578916</v>
      </c>
      <c r="I732">
        <f>H731*Table1[[#This Row],[Current mortgage rate]]</f>
        <v>-30539.076357946567</v>
      </c>
      <c r="J732" s="25">
        <f>IF(Table1[[#This Row],[Month]]&gt;Table7[Amortization period (yrs)]*12,0,IF(Table1[[#This Row],[Month]]&lt;Table7[mortgage term (yrs)]*12,0,IF(Table1[[#This Row],[Month]]=Table7[mortgage term (yrs)]*12,-H$5,Table1[[#This Row],[Payment amount]]+B732)))</f>
        <v>0</v>
      </c>
      <c r="K732">
        <v>721</v>
      </c>
      <c r="L732">
        <f>Table7[Initial Monthly Deposit]*Table9[[#This Row],[Inflation Modifier]]</f>
        <v>1312.4123153461642</v>
      </c>
      <c r="M732">
        <f xml:space="preserve"> (1+Table7[Inflation])^(QUOTIENT(Table9[[#This Row],[Month]]-1,12))</f>
        <v>3.2810307883654102</v>
      </c>
      <c r="N732">
        <f>N731*(1+Table7[Monthly SF Inter])+Table9[[#This Row],[Monthly Payment]]-O731*(1+Table7[Monthly SF Inter])</f>
        <v>236800.96080266943</v>
      </c>
      <c r="O732">
        <f>IF(MOD(Table9[[#This Row],[Month]],12)=0,(IF(Table9[[#This Row],[Current Balance]]&lt;Table9[[#This Row],[Max Lump Sum ]],Table9[[#This Row],[Current Balance]],Table9[[#This Row],[Max Lump Sum ]])),0)</f>
        <v>0</v>
      </c>
      <c r="P732" s="21">
        <f>Table7[Max annual lump sum repayment]*SUM(C733:C744)</f>
        <v>7880.3958913442566</v>
      </c>
      <c r="Q732" s="25">
        <f>Q731*(1+Table7[Monthly SF Inter])+Table9[[#This Row],[Inflation Modifier]]-R731*(1+Table7[Monthly SF Inter])</f>
        <v>3.2810307883654133</v>
      </c>
      <c r="R732" s="25">
        <f>IF(MOD(Table9[[#This Row],[Month]],12)=0,Table9[[#This Row],[Q2 ACC FACTOR]],0)</f>
        <v>0</v>
      </c>
      <c r="S732" s="25">
        <f>S731*(1+D731)+Table9[[#This Row],[ACC FACTOR PAYMENTS]]</f>
        <v>9231.6205375364061</v>
      </c>
    </row>
    <row r="733" spans="1:19" x14ac:dyDescent="0.25">
      <c r="A733" s="1">
        <v>721</v>
      </c>
      <c r="B733" s="1">
        <f t="shared" si="11"/>
        <v>0</v>
      </c>
      <c r="C733" s="7">
        <f>G$12/-PV(Table7[Monthly mortgage rate], (12*Table7[Amortization period (yrs)]),1 )</f>
        <v>4377.9977174134756</v>
      </c>
      <c r="D733" s="11">
        <f>IF(Table1[[#This Row],[Month]]&lt;=(12*Table7[mortgage term (yrs)]),Table7[Monthly mortgage rate],Table7[Monthly Exp Renewal Rate])</f>
        <v>4.9038466830562122E-3</v>
      </c>
      <c r="E733" s="21">
        <f>Table1[[#This Row],[Current mortgage rate]]*G732</f>
        <v>-47424.311598818073</v>
      </c>
      <c r="F733" s="5">
        <f>Table1[[#This Row],[Payment amount]]-Table1[[#This Row],[Interest paid]]</f>
        <v>51802.309316231549</v>
      </c>
      <c r="G733" s="20">
        <f>G732-Table1[[#This Row],[Principal repaid]]-Table1[[#This Row],[Annual paym]]</f>
        <v>-9722641.2779729627</v>
      </c>
      <c r="H733" s="20">
        <f>H732-(Table1[[#This Row],[Payment amount]]-Table1[[#This Row],[Interest Paid W/O LSP]])</f>
        <v>-6297581.0594111383</v>
      </c>
      <c r="I733">
        <f>H732*Table1[[#This Row],[Current mortgage rate]]</f>
        <v>-30710.304335833051</v>
      </c>
      <c r="J733" s="25">
        <f>IF(Table1[[#This Row],[Month]]&gt;Table7[Amortization period (yrs)]*12,0,IF(Table1[[#This Row],[Month]]&lt;Table7[mortgage term (yrs)]*12,0,IF(Table1[[#This Row],[Month]]=Table7[mortgage term (yrs)]*12,-H$5,Table1[[#This Row],[Payment amount]]+B733)))</f>
        <v>0</v>
      </c>
      <c r="K733">
        <v>722</v>
      </c>
      <c r="L733">
        <f>Table7[Initial Monthly Deposit]*Table9[[#This Row],[Inflation Modifier]]</f>
        <v>1312.4123153461642</v>
      </c>
      <c r="M733">
        <f xml:space="preserve"> (1+Table7[Inflation])^(QUOTIENT(Table9[[#This Row],[Month]]-1,12))</f>
        <v>3.2810307883654102</v>
      </c>
      <c r="N733">
        <f>N732*(1+Table7[Monthly SF Inter])+Table9[[#This Row],[Monthly Payment]]-O732*(1+Table7[Monthly SF Inter])</f>
        <v>239089.92026243074</v>
      </c>
      <c r="O733">
        <f>IF(MOD(Table9[[#This Row],[Month]],12)=0,(IF(Table9[[#This Row],[Current Balance]]&lt;Table9[[#This Row],[Max Lump Sum ]],Table9[[#This Row],[Current Balance]],Table9[[#This Row],[Max Lump Sum ]])),0)</f>
        <v>0</v>
      </c>
      <c r="P733" s="21">
        <f>Table7[Max annual lump sum repayment]*SUM(C734:C745)</f>
        <v>7880.3958913442566</v>
      </c>
      <c r="Q733" s="25">
        <f>Q732*(1+Table7[Monthly SF Inter])+Table9[[#This Row],[Inflation Modifier]]-R732*(1+Table7[Monthly SF Inter])</f>
        <v>6.5755922703405778</v>
      </c>
      <c r="R733" s="25">
        <f>IF(MOD(Table9[[#This Row],[Month]],12)=0,Table9[[#This Row],[Q2 ACC FACTOR]],0)</f>
        <v>0</v>
      </c>
      <c r="S733" s="25">
        <f>S732*(1+D732)+Table9[[#This Row],[ACC FACTOR PAYMENTS]]</f>
        <v>9276.8909892886368</v>
      </c>
    </row>
    <row r="734" spans="1:19" x14ac:dyDescent="0.25">
      <c r="A734" s="1">
        <v>722</v>
      </c>
      <c r="B734" s="1">
        <f t="shared" si="11"/>
        <v>0</v>
      </c>
      <c r="C734" s="7">
        <f>G$12/-PV(Table7[Monthly mortgage rate], (12*Table7[Amortization period (yrs)]),1 )</f>
        <v>4377.9977174134756</v>
      </c>
      <c r="D734" s="11">
        <f>IF(Table1[[#This Row],[Month]]&lt;=(12*Table7[mortgage term (yrs)]),Table7[Monthly mortgage rate],Table7[Monthly Exp Renewal Rate])</f>
        <v>4.9038466830562122E-3</v>
      </c>
      <c r="E734" s="21">
        <f>Table1[[#This Row],[Current mortgage rate]]*G733</f>
        <v>-47678.342181533124</v>
      </c>
      <c r="F734" s="5">
        <f>Table1[[#This Row],[Payment amount]]-Table1[[#This Row],[Interest paid]]</f>
        <v>52056.3398989466</v>
      </c>
      <c r="G734" s="20">
        <f>G733-Table1[[#This Row],[Principal repaid]]-Table1[[#This Row],[Annual paym]]</f>
        <v>-9774697.6178719085</v>
      </c>
      <c r="H734" s="20">
        <f>H733-(Table1[[#This Row],[Payment amount]]-Table1[[#This Row],[Interest Paid W/O LSP]])</f>
        <v>-6332841.4291180223</v>
      </c>
      <c r="I734">
        <f>H733*Table1[[#This Row],[Current mortgage rate]]</f>
        <v>-30882.371989470936</v>
      </c>
      <c r="J734" s="25">
        <f>IF(Table1[[#This Row],[Month]]&gt;Table7[Amortization period (yrs)]*12,0,IF(Table1[[#This Row],[Month]]&lt;Table7[mortgage term (yrs)]*12,0,IF(Table1[[#This Row],[Month]]=Table7[mortgage term (yrs)]*12,-H$5,Table1[[#This Row],[Payment amount]]+B734)))</f>
        <v>0</v>
      </c>
      <c r="K734">
        <v>723</v>
      </c>
      <c r="L734">
        <f>Table7[Initial Monthly Deposit]*Table9[[#This Row],[Inflation Modifier]]</f>
        <v>1312.4123153461642</v>
      </c>
      <c r="M734">
        <f xml:space="preserve"> (1+Table7[Inflation])^(QUOTIENT(Table9[[#This Row],[Month]]-1,12))</f>
        <v>3.2810307883654102</v>
      </c>
      <c r="N734">
        <f>N733*(1+Table7[Monthly SF Inter])+Table9[[#This Row],[Monthly Payment]]-O733*(1+Table7[Monthly SF Inter])</f>
        <v>241388.31919750723</v>
      </c>
      <c r="O734">
        <f>IF(MOD(Table9[[#This Row],[Month]],12)=0,(IF(Table9[[#This Row],[Current Balance]]&lt;Table9[[#This Row],[Max Lump Sum ]],Table9[[#This Row],[Current Balance]],Table9[[#This Row],[Max Lump Sum ]])),0)</f>
        <v>0</v>
      </c>
      <c r="P734" s="21">
        <f>Table7[Max annual lump sum repayment]*SUM(C735:C746)</f>
        <v>7880.3958913442566</v>
      </c>
      <c r="Q734" s="25">
        <f>Q733*(1+Table7[Monthly SF Inter])+Table9[[#This Row],[Inflation Modifier]]-R733*(1+Table7[Monthly SF Inter])</f>
        <v>9.8837402453621284</v>
      </c>
      <c r="R734" s="25">
        <f>IF(MOD(Table9[[#This Row],[Month]],12)=0,Table9[[#This Row],[Q2 ACC FACTOR]],0)</f>
        <v>0</v>
      </c>
      <c r="S734" s="25">
        <f>S733*(1+D733)+Table9[[#This Row],[ACC FACTOR PAYMENTS]]</f>
        <v>9322.3834403955334</v>
      </c>
    </row>
    <row r="735" spans="1:19" x14ac:dyDescent="0.25">
      <c r="A735" s="1">
        <v>723</v>
      </c>
      <c r="B735" s="1">
        <f t="shared" si="11"/>
        <v>0</v>
      </c>
      <c r="C735" s="7">
        <f>G$12/-PV(Table7[Monthly mortgage rate], (12*Table7[Amortization period (yrs)]),1 )</f>
        <v>4377.9977174134756</v>
      </c>
      <c r="D735" s="11">
        <f>IF(Table1[[#This Row],[Month]]&lt;=(12*Table7[mortgage term (yrs)]),Table7[Monthly mortgage rate],Table7[Monthly Exp Renewal Rate])</f>
        <v>4.9038466830562122E-3</v>
      </c>
      <c r="E735" s="21">
        <f>Table1[[#This Row],[Current mortgage rate]]*G734</f>
        <v>-47933.618491278619</v>
      </c>
      <c r="F735" s="5">
        <f>Table1[[#This Row],[Payment amount]]-Table1[[#This Row],[Interest paid]]</f>
        <v>52311.616208692096</v>
      </c>
      <c r="G735" s="20">
        <f>G734-Table1[[#This Row],[Principal repaid]]-Table1[[#This Row],[Annual paym]]</f>
        <v>-9827009.2340806015</v>
      </c>
      <c r="H735" s="20">
        <f>H734-(Table1[[#This Row],[Payment amount]]-Table1[[#This Row],[Interest Paid W/O LSP]])</f>
        <v>-6368274.7102719368</v>
      </c>
      <c r="I735">
        <f>H734*Table1[[#This Row],[Current mortgage rate]]</f>
        <v>-31055.283436501377</v>
      </c>
      <c r="J735" s="25">
        <f>IF(Table1[[#This Row],[Month]]&gt;Table7[Amortization period (yrs)]*12,0,IF(Table1[[#This Row],[Month]]&lt;Table7[mortgage term (yrs)]*12,0,IF(Table1[[#This Row],[Month]]=Table7[mortgage term (yrs)]*12,-H$5,Table1[[#This Row],[Payment amount]]+B735)))</f>
        <v>0</v>
      </c>
      <c r="K735">
        <v>724</v>
      </c>
      <c r="L735">
        <f>Table7[Initial Monthly Deposit]*Table9[[#This Row],[Inflation Modifier]]</f>
        <v>1312.4123153461642</v>
      </c>
      <c r="M735">
        <f xml:space="preserve"> (1+Table7[Inflation])^(QUOTIENT(Table9[[#This Row],[Month]]-1,12))</f>
        <v>3.2810307883654102</v>
      </c>
      <c r="N735">
        <f>N734*(1+Table7[Monthly SF Inter])+Table9[[#This Row],[Monthly Payment]]-O734*(1+Table7[Monthly SF Inter])</f>
        <v>243696.19653549715</v>
      </c>
      <c r="O735">
        <f>IF(MOD(Table9[[#This Row],[Month]],12)=0,(IF(Table9[[#This Row],[Current Balance]]&lt;Table9[[#This Row],[Max Lump Sum ]],Table9[[#This Row],[Current Balance]],Table9[[#This Row],[Max Lump Sum ]])),0)</f>
        <v>0</v>
      </c>
      <c r="P735" s="21">
        <f>Table7[Max annual lump sum repayment]*SUM(C736:C747)</f>
        <v>7880.3958913442566</v>
      </c>
      <c r="Q735" s="25">
        <f>Q734*(1+Table7[Monthly SF Inter])+Table9[[#This Row],[Inflation Modifier]]-R734*(1+Table7[Monthly SF Inter])</f>
        <v>13.205530742978855</v>
      </c>
      <c r="R735" s="25">
        <f>IF(MOD(Table9[[#This Row],[Month]],12)=0,Table9[[#This Row],[Q2 ACC FACTOR]],0)</f>
        <v>0</v>
      </c>
      <c r="S735" s="25">
        <f>S734*(1+D734)+Table9[[#This Row],[ACC FACTOR PAYMENTS]]</f>
        <v>9368.0989795078949</v>
      </c>
    </row>
    <row r="736" spans="1:19" x14ac:dyDescent="0.25">
      <c r="A736" s="1">
        <v>724</v>
      </c>
      <c r="B736" s="1">
        <f t="shared" si="11"/>
        <v>0</v>
      </c>
      <c r="C736" s="7">
        <f>G$12/-PV(Table7[Monthly mortgage rate], (12*Table7[Amortization period (yrs)]),1 )</f>
        <v>4377.9977174134756</v>
      </c>
      <c r="D736" s="11">
        <f>IF(Table1[[#This Row],[Month]]&lt;=(12*Table7[mortgage term (yrs)]),Table7[Monthly mortgage rate],Table7[Monthly Exp Renewal Rate])</f>
        <v>4.9038466830562122E-3</v>
      </c>
      <c r="E736" s="21">
        <f>Table1[[#This Row],[Current mortgage rate]]*G735</f>
        <v>-48190.146636908925</v>
      </c>
      <c r="F736" s="5">
        <f>Table1[[#This Row],[Payment amount]]-Table1[[#This Row],[Interest paid]]</f>
        <v>52568.144354322401</v>
      </c>
      <c r="G736" s="20">
        <f>G735-Table1[[#This Row],[Principal repaid]]-Table1[[#This Row],[Annual paym]]</f>
        <v>-9879577.3784349244</v>
      </c>
      <c r="H736" s="20">
        <f>H735-(Table1[[#This Row],[Payment amount]]-Table1[[#This Row],[Interest Paid W/O LSP]])</f>
        <v>-6403881.7508041086</v>
      </c>
      <c r="I736">
        <f>H735*Table1[[#This Row],[Current mortgage rate]]</f>
        <v>-31229.042814757799</v>
      </c>
      <c r="J736" s="25">
        <f>IF(Table1[[#This Row],[Month]]&gt;Table7[Amortization period (yrs)]*12,0,IF(Table1[[#This Row],[Month]]&lt;Table7[mortgage term (yrs)]*12,0,IF(Table1[[#This Row],[Month]]=Table7[mortgage term (yrs)]*12,-H$5,Table1[[#This Row],[Payment amount]]+B736)))</f>
        <v>0</v>
      </c>
      <c r="K736">
        <v>725</v>
      </c>
      <c r="L736">
        <f>Table7[Initial Monthly Deposit]*Table9[[#This Row],[Inflation Modifier]]</f>
        <v>1312.4123153461642</v>
      </c>
      <c r="M736">
        <f xml:space="preserve"> (1+Table7[Inflation])^(QUOTIENT(Table9[[#This Row],[Month]]-1,12))</f>
        <v>3.2810307883654102</v>
      </c>
      <c r="N736">
        <f>N735*(1+Table7[Monthly SF Inter])+Table9[[#This Row],[Monthly Payment]]-O735*(1+Table7[Monthly SF Inter])</f>
        <v>246013.59136453285</v>
      </c>
      <c r="O736">
        <f>IF(MOD(Table9[[#This Row],[Month]],12)=0,(IF(Table9[[#This Row],[Current Balance]]&lt;Table9[[#This Row],[Max Lump Sum ]],Table9[[#This Row],[Current Balance]],Table9[[#This Row],[Max Lump Sum ]])),0)</f>
        <v>0</v>
      </c>
      <c r="P736" s="21">
        <f>Table7[Max annual lump sum repayment]*SUM(C737:C748)</f>
        <v>7880.3958913442566</v>
      </c>
      <c r="Q736" s="25">
        <f>Q735*(1+Table7[Monthly SF Inter])+Table9[[#This Row],[Inflation Modifier]]-R735*(1+Table7[Monthly SF Inter])</f>
        <v>16.541020023800673</v>
      </c>
      <c r="R736" s="25">
        <f>IF(MOD(Table9[[#This Row],[Month]],12)=0,Table9[[#This Row],[Q2 ACC FACTOR]],0)</f>
        <v>0</v>
      </c>
      <c r="S736" s="25">
        <f>S735*(1+D735)+Table9[[#This Row],[ACC FACTOR PAYMENTS]]</f>
        <v>9414.0387006150977</v>
      </c>
    </row>
    <row r="737" spans="1:19" x14ac:dyDescent="0.25">
      <c r="A737" s="1">
        <v>725</v>
      </c>
      <c r="B737" s="1">
        <f t="shared" si="11"/>
        <v>0</v>
      </c>
      <c r="C737" s="7">
        <f>G$12/-PV(Table7[Monthly mortgage rate], (12*Table7[Amortization period (yrs)]),1 )</f>
        <v>4377.9977174134756</v>
      </c>
      <c r="D737" s="11">
        <f>IF(Table1[[#This Row],[Month]]&lt;=(12*Table7[mortgage term (yrs)]),Table7[Monthly mortgage rate],Table7[Monthly Exp Renewal Rate])</f>
        <v>4.9038466830562122E-3</v>
      </c>
      <c r="E737" s="21">
        <f>Table1[[#This Row],[Current mortgage rate]]*G736</f>
        <v>-48447.932757235292</v>
      </c>
      <c r="F737" s="5">
        <f>Table1[[#This Row],[Payment amount]]-Table1[[#This Row],[Interest paid]]</f>
        <v>52825.930474648769</v>
      </c>
      <c r="G737" s="20">
        <f>G736-Table1[[#This Row],[Principal repaid]]-Table1[[#This Row],[Annual paym]]</f>
        <v>-9932403.3089095727</v>
      </c>
      <c r="H737" s="20">
        <f>H736-(Table1[[#This Row],[Payment amount]]-Table1[[#This Row],[Interest Paid W/O LSP]])</f>
        <v>-6439663.4028038867</v>
      </c>
      <c r="I737">
        <f>H736*Table1[[#This Row],[Current mortgage rate]]</f>
        <v>-31403.654282364936</v>
      </c>
      <c r="J737" s="25">
        <f>IF(Table1[[#This Row],[Month]]&gt;Table7[Amortization period (yrs)]*12,0,IF(Table1[[#This Row],[Month]]&lt;Table7[mortgage term (yrs)]*12,0,IF(Table1[[#This Row],[Month]]=Table7[mortgage term (yrs)]*12,-H$5,Table1[[#This Row],[Payment amount]]+B737)))</f>
        <v>0</v>
      </c>
      <c r="K737">
        <v>726</v>
      </c>
      <c r="L737">
        <f>Table7[Initial Monthly Deposit]*Table9[[#This Row],[Inflation Modifier]]</f>
        <v>1312.4123153461642</v>
      </c>
      <c r="M737">
        <f xml:space="preserve"> (1+Table7[Inflation])^(QUOTIENT(Table9[[#This Row],[Month]]-1,12))</f>
        <v>3.2810307883654102</v>
      </c>
      <c r="N737">
        <f>N736*(1+Table7[Monthly SF Inter])+Table9[[#This Row],[Monthly Payment]]-O736*(1+Table7[Monthly SF Inter])</f>
        <v>248340.54293394287</v>
      </c>
      <c r="O737">
        <f>IF(MOD(Table9[[#This Row],[Month]],12)=0,(IF(Table9[[#This Row],[Current Balance]]&lt;Table9[[#This Row],[Max Lump Sum ]],Table9[[#This Row],[Current Balance]],Table9[[#This Row],[Max Lump Sum ]])),0)</f>
        <v>0</v>
      </c>
      <c r="P737" s="21">
        <f>Table7[Max annual lump sum repayment]*SUM(C738:C749)</f>
        <v>7880.3958913442566</v>
      </c>
      <c r="Q737" s="25">
        <f>Q736*(1+Table7[Monthly SF Inter])+Table9[[#This Row],[Inflation Modifier]]-R736*(1+Table7[Monthly SF Inter])</f>
        <v>19.890264580451493</v>
      </c>
      <c r="R737" s="25">
        <f>IF(MOD(Table9[[#This Row],[Month]],12)=0,Table9[[#This Row],[Q2 ACC FACTOR]],0)</f>
        <v>0</v>
      </c>
      <c r="S737" s="25">
        <f>S736*(1+D736)+Table9[[#This Row],[ACC FACTOR PAYMENTS]]</f>
        <v>9460.2037030712727</v>
      </c>
    </row>
    <row r="738" spans="1:19" x14ac:dyDescent="0.25">
      <c r="A738" s="1">
        <v>726</v>
      </c>
      <c r="B738" s="1">
        <f t="shared" si="11"/>
        <v>0</v>
      </c>
      <c r="C738" s="7">
        <f>G$12/-PV(Table7[Monthly mortgage rate], (12*Table7[Amortization period (yrs)]),1 )</f>
        <v>4377.9977174134756</v>
      </c>
      <c r="D738" s="11">
        <f>IF(Table1[[#This Row],[Month]]&lt;=(12*Table7[mortgage term (yrs)]),Table7[Monthly mortgage rate],Table7[Monthly Exp Renewal Rate])</f>
        <v>4.9038466830562122E-3</v>
      </c>
      <c r="E738" s="21">
        <f>Table1[[#This Row],[Current mortgage rate]]*G737</f>
        <v>-48706.983021172753</v>
      </c>
      <c r="F738" s="5">
        <f>Table1[[#This Row],[Payment amount]]-Table1[[#This Row],[Interest paid]]</f>
        <v>53084.98073858623</v>
      </c>
      <c r="G738" s="20">
        <f>G737-Table1[[#This Row],[Principal repaid]]-Table1[[#This Row],[Annual paym]]</f>
        <v>-9985488.2896481585</v>
      </c>
      <c r="H738" s="20">
        <f>H737-(Table1[[#This Row],[Payment amount]]-Table1[[#This Row],[Interest Paid W/O LSP]])</f>
        <v>-6475620.5225391388</v>
      </c>
      <c r="I738">
        <f>H737*Table1[[#This Row],[Current mortgage rate]]</f>
        <v>-31579.122017838319</v>
      </c>
      <c r="J738" s="25">
        <f>IF(Table1[[#This Row],[Month]]&gt;Table7[Amortization period (yrs)]*12,0,IF(Table1[[#This Row],[Month]]&lt;Table7[mortgage term (yrs)]*12,0,IF(Table1[[#This Row],[Month]]=Table7[mortgage term (yrs)]*12,-H$5,Table1[[#This Row],[Payment amount]]+B738)))</f>
        <v>0</v>
      </c>
      <c r="K738">
        <v>727</v>
      </c>
      <c r="L738">
        <f>Table7[Initial Monthly Deposit]*Table9[[#This Row],[Inflation Modifier]]</f>
        <v>1312.4123153461642</v>
      </c>
      <c r="M738">
        <f xml:space="preserve"> (1+Table7[Inflation])^(QUOTIENT(Table9[[#This Row],[Month]]-1,12))</f>
        <v>3.2810307883654102</v>
      </c>
      <c r="N738">
        <f>N737*(1+Table7[Monthly SF Inter])+Table9[[#This Row],[Monthly Payment]]-O737*(1+Table7[Monthly SF Inter])</f>
        <v>250677.09065491662</v>
      </c>
      <c r="O738">
        <f>IF(MOD(Table9[[#This Row],[Month]],12)=0,(IF(Table9[[#This Row],[Current Balance]]&lt;Table9[[#This Row],[Max Lump Sum ]],Table9[[#This Row],[Current Balance]],Table9[[#This Row],[Max Lump Sum ]])),0)</f>
        <v>0</v>
      </c>
      <c r="P738" s="21">
        <f>Table7[Max annual lump sum repayment]*SUM(C739:C750)</f>
        <v>7880.3958913442566</v>
      </c>
      <c r="Q738" s="25">
        <f>Q737*(1+Table7[Monthly SF Inter])+Table9[[#This Row],[Inflation Modifier]]-R737*(1+Table7[Monthly SF Inter])</f>
        <v>23.253321138526037</v>
      </c>
      <c r="R738" s="25">
        <f>IF(MOD(Table9[[#This Row],[Month]],12)=0,Table9[[#This Row],[Q2 ACC FACTOR]],0)</f>
        <v>0</v>
      </c>
      <c r="S738" s="25">
        <f>S737*(1+D737)+Table9[[#This Row],[ACC FACTOR PAYMENTS]]</f>
        <v>9506.5950916216152</v>
      </c>
    </row>
    <row r="739" spans="1:19" x14ac:dyDescent="0.25">
      <c r="A739" s="1">
        <v>727</v>
      </c>
      <c r="B739" s="1">
        <f t="shared" si="11"/>
        <v>0</v>
      </c>
      <c r="C739" s="7">
        <f>G$12/-PV(Table7[Monthly mortgage rate], (12*Table7[Amortization period (yrs)]),1 )</f>
        <v>4377.9977174134756</v>
      </c>
      <c r="D739" s="11">
        <f>IF(Table1[[#This Row],[Month]]&lt;=(12*Table7[mortgage term (yrs)]),Table7[Monthly mortgage rate],Table7[Monthly Exp Renewal Rate])</f>
        <v>4.9038466830562122E-3</v>
      </c>
      <c r="E739" s="21">
        <f>Table1[[#This Row],[Current mortgage rate]]*G738</f>
        <v>-48967.30362788777</v>
      </c>
      <c r="F739" s="5">
        <f>Table1[[#This Row],[Payment amount]]-Table1[[#This Row],[Interest paid]]</f>
        <v>53345.301345301246</v>
      </c>
      <c r="G739" s="20">
        <f>G738-Table1[[#This Row],[Principal repaid]]-Table1[[#This Row],[Annual paym]]</f>
        <v>-10038833.59099346</v>
      </c>
      <c r="H739" s="20">
        <f>H738-(Table1[[#This Row],[Payment amount]]-Table1[[#This Row],[Interest Paid W/O LSP]])</f>
        <v>-6511753.9704767363</v>
      </c>
      <c r="I739">
        <f>H738*Table1[[#This Row],[Current mortgage rate]]</f>
        <v>-31755.450220184292</v>
      </c>
      <c r="J739" s="25">
        <f>IF(Table1[[#This Row],[Month]]&gt;Table7[Amortization period (yrs)]*12,0,IF(Table1[[#This Row],[Month]]&lt;Table7[mortgage term (yrs)]*12,0,IF(Table1[[#This Row],[Month]]=Table7[mortgage term (yrs)]*12,-H$5,Table1[[#This Row],[Payment amount]]+B739)))</f>
        <v>0</v>
      </c>
      <c r="K739">
        <v>728</v>
      </c>
      <c r="L739">
        <f>Table7[Initial Monthly Deposit]*Table9[[#This Row],[Inflation Modifier]]</f>
        <v>1312.4123153461642</v>
      </c>
      <c r="M739">
        <f xml:space="preserve"> (1+Table7[Inflation])^(QUOTIENT(Table9[[#This Row],[Month]]-1,12))</f>
        <v>3.2810307883654102</v>
      </c>
      <c r="N739">
        <f>N738*(1+Table7[Monthly SF Inter])+Table9[[#This Row],[Monthly Payment]]-O738*(1+Table7[Monthly SF Inter])</f>
        <v>253023.27410117196</v>
      </c>
      <c r="O739">
        <f>IF(MOD(Table9[[#This Row],[Month]],12)=0,(IF(Table9[[#This Row],[Current Balance]]&lt;Table9[[#This Row],[Max Lump Sum ]],Table9[[#This Row],[Current Balance]],Table9[[#This Row],[Max Lump Sum ]])),0)</f>
        <v>0</v>
      </c>
      <c r="P739" s="21">
        <f>Table7[Max annual lump sum repayment]*SUM(C740:C751)</f>
        <v>7880.3958913442566</v>
      </c>
      <c r="Q739" s="25">
        <f>Q738*(1+Table7[Monthly SF Inter])+Table9[[#This Row],[Inflation Modifier]]-R738*(1+Table7[Monthly SF Inter])</f>
        <v>26.630246657550579</v>
      </c>
      <c r="R739" s="25">
        <f>IF(MOD(Table9[[#This Row],[Month]],12)=0,Table9[[#This Row],[Q2 ACC FACTOR]],0)</f>
        <v>0</v>
      </c>
      <c r="S739" s="25">
        <f>S738*(1+D738)+Table9[[#This Row],[ACC FACTOR PAYMENTS]]</f>
        <v>9553.2139764288222</v>
      </c>
    </row>
    <row r="740" spans="1:19" x14ac:dyDescent="0.25">
      <c r="A740" s="1">
        <v>728</v>
      </c>
      <c r="B740" s="1">
        <f t="shared" si="11"/>
        <v>0</v>
      </c>
      <c r="C740" s="7">
        <f>G$12/-PV(Table7[Monthly mortgage rate], (12*Table7[Amortization period (yrs)]),1 )</f>
        <v>4377.9977174134756</v>
      </c>
      <c r="D740" s="11">
        <f>IF(Table1[[#This Row],[Month]]&lt;=(12*Table7[mortgage term (yrs)]),Table7[Monthly mortgage rate],Table7[Monthly Exp Renewal Rate])</f>
        <v>4.9038466830562122E-3</v>
      </c>
      <c r="E740" s="21">
        <f>Table1[[#This Row],[Current mortgage rate]]*G739</f>
        <v>-49228.900806946564</v>
      </c>
      <c r="F740" s="5">
        <f>Table1[[#This Row],[Payment amount]]-Table1[[#This Row],[Interest paid]]</f>
        <v>53606.89852436004</v>
      </c>
      <c r="G740" s="20">
        <f>G739-Table1[[#This Row],[Principal repaid]]-Table1[[#This Row],[Annual paym]]</f>
        <v>-10092440.489517821</v>
      </c>
      <c r="H740" s="20">
        <f>H739-(Table1[[#This Row],[Payment amount]]-Table1[[#This Row],[Interest Paid W/O LSP]])</f>
        <v>-6548064.6113031507</v>
      </c>
      <c r="I740">
        <f>H739*Table1[[#This Row],[Current mortgage rate]]</f>
        <v>-31932.643109000463</v>
      </c>
      <c r="J740" s="25">
        <f>IF(Table1[[#This Row],[Month]]&gt;Table7[Amortization period (yrs)]*12,0,IF(Table1[[#This Row],[Month]]&lt;Table7[mortgage term (yrs)]*12,0,IF(Table1[[#This Row],[Month]]=Table7[mortgage term (yrs)]*12,-H$5,Table1[[#This Row],[Payment amount]]+B740)))</f>
        <v>0</v>
      </c>
      <c r="K740">
        <v>729</v>
      </c>
      <c r="L740">
        <f>Table7[Initial Monthly Deposit]*Table9[[#This Row],[Inflation Modifier]]</f>
        <v>1312.4123153461642</v>
      </c>
      <c r="M740">
        <f xml:space="preserve"> (1+Table7[Inflation])^(QUOTIENT(Table9[[#This Row],[Month]]-1,12))</f>
        <v>3.2810307883654102</v>
      </c>
      <c r="N740">
        <f>N739*(1+Table7[Monthly SF Inter])+Table9[[#This Row],[Monthly Payment]]-O739*(1+Table7[Monthly SF Inter])</f>
        <v>255379.13300962537</v>
      </c>
      <c r="O740">
        <f>IF(MOD(Table9[[#This Row],[Month]],12)=0,(IF(Table9[[#This Row],[Current Balance]]&lt;Table9[[#This Row],[Max Lump Sum ]],Table9[[#This Row],[Current Balance]],Table9[[#This Row],[Max Lump Sum ]])),0)</f>
        <v>0</v>
      </c>
      <c r="P740" s="21">
        <f>Table7[Max annual lump sum repayment]*SUM(C741:C752)</f>
        <v>7880.3958913442566</v>
      </c>
      <c r="Q740" s="25">
        <f>Q739*(1+Table7[Monthly SF Inter])+Table9[[#This Row],[Inflation Modifier]]-R739*(1+Table7[Monthly SF Inter])</f>
        <v>30.021098331947666</v>
      </c>
      <c r="R740" s="25">
        <f>IF(MOD(Table9[[#This Row],[Month]],12)=0,Table9[[#This Row],[Q2 ACC FACTOR]],0)</f>
        <v>0</v>
      </c>
      <c r="S740" s="25">
        <f>S739*(1+D739)+Table9[[#This Row],[ACC FACTOR PAYMENTS]]</f>
        <v>9600.0614730996585</v>
      </c>
    </row>
    <row r="741" spans="1:19" x14ac:dyDescent="0.25">
      <c r="A741" s="1">
        <v>729</v>
      </c>
      <c r="B741" s="1">
        <f t="shared" si="11"/>
        <v>0</v>
      </c>
      <c r="C741" s="7">
        <f>G$12/-PV(Table7[Monthly mortgage rate], (12*Table7[Amortization period (yrs)]),1 )</f>
        <v>4377.9977174134756</v>
      </c>
      <c r="D741" s="11">
        <f>IF(Table1[[#This Row],[Month]]&lt;=(12*Table7[mortgage term (yrs)]),Table7[Monthly mortgage rate],Table7[Monthly Exp Renewal Rate])</f>
        <v>4.9038466830562122E-3</v>
      </c>
      <c r="E741" s="21">
        <f>Table1[[#This Row],[Current mortgage rate]]*G740</f>
        <v>-49491.780818464184</v>
      </c>
      <c r="F741" s="5">
        <f>Table1[[#This Row],[Payment amount]]-Table1[[#This Row],[Interest paid]]</f>
        <v>53869.77853587766</v>
      </c>
      <c r="G741" s="20">
        <f>G740-Table1[[#This Row],[Principal repaid]]-Table1[[#This Row],[Annual paym]]</f>
        <v>-10146310.268053699</v>
      </c>
      <c r="H741" s="20">
        <f>H740-(Table1[[#This Row],[Payment amount]]-Table1[[#This Row],[Interest Paid W/O LSP]])</f>
        <v>-6584553.3139451407</v>
      </c>
      <c r="I741">
        <f>H740*Table1[[#This Row],[Current mortgage rate]]</f>
        <v>-32110.704924576719</v>
      </c>
      <c r="J741" s="25">
        <f>IF(Table1[[#This Row],[Month]]&gt;Table7[Amortization period (yrs)]*12,0,IF(Table1[[#This Row],[Month]]&lt;Table7[mortgage term (yrs)]*12,0,IF(Table1[[#This Row],[Month]]=Table7[mortgage term (yrs)]*12,-H$5,Table1[[#This Row],[Payment amount]]+B741)))</f>
        <v>0</v>
      </c>
      <c r="K741">
        <v>730</v>
      </c>
      <c r="L741">
        <f>Table7[Initial Monthly Deposit]*Table9[[#This Row],[Inflation Modifier]]</f>
        <v>1312.4123153461642</v>
      </c>
      <c r="M741">
        <f xml:space="preserve"> (1+Table7[Inflation])^(QUOTIENT(Table9[[#This Row],[Month]]-1,12))</f>
        <v>3.2810307883654102</v>
      </c>
      <c r="N741">
        <f>N740*(1+Table7[Monthly SF Inter])+Table9[[#This Row],[Monthly Payment]]-O740*(1+Table7[Monthly SF Inter])</f>
        <v>257744.70728106503</v>
      </c>
      <c r="O741">
        <f>IF(MOD(Table9[[#This Row],[Month]],12)=0,(IF(Table9[[#This Row],[Current Balance]]&lt;Table9[[#This Row],[Max Lump Sum ]],Table9[[#This Row],[Current Balance]],Table9[[#This Row],[Max Lump Sum ]])),0)</f>
        <v>0</v>
      </c>
      <c r="P741" s="21">
        <f>Table7[Max annual lump sum repayment]*SUM(C742:C753)</f>
        <v>7880.3958913442566</v>
      </c>
      <c r="Q741" s="25">
        <f>Q740*(1+Table7[Monthly SF Inter])+Table9[[#This Row],[Inflation Modifier]]-R740*(1+Table7[Monthly SF Inter])</f>
        <v>33.42593359200481</v>
      </c>
      <c r="R741" s="25">
        <f>IF(MOD(Table9[[#This Row],[Month]],12)=0,Table9[[#This Row],[Q2 ACC FACTOR]],0)</f>
        <v>0</v>
      </c>
      <c r="S741" s="25">
        <f>S740*(1+D740)+Table9[[#This Row],[ACC FACTOR PAYMENTS]]</f>
        <v>9647.1387027116543</v>
      </c>
    </row>
    <row r="742" spans="1:19" x14ac:dyDescent="0.25">
      <c r="A742" s="1">
        <v>730</v>
      </c>
      <c r="B742" s="1">
        <f t="shared" si="11"/>
        <v>0</v>
      </c>
      <c r="C742" s="7">
        <f>G$12/-PV(Table7[Monthly mortgage rate], (12*Table7[Amortization period (yrs)]),1 )</f>
        <v>4377.9977174134756</v>
      </c>
      <c r="D742" s="11">
        <f>IF(Table1[[#This Row],[Month]]&lt;=(12*Table7[mortgage term (yrs)]),Table7[Monthly mortgage rate],Table7[Monthly Exp Renewal Rate])</f>
        <v>4.9038466830562122E-3</v>
      </c>
      <c r="E742" s="21">
        <f>Table1[[#This Row],[Current mortgage rate]]*G741</f>
        <v>-49755.94995325432</v>
      </c>
      <c r="F742" s="5">
        <f>Table1[[#This Row],[Payment amount]]-Table1[[#This Row],[Interest paid]]</f>
        <v>54133.947670667796</v>
      </c>
      <c r="G742" s="20">
        <f>G741-Table1[[#This Row],[Principal repaid]]-Table1[[#This Row],[Annual paym]]</f>
        <v>-10200444.215724368</v>
      </c>
      <c r="H742" s="20">
        <f>H741-(Table1[[#This Row],[Payment amount]]-Table1[[#This Row],[Interest Paid W/O LSP]])</f>
        <v>-6621220.9515905511</v>
      </c>
      <c r="I742">
        <f>H741*Table1[[#This Row],[Current mortgage rate]]</f>
        <v>-32289.639927996668</v>
      </c>
      <c r="J742" s="25">
        <f>IF(Table1[[#This Row],[Month]]&gt;Table7[Amortization period (yrs)]*12,0,IF(Table1[[#This Row],[Month]]&lt;Table7[mortgage term (yrs)]*12,0,IF(Table1[[#This Row],[Month]]=Table7[mortgage term (yrs)]*12,-H$5,Table1[[#This Row],[Payment amount]]+B742)))</f>
        <v>0</v>
      </c>
      <c r="K742">
        <v>731</v>
      </c>
      <c r="L742">
        <f>Table7[Initial Monthly Deposit]*Table9[[#This Row],[Inflation Modifier]]</f>
        <v>1312.4123153461642</v>
      </c>
      <c r="M742">
        <f xml:space="preserve"> (1+Table7[Inflation])^(QUOTIENT(Table9[[#This Row],[Month]]-1,12))</f>
        <v>3.2810307883654102</v>
      </c>
      <c r="N742">
        <f>N741*(1+Table7[Monthly SF Inter])+Table9[[#This Row],[Monthly Payment]]-O741*(1+Table7[Monthly SF Inter])</f>
        <v>260120.03698082664</v>
      </c>
      <c r="O742">
        <f>IF(MOD(Table9[[#This Row],[Month]],12)=0,(IF(Table9[[#This Row],[Current Balance]]&lt;Table9[[#This Row],[Max Lump Sum ]],Table9[[#This Row],[Current Balance]],Table9[[#This Row],[Max Lump Sum ]])),0)</f>
        <v>0</v>
      </c>
      <c r="P742" s="21">
        <f>Table7[Max annual lump sum repayment]*SUM(C743:C754)</f>
        <v>7880.3958913442566</v>
      </c>
      <c r="Q742" s="25">
        <f>Q741*(1+Table7[Monthly SF Inter])+Table9[[#This Row],[Inflation Modifier]]-R741*(1+Table7[Monthly SF Inter])</f>
        <v>36.844810104847177</v>
      </c>
      <c r="R742" s="25">
        <f>IF(MOD(Table9[[#This Row],[Month]],12)=0,Table9[[#This Row],[Q2 ACC FACTOR]],0)</f>
        <v>0</v>
      </c>
      <c r="S742" s="25">
        <f>S741*(1+D741)+Table9[[#This Row],[ACC FACTOR PAYMENTS]]</f>
        <v>9694.4467918399296</v>
      </c>
    </row>
    <row r="743" spans="1:19" x14ac:dyDescent="0.25">
      <c r="A743" s="1">
        <v>731</v>
      </c>
      <c r="B743" s="1">
        <f t="shared" si="11"/>
        <v>0</v>
      </c>
      <c r="C743" s="7">
        <f>G$12/-PV(Table7[Monthly mortgage rate], (12*Table7[Amortization period (yrs)]),1 )</f>
        <v>4377.9977174134756</v>
      </c>
      <c r="D743" s="11">
        <f>IF(Table1[[#This Row],[Month]]&lt;=(12*Table7[mortgage term (yrs)]),Table7[Monthly mortgage rate],Table7[Monthly Exp Renewal Rate])</f>
        <v>4.9038466830562122E-3</v>
      </c>
      <c r="E743" s="21">
        <f>Table1[[#This Row],[Current mortgage rate]]*G742</f>
        <v>-50021.414532979863</v>
      </c>
      <c r="F743" s="5">
        <f>Table1[[#This Row],[Payment amount]]-Table1[[#This Row],[Interest paid]]</f>
        <v>54399.412250393339</v>
      </c>
      <c r="G743" s="20">
        <f>G742-Table1[[#This Row],[Principal repaid]]-Table1[[#This Row],[Annual paym]]</f>
        <v>-10254843.627974762</v>
      </c>
      <c r="H743" s="20">
        <f>H742-(Table1[[#This Row],[Payment amount]]-Table1[[#This Row],[Interest Paid W/O LSP]])</f>
        <v>-6658068.4017092045</v>
      </c>
      <c r="I743">
        <f>H742*Table1[[#This Row],[Current mortgage rate]]</f>
        <v>-32469.452401239621</v>
      </c>
      <c r="J743" s="25">
        <f>IF(Table1[[#This Row],[Month]]&gt;Table7[Amortization period (yrs)]*12,0,IF(Table1[[#This Row],[Month]]&lt;Table7[mortgage term (yrs)]*12,0,IF(Table1[[#This Row],[Month]]=Table7[mortgage term (yrs)]*12,-H$5,Table1[[#This Row],[Payment amount]]+B743)))</f>
        <v>0</v>
      </c>
      <c r="K743">
        <v>732</v>
      </c>
      <c r="L743">
        <f>Table7[Initial Monthly Deposit]*Table9[[#This Row],[Inflation Modifier]]</f>
        <v>1312.4123153461642</v>
      </c>
      <c r="M743">
        <f xml:space="preserve"> (1+Table7[Inflation])^(QUOTIENT(Table9[[#This Row],[Month]]-1,12))</f>
        <v>3.2810307883654102</v>
      </c>
      <c r="N743">
        <f>N742*(1+Table7[Monthly SF Inter])+Table9[[#This Row],[Monthly Payment]]-O742*(1+Table7[Monthly SF Inter])</f>
        <v>262505.16233947192</v>
      </c>
      <c r="O743">
        <f>IF(MOD(Table9[[#This Row],[Month]],12)=0,(IF(Table9[[#This Row],[Current Balance]]&lt;Table9[[#This Row],[Max Lump Sum ]],Table9[[#This Row],[Current Balance]],Table9[[#This Row],[Max Lump Sum ]])),0)</f>
        <v>7880.3958913442566</v>
      </c>
      <c r="P743" s="21">
        <f>Table7[Max annual lump sum repayment]*SUM(C744:C755)</f>
        <v>7880.3958913442566</v>
      </c>
      <c r="Q743" s="25">
        <f>Q742*(1+Table7[Monthly SF Inter])+Table9[[#This Row],[Inflation Modifier]]-R742*(1+Table7[Monthly SF Inter])</f>
        <v>40.277785775414273</v>
      </c>
      <c r="R743" s="25">
        <f>IF(MOD(Table9[[#This Row],[Month]],12)=0,Table9[[#This Row],[Q2 ACC FACTOR]],0)</f>
        <v>40.277785775414273</v>
      </c>
      <c r="S743" s="25">
        <f>S742*(1+D742)+Table9[[#This Row],[ACC FACTOR PAYMENTS]]</f>
        <v>9782.2646583595724</v>
      </c>
    </row>
    <row r="744" spans="1:19" x14ac:dyDescent="0.25">
      <c r="A744" s="1">
        <v>732</v>
      </c>
      <c r="B744" s="1">
        <f t="shared" si="11"/>
        <v>7880.3958913442566</v>
      </c>
      <c r="C744" s="7">
        <f>G$12/-PV(Table7[Monthly mortgage rate], (12*Table7[Amortization period (yrs)]),1 )</f>
        <v>4377.9977174134756</v>
      </c>
      <c r="D744" s="11">
        <f>IF(Table1[[#This Row],[Month]]&lt;=(12*Table7[mortgage term (yrs)]),Table7[Monthly mortgage rate],Table7[Monthly Exp Renewal Rate])</f>
        <v>4.9038466830562122E-3</v>
      </c>
      <c r="E744" s="21">
        <f>Table1[[#This Row],[Current mortgage rate]]*G743</f>
        <v>-50288.180910304167</v>
      </c>
      <c r="F744" s="5">
        <f>Table1[[#This Row],[Payment amount]]-Table1[[#This Row],[Interest paid]]</f>
        <v>54666.178627717643</v>
      </c>
      <c r="G744" s="20">
        <f>G743-Table1[[#This Row],[Principal repaid]]-Table1[[#This Row],[Annual paym]]</f>
        <v>-10317390.202493824</v>
      </c>
      <c r="H744" s="20">
        <f>H743-(Table1[[#This Row],[Payment amount]]-Table1[[#This Row],[Interest Paid W/O LSP]])</f>
        <v>-6695096.5460739015</v>
      </c>
      <c r="I744">
        <f>H743*Table1[[#This Row],[Current mortgage rate]]</f>
        <v>-32650.146647283058</v>
      </c>
      <c r="J744" s="25">
        <f>IF(Table1[[#This Row],[Month]]&gt;Table7[Amortization period (yrs)]*12,0,IF(Table1[[#This Row],[Month]]&lt;Table7[mortgage term (yrs)]*12,0,IF(Table1[[#This Row],[Month]]=Table7[mortgage term (yrs)]*12,-H$5,Table1[[#This Row],[Payment amount]]+B744)))</f>
        <v>0</v>
      </c>
      <c r="K744">
        <v>733</v>
      </c>
      <c r="L744">
        <f>Table7[Initial Monthly Deposit]*Table9[[#This Row],[Inflation Modifier]]</f>
        <v>1338.6605616530871</v>
      </c>
      <c r="M744">
        <f xml:space="preserve"> (1+Table7[Inflation])^(QUOTIENT(Table9[[#This Row],[Month]]-1,12))</f>
        <v>3.346651404132718</v>
      </c>
      <c r="N744">
        <f>N743*(1+Table7[Monthly SF Inter])+Table9[[#This Row],[Monthly Payment]]-O743*(1+Table7[Monthly SF Inter])</f>
        <v>257013.47802194496</v>
      </c>
      <c r="O744">
        <f>IF(MOD(Table9[[#This Row],[Month]],12)=0,(IF(Table9[[#This Row],[Current Balance]]&lt;Table9[[#This Row],[Max Lump Sum ]],Table9[[#This Row],[Current Balance]],Table9[[#This Row],[Max Lump Sum ]])),0)</f>
        <v>0</v>
      </c>
      <c r="P744" s="21">
        <f>Table7[Max annual lump sum repayment]*SUM(C745:C756)</f>
        <v>7880.3958913442566</v>
      </c>
      <c r="Q744" s="25">
        <f>Q743*(1+Table7[Monthly SF Inter])+Table9[[#This Row],[Inflation Modifier]]-R743*(1+Table7[Monthly SF Inter])</f>
        <v>3.3466514041327144</v>
      </c>
      <c r="R744" s="25">
        <f>IF(MOD(Table9[[#This Row],[Month]],12)=0,Table9[[#This Row],[Q2 ACC FACTOR]],0)</f>
        <v>0</v>
      </c>
      <c r="S744" s="25">
        <f>S743*(1+D743)+Table9[[#This Row],[ACC FACTOR PAYMENTS]]</f>
        <v>9830.2353844572463</v>
      </c>
    </row>
    <row r="745" spans="1:19" x14ac:dyDescent="0.25">
      <c r="A745" s="1">
        <v>733</v>
      </c>
      <c r="B745" s="1">
        <f t="shared" si="11"/>
        <v>0</v>
      </c>
      <c r="C745" s="7">
        <f>G$12/-PV(Table7[Monthly mortgage rate], (12*Table7[Amortization period (yrs)]),1 )</f>
        <v>4377.9977174134756</v>
      </c>
      <c r="D745" s="11">
        <f>IF(Table1[[#This Row],[Month]]&lt;=(12*Table7[mortgage term (yrs)]),Table7[Monthly mortgage rate],Table7[Monthly Exp Renewal Rate])</f>
        <v>4.9038466830562122E-3</v>
      </c>
      <c r="E745" s="21">
        <f>Table1[[#This Row],[Current mortgage rate]]*G744</f>
        <v>-50594.899722296002</v>
      </c>
      <c r="F745" s="5">
        <f>Table1[[#This Row],[Payment amount]]-Table1[[#This Row],[Interest paid]]</f>
        <v>54972.897439709479</v>
      </c>
      <c r="G745" s="20">
        <f>G744-Table1[[#This Row],[Principal repaid]]-Table1[[#This Row],[Annual paym]]</f>
        <v>-10372363.099933533</v>
      </c>
      <c r="H745" s="20">
        <f>H744-(Table1[[#This Row],[Payment amount]]-Table1[[#This Row],[Interest Paid W/O LSP]])</f>
        <v>-6732306.2707815208</v>
      </c>
      <c r="I745">
        <f>H744*Table1[[#This Row],[Current mortgage rate]]</f>
        <v>-32831.726990205607</v>
      </c>
      <c r="J745" s="25">
        <f>IF(Table1[[#This Row],[Month]]&gt;Table7[Amortization period (yrs)]*12,0,IF(Table1[[#This Row],[Month]]&lt;Table7[mortgage term (yrs)]*12,0,IF(Table1[[#This Row],[Month]]=Table7[mortgage term (yrs)]*12,-H$5,Table1[[#This Row],[Payment amount]]+B745)))</f>
        <v>0</v>
      </c>
      <c r="K745">
        <v>734</v>
      </c>
      <c r="L745">
        <f>Table7[Initial Monthly Deposit]*Table9[[#This Row],[Inflation Modifier]]</f>
        <v>1338.6605616530871</v>
      </c>
      <c r="M745">
        <f xml:space="preserve"> (1+Table7[Inflation])^(QUOTIENT(Table9[[#This Row],[Month]]-1,12))</f>
        <v>3.346651404132718</v>
      </c>
      <c r="N745">
        <f>N744*(1+Table7[Monthly SF Inter])+Table9[[#This Row],[Monthly Payment]]-O744*(1+Table7[Monthly SF Inter])</f>
        <v>259412.04044036326</v>
      </c>
      <c r="O745">
        <f>IF(MOD(Table9[[#This Row],[Month]],12)=0,(IF(Table9[[#This Row],[Current Balance]]&lt;Table9[[#This Row],[Max Lump Sum ]],Table9[[#This Row],[Current Balance]],Table9[[#This Row],[Max Lump Sum ]])),0)</f>
        <v>0</v>
      </c>
      <c r="P745" s="21">
        <f>Table7[Max annual lump sum repayment]*SUM(C746:C757)</f>
        <v>7880.3958913442566</v>
      </c>
      <c r="Q745" s="25">
        <f>Q744*(1+Table7[Monthly SF Inter])+Table9[[#This Row],[Inflation Modifier]]-R744*(1+Table7[Monthly SF Inter])</f>
        <v>6.7071041157473825</v>
      </c>
      <c r="R745" s="25">
        <f>IF(MOD(Table9[[#This Row],[Month]],12)=0,Table9[[#This Row],[Q2 ACC FACTOR]],0)</f>
        <v>0</v>
      </c>
      <c r="S745" s="25">
        <f>S744*(1+D744)+Table9[[#This Row],[ACC FACTOR PAYMENTS]]</f>
        <v>9878.4413516409786</v>
      </c>
    </row>
    <row r="746" spans="1:19" x14ac:dyDescent="0.25">
      <c r="A746" s="1">
        <v>734</v>
      </c>
      <c r="B746" s="1">
        <f t="shared" si="11"/>
        <v>0</v>
      </c>
      <c r="C746" s="7">
        <f>G$12/-PV(Table7[Monthly mortgage rate], (12*Table7[Amortization period (yrs)]),1 )</f>
        <v>4377.9977174134756</v>
      </c>
      <c r="D746" s="11">
        <f>IF(Table1[[#This Row],[Month]]&lt;=(12*Table7[mortgage term (yrs)]),Table7[Monthly mortgage rate],Table7[Monthly Exp Renewal Rate])</f>
        <v>4.9038466830562122E-3</v>
      </c>
      <c r="E746" s="21">
        <f>Table1[[#This Row],[Current mortgage rate]]*G745</f>
        <v>-50864.47838306371</v>
      </c>
      <c r="F746" s="5">
        <f>Table1[[#This Row],[Payment amount]]-Table1[[#This Row],[Interest paid]]</f>
        <v>55242.476100477186</v>
      </c>
      <c r="G746" s="20">
        <f>G745-Table1[[#This Row],[Principal repaid]]-Table1[[#This Row],[Annual paym]]</f>
        <v>-10427605.576034009</v>
      </c>
      <c r="H746" s="20">
        <f>H745-(Table1[[#This Row],[Payment amount]]-Table1[[#This Row],[Interest Paid W/O LSP]])</f>
        <v>-6769698.4662742252</v>
      </c>
      <c r="I746">
        <f>H745*Table1[[#This Row],[Current mortgage rate]]</f>
        <v>-33014.1977752905</v>
      </c>
      <c r="J746" s="25">
        <f>IF(Table1[[#This Row],[Month]]&gt;Table7[Amortization period (yrs)]*12,0,IF(Table1[[#This Row],[Month]]&lt;Table7[mortgage term (yrs)]*12,0,IF(Table1[[#This Row],[Month]]=Table7[mortgage term (yrs)]*12,-H$5,Table1[[#This Row],[Payment amount]]+B746)))</f>
        <v>0</v>
      </c>
      <c r="K746">
        <v>735</v>
      </c>
      <c r="L746">
        <f>Table7[Initial Monthly Deposit]*Table9[[#This Row],[Inflation Modifier]]</f>
        <v>1338.6605616530871</v>
      </c>
      <c r="M746">
        <f xml:space="preserve"> (1+Table7[Inflation])^(QUOTIENT(Table9[[#This Row],[Month]]-1,12))</f>
        <v>3.346651404132718</v>
      </c>
      <c r="N746">
        <f>N745*(1+Table7[Monthly SF Inter])+Table9[[#This Row],[Monthly Payment]]-O745*(1+Table7[Monthly SF Inter])</f>
        <v>261820.49432743297</v>
      </c>
      <c r="O746">
        <f>IF(MOD(Table9[[#This Row],[Month]],12)=0,(IF(Table9[[#This Row],[Current Balance]]&lt;Table9[[#This Row],[Max Lump Sum ]],Table9[[#This Row],[Current Balance]],Table9[[#This Row],[Max Lump Sum ]])),0)</f>
        <v>0</v>
      </c>
      <c r="P746" s="21">
        <f>Table7[Max annual lump sum repayment]*SUM(C747:C758)</f>
        <v>7880.3958913442566</v>
      </c>
      <c r="Q746" s="25">
        <f>Q745*(1+Table7[Monthly SF Inter])+Table9[[#This Row],[Inflation Modifier]]-R745*(1+Table7[Monthly SF Inter])</f>
        <v>10.081415050269364</v>
      </c>
      <c r="R746" s="25">
        <f>IF(MOD(Table9[[#This Row],[Month]],12)=0,Table9[[#This Row],[Q2 ACC FACTOR]],0)</f>
        <v>0</v>
      </c>
      <c r="S746" s="25">
        <f>S745*(1+D745)+Table9[[#This Row],[ACC FACTOR PAYMENTS]]</f>
        <v>9926.883713496989</v>
      </c>
    </row>
    <row r="747" spans="1:19" x14ac:dyDescent="0.25">
      <c r="A747" s="1">
        <v>735</v>
      </c>
      <c r="B747" s="1">
        <f t="shared" si="11"/>
        <v>0</v>
      </c>
      <c r="C747" s="7">
        <f>G$12/-PV(Table7[Monthly mortgage rate], (12*Table7[Amortization period (yrs)]),1 )</f>
        <v>4377.9977174134756</v>
      </c>
      <c r="D747" s="11">
        <f>IF(Table1[[#This Row],[Month]]&lt;=(12*Table7[mortgage term (yrs)]),Table7[Monthly mortgage rate],Table7[Monthly Exp Renewal Rate])</f>
        <v>4.9038466830562122E-3</v>
      </c>
      <c r="E747" s="21">
        <f>Table1[[#This Row],[Current mortgage rate]]*G746</f>
        <v>-51135.379016252838</v>
      </c>
      <c r="F747" s="5">
        <f>Table1[[#This Row],[Payment amount]]-Table1[[#This Row],[Interest paid]]</f>
        <v>55513.376733666315</v>
      </c>
      <c r="G747" s="20">
        <f>G746-Table1[[#This Row],[Principal repaid]]-Table1[[#This Row],[Annual paym]]</f>
        <v>-10483118.952767676</v>
      </c>
      <c r="H747" s="20">
        <f>H746-(Table1[[#This Row],[Payment amount]]-Table1[[#This Row],[Interest Paid W/O LSP]])</f>
        <v>-6807274.0273607681</v>
      </c>
      <c r="I747">
        <f>H746*Table1[[#This Row],[Current mortgage rate]]</f>
        <v>-33197.563369129588</v>
      </c>
      <c r="J747" s="25">
        <f>IF(Table1[[#This Row],[Month]]&gt;Table7[Amortization period (yrs)]*12,0,IF(Table1[[#This Row],[Month]]&lt;Table7[mortgage term (yrs)]*12,0,IF(Table1[[#This Row],[Month]]=Table7[mortgage term (yrs)]*12,-H$5,Table1[[#This Row],[Payment amount]]+B747)))</f>
        <v>0</v>
      </c>
      <c r="K747">
        <v>736</v>
      </c>
      <c r="L747">
        <f>Table7[Initial Monthly Deposit]*Table9[[#This Row],[Inflation Modifier]]</f>
        <v>1338.6605616530871</v>
      </c>
      <c r="M747">
        <f xml:space="preserve"> (1+Table7[Inflation])^(QUOTIENT(Table9[[#This Row],[Month]]-1,12))</f>
        <v>3.346651404132718</v>
      </c>
      <c r="N747">
        <f>N746*(1+Table7[Monthly SF Inter])+Table9[[#This Row],[Monthly Payment]]-O746*(1+Table7[Monthly SF Inter])</f>
        <v>264238.88047473464</v>
      </c>
      <c r="O747">
        <f>IF(MOD(Table9[[#This Row],[Month]],12)=0,(IF(Table9[[#This Row],[Current Balance]]&lt;Table9[[#This Row],[Max Lump Sum ]],Table9[[#This Row],[Current Balance]],Table9[[#This Row],[Max Lump Sum ]])),0)</f>
        <v>0</v>
      </c>
      <c r="P747" s="21">
        <f>Table7[Max annual lump sum repayment]*SUM(C748:C759)</f>
        <v>7880.3958913442566</v>
      </c>
      <c r="Q747" s="25">
        <f>Q746*(1+Table7[Monthly SF Inter])+Table9[[#This Row],[Inflation Modifier]]-R746*(1+Table7[Monthly SF Inter])</f>
        <v>13.469641357838425</v>
      </c>
      <c r="R747" s="25">
        <f>IF(MOD(Table9[[#This Row],[Month]],12)=0,Table9[[#This Row],[Q2 ACC FACTOR]],0)</f>
        <v>0</v>
      </c>
      <c r="S747" s="25">
        <f>S746*(1+D746)+Table9[[#This Row],[ACC FACTOR PAYMENTS]]</f>
        <v>9975.5636292685067</v>
      </c>
    </row>
    <row r="748" spans="1:19" x14ac:dyDescent="0.25">
      <c r="A748" s="1">
        <v>736</v>
      </c>
      <c r="B748" s="1">
        <f t="shared" si="11"/>
        <v>0</v>
      </c>
      <c r="C748" s="7">
        <f>G$12/-PV(Table7[Monthly mortgage rate], (12*Table7[Amortization period (yrs)]),1 )</f>
        <v>4377.9977174134756</v>
      </c>
      <c r="D748" s="11">
        <f>IF(Table1[[#This Row],[Month]]&lt;=(12*Table7[mortgage term (yrs)]),Table7[Monthly mortgage rate],Table7[Monthly Exp Renewal Rate])</f>
        <v>4.9038466830562122E-3</v>
      </c>
      <c r="E748" s="21">
        <f>Table1[[#This Row],[Current mortgage rate]]*G747</f>
        <v>-51407.608104613479</v>
      </c>
      <c r="F748" s="5">
        <f>Table1[[#This Row],[Payment amount]]-Table1[[#This Row],[Interest paid]]</f>
        <v>55785.605822026955</v>
      </c>
      <c r="G748" s="20">
        <f>G747-Table1[[#This Row],[Principal repaid]]-Table1[[#This Row],[Annual paym]]</f>
        <v>-10538904.558589702</v>
      </c>
      <c r="H748" s="20">
        <f>H747-(Table1[[#This Row],[Payment amount]]-Table1[[#This Row],[Interest Paid W/O LSP]])</f>
        <v>-6845033.8532379093</v>
      </c>
      <c r="I748">
        <f>H747*Table1[[#This Row],[Current mortgage rate]]</f>
        <v>-33381.828159727804</v>
      </c>
      <c r="J748" s="25">
        <f>IF(Table1[[#This Row],[Month]]&gt;Table7[Amortization period (yrs)]*12,0,IF(Table1[[#This Row],[Month]]&lt;Table7[mortgage term (yrs)]*12,0,IF(Table1[[#This Row],[Month]]=Table7[mortgage term (yrs)]*12,-H$5,Table1[[#This Row],[Payment amount]]+B748)))</f>
        <v>0</v>
      </c>
      <c r="K748">
        <v>737</v>
      </c>
      <c r="L748">
        <f>Table7[Initial Monthly Deposit]*Table9[[#This Row],[Inflation Modifier]]</f>
        <v>1338.6605616530871</v>
      </c>
      <c r="M748">
        <f xml:space="preserve"> (1+Table7[Inflation])^(QUOTIENT(Table9[[#This Row],[Month]]-1,12))</f>
        <v>3.346651404132718</v>
      </c>
      <c r="N748">
        <f>N747*(1+Table7[Monthly SF Inter])+Table9[[#This Row],[Monthly Payment]]-O747*(1+Table7[Monthly SF Inter])</f>
        <v>266667.23984206986</v>
      </c>
      <c r="O748">
        <f>IF(MOD(Table9[[#This Row],[Month]],12)=0,(IF(Table9[[#This Row],[Current Balance]]&lt;Table9[[#This Row],[Max Lump Sum ]],Table9[[#This Row],[Current Balance]],Table9[[#This Row],[Max Lump Sum ]])),0)</f>
        <v>0</v>
      </c>
      <c r="P748" s="21">
        <f>Table7[Max annual lump sum repayment]*SUM(C749:C760)</f>
        <v>7880.3958913442566</v>
      </c>
      <c r="Q748" s="25">
        <f>Q747*(1+Table7[Monthly SF Inter])+Table9[[#This Row],[Inflation Modifier]]-R747*(1+Table7[Monthly SF Inter])</f>
        <v>16.871840424276677</v>
      </c>
      <c r="R748" s="25">
        <f>IF(MOD(Table9[[#This Row],[Month]],12)=0,Table9[[#This Row],[Q2 ACC FACTOR]],0)</f>
        <v>0</v>
      </c>
      <c r="S748" s="25">
        <f>S747*(1+D747)+Table9[[#This Row],[ACC FACTOR PAYMENTS]]</f>
        <v>10024.482263883512</v>
      </c>
    </row>
    <row r="749" spans="1:19" x14ac:dyDescent="0.25">
      <c r="A749" s="1">
        <v>737</v>
      </c>
      <c r="B749" s="1">
        <f t="shared" si="11"/>
        <v>0</v>
      </c>
      <c r="C749" s="7">
        <f>G$12/-PV(Table7[Monthly mortgage rate], (12*Table7[Amortization period (yrs)]),1 )</f>
        <v>4377.9977174134756</v>
      </c>
      <c r="D749" s="11">
        <f>IF(Table1[[#This Row],[Month]]&lt;=(12*Table7[mortgage term (yrs)]),Table7[Monthly mortgage rate],Table7[Monthly Exp Renewal Rate])</f>
        <v>4.9038466830562122E-3</v>
      </c>
      <c r="E749" s="21">
        <f>Table1[[#This Row],[Current mortgage rate]]*G748</f>
        <v>-51681.172162686104</v>
      </c>
      <c r="F749" s="5">
        <f>Table1[[#This Row],[Payment amount]]-Table1[[#This Row],[Interest paid]]</f>
        <v>56059.16988009958</v>
      </c>
      <c r="G749" s="20">
        <f>G748-Table1[[#This Row],[Principal repaid]]-Table1[[#This Row],[Annual paym]]</f>
        <v>-10594963.728469802</v>
      </c>
      <c r="H749" s="20">
        <f>H748-(Table1[[#This Row],[Payment amount]]-Table1[[#This Row],[Interest Paid W/O LSP]])</f>
        <v>-6882978.8475119313</v>
      </c>
      <c r="I749">
        <f>H748*Table1[[#This Row],[Current mortgage rate]]</f>
        <v>-33566.996556608203</v>
      </c>
      <c r="J749" s="25">
        <f>IF(Table1[[#This Row],[Month]]&gt;Table7[Amortization period (yrs)]*12,0,IF(Table1[[#This Row],[Month]]&lt;Table7[mortgage term (yrs)]*12,0,IF(Table1[[#This Row],[Month]]=Table7[mortgage term (yrs)]*12,-H$5,Table1[[#This Row],[Payment amount]]+B749)))</f>
        <v>0</v>
      </c>
      <c r="K749">
        <v>738</v>
      </c>
      <c r="L749">
        <f>Table7[Initial Monthly Deposit]*Table9[[#This Row],[Inflation Modifier]]</f>
        <v>1338.6605616530871</v>
      </c>
      <c r="M749">
        <f xml:space="preserve"> (1+Table7[Inflation])^(QUOTIENT(Table9[[#This Row],[Month]]-1,12))</f>
        <v>3.346651404132718</v>
      </c>
      <c r="N749">
        <f>N748*(1+Table7[Monthly SF Inter])+Table9[[#This Row],[Monthly Payment]]-O748*(1+Table7[Monthly SF Inter])</f>
        <v>269105.61355815496</v>
      </c>
      <c r="O749">
        <f>IF(MOD(Table9[[#This Row],[Month]],12)=0,(IF(Table9[[#This Row],[Current Balance]]&lt;Table9[[#This Row],[Max Lump Sum ]],Table9[[#This Row],[Current Balance]],Table9[[#This Row],[Max Lump Sum ]])),0)</f>
        <v>0</v>
      </c>
      <c r="P749" s="21">
        <f>Table7[Max annual lump sum repayment]*SUM(C750:C761)</f>
        <v>7880.3958913442566</v>
      </c>
      <c r="Q749" s="25">
        <f>Q748*(1+Table7[Monthly SF Inter])+Table9[[#This Row],[Inflation Modifier]]-R748*(1+Table7[Monthly SF Inter])</f>
        <v>20.288069872060515</v>
      </c>
      <c r="R749" s="25">
        <f>IF(MOD(Table9[[#This Row],[Month]],12)=0,Table9[[#This Row],[Q2 ACC FACTOR]],0)</f>
        <v>0</v>
      </c>
      <c r="S749" s="25">
        <f>S748*(1+D748)+Table9[[#This Row],[ACC FACTOR PAYMENTS]]</f>
        <v>10073.640787982613</v>
      </c>
    </row>
    <row r="750" spans="1:19" x14ac:dyDescent="0.25">
      <c r="A750" s="1">
        <v>738</v>
      </c>
      <c r="B750" s="1">
        <f t="shared" si="11"/>
        <v>0</v>
      </c>
      <c r="C750" s="7">
        <f>G$12/-PV(Table7[Monthly mortgage rate], (12*Table7[Amortization period (yrs)]),1 )</f>
        <v>4377.9977174134756</v>
      </c>
      <c r="D750" s="11">
        <f>IF(Table1[[#This Row],[Month]]&lt;=(12*Table7[mortgage term (yrs)]),Table7[Monthly mortgage rate],Table7[Monthly Exp Renewal Rate])</f>
        <v>4.9038466830562122E-3</v>
      </c>
      <c r="E750" s="21">
        <f>Table1[[#This Row],[Current mortgage rate]]*G749</f>
        <v>-51956.077736957515</v>
      </c>
      <c r="F750" s="5">
        <f>Table1[[#This Row],[Payment amount]]-Table1[[#This Row],[Interest paid]]</f>
        <v>56334.075454370992</v>
      </c>
      <c r="G750" s="20">
        <f>G749-Table1[[#This Row],[Principal repaid]]-Table1[[#This Row],[Annual paym]]</f>
        <v>-10651297.803924173</v>
      </c>
      <c r="H750" s="20">
        <f>H749-(Table1[[#This Row],[Payment amount]]-Table1[[#This Row],[Interest Paid W/O LSP]])</f>
        <v>-6921109.918220262</v>
      </c>
      <c r="I750">
        <f>H749*Table1[[#This Row],[Current mortgage rate]]</f>
        <v>-33753.072990917455</v>
      </c>
      <c r="J750" s="25">
        <f>IF(Table1[[#This Row],[Month]]&gt;Table7[Amortization period (yrs)]*12,0,IF(Table1[[#This Row],[Month]]&lt;Table7[mortgage term (yrs)]*12,0,IF(Table1[[#This Row],[Month]]=Table7[mortgage term (yrs)]*12,-H$5,Table1[[#This Row],[Payment amount]]+B750)))</f>
        <v>0</v>
      </c>
      <c r="K750">
        <v>739</v>
      </c>
      <c r="L750">
        <f>Table7[Initial Monthly Deposit]*Table9[[#This Row],[Inflation Modifier]]</f>
        <v>1338.6605616530871</v>
      </c>
      <c r="M750">
        <f xml:space="preserve"> (1+Table7[Inflation])^(QUOTIENT(Table9[[#This Row],[Month]]-1,12))</f>
        <v>3.346651404132718</v>
      </c>
      <c r="N750">
        <f>N749*(1+Table7[Monthly SF Inter])+Table9[[#This Row],[Monthly Payment]]-O749*(1+Table7[Monthly SF Inter])</f>
        <v>271554.04292131762</v>
      </c>
      <c r="O750">
        <f>IF(MOD(Table9[[#This Row],[Month]],12)=0,(IF(Table9[[#This Row],[Current Balance]]&lt;Table9[[#This Row],[Max Lump Sum ]],Table9[[#This Row],[Current Balance]],Table9[[#This Row],[Max Lump Sum ]])),0)</f>
        <v>0</v>
      </c>
      <c r="P750" s="21">
        <f>Table7[Max annual lump sum repayment]*SUM(C751:C762)</f>
        <v>7880.3958913442566</v>
      </c>
      <c r="Q750" s="25">
        <f>Q749*(1+Table7[Monthly SF Inter])+Table9[[#This Row],[Inflation Modifier]]-R749*(1+Table7[Monthly SF Inter])</f>
        <v>23.718387561296549</v>
      </c>
      <c r="R750" s="25">
        <f>IF(MOD(Table9[[#This Row],[Month]],12)=0,Table9[[#This Row],[Q2 ACC FACTOR]],0)</f>
        <v>0</v>
      </c>
      <c r="S750" s="25">
        <f>S749*(1+D749)+Table9[[#This Row],[ACC FACTOR PAYMENTS]]</f>
        <v>10123.040377947062</v>
      </c>
    </row>
    <row r="751" spans="1:19" x14ac:dyDescent="0.25">
      <c r="A751" s="1">
        <v>739</v>
      </c>
      <c r="B751" s="1">
        <f t="shared" si="11"/>
        <v>0</v>
      </c>
      <c r="C751" s="7">
        <f>G$12/-PV(Table7[Monthly mortgage rate], (12*Table7[Amortization period (yrs)]),1 )</f>
        <v>4377.9977174134756</v>
      </c>
      <c r="D751" s="11">
        <f>IF(Table1[[#This Row],[Month]]&lt;=(12*Table7[mortgage term (yrs)]),Table7[Monthly mortgage rate],Table7[Monthly Exp Renewal Rate])</f>
        <v>4.9038466830562122E-3</v>
      </c>
      <c r="E751" s="21">
        <f>Table1[[#This Row],[Current mortgage rate]]*G750</f>
        <v>-52232.331406017474</v>
      </c>
      <c r="F751" s="5">
        <f>Table1[[#This Row],[Payment amount]]-Table1[[#This Row],[Interest paid]]</f>
        <v>56610.329123430951</v>
      </c>
      <c r="G751" s="20">
        <f>G750-Table1[[#This Row],[Principal repaid]]-Table1[[#This Row],[Annual paym]]</f>
        <v>-10707908.133047605</v>
      </c>
      <c r="H751" s="20">
        <f>H750-(Table1[[#This Row],[Payment amount]]-Table1[[#This Row],[Interest Paid W/O LSP]])</f>
        <v>-6959427.9778532078</v>
      </c>
      <c r="I751">
        <f>H750*Table1[[#This Row],[Current mortgage rate]]</f>
        <v>-33940.061915531885</v>
      </c>
      <c r="J751" s="25">
        <f>IF(Table1[[#This Row],[Month]]&gt;Table7[Amortization period (yrs)]*12,0,IF(Table1[[#This Row],[Month]]&lt;Table7[mortgage term (yrs)]*12,0,IF(Table1[[#This Row],[Month]]=Table7[mortgage term (yrs)]*12,-H$5,Table1[[#This Row],[Payment amount]]+B751)))</f>
        <v>0</v>
      </c>
      <c r="K751">
        <v>740</v>
      </c>
      <c r="L751">
        <f>Table7[Initial Monthly Deposit]*Table9[[#This Row],[Inflation Modifier]]</f>
        <v>1338.6605616530871</v>
      </c>
      <c r="M751">
        <f xml:space="preserve"> (1+Table7[Inflation])^(QUOTIENT(Table9[[#This Row],[Month]]-1,12))</f>
        <v>3.346651404132718</v>
      </c>
      <c r="N751">
        <f>N750*(1+Table7[Monthly SF Inter])+Table9[[#This Row],[Monthly Payment]]-O750*(1+Table7[Monthly SF Inter])</f>
        <v>274012.56940019637</v>
      </c>
      <c r="O751">
        <f>IF(MOD(Table9[[#This Row],[Month]],12)=0,(IF(Table9[[#This Row],[Current Balance]]&lt;Table9[[#This Row],[Max Lump Sum ]],Table9[[#This Row],[Current Balance]],Table9[[#This Row],[Max Lump Sum ]])),0)</f>
        <v>0</v>
      </c>
      <c r="P751" s="21">
        <f>Table7[Max annual lump sum repayment]*SUM(C752:C763)</f>
        <v>7880.3958913442566</v>
      </c>
      <c r="Q751" s="25">
        <f>Q750*(1+Table7[Monthly SF Inter])+Table9[[#This Row],[Inflation Modifier]]-R750*(1+Table7[Monthly SF Inter])</f>
        <v>27.162851590701582</v>
      </c>
      <c r="R751" s="25">
        <f>IF(MOD(Table9[[#This Row],[Month]],12)=0,Table9[[#This Row],[Q2 ACC FACTOR]],0)</f>
        <v>0</v>
      </c>
      <c r="S751" s="25">
        <f>S750*(1+D750)+Table9[[#This Row],[ACC FACTOR PAYMENTS]]</f>
        <v>10172.682215926901</v>
      </c>
    </row>
    <row r="752" spans="1:19" x14ac:dyDescent="0.25">
      <c r="A752" s="1">
        <v>740</v>
      </c>
      <c r="B752" s="1">
        <f t="shared" si="11"/>
        <v>0</v>
      </c>
      <c r="C752" s="7">
        <f>G$12/-PV(Table7[Monthly mortgage rate], (12*Table7[Amortization period (yrs)]),1 )</f>
        <v>4377.9977174134756</v>
      </c>
      <c r="D752" s="11">
        <f>IF(Table1[[#This Row],[Month]]&lt;=(12*Table7[mortgage term (yrs)]),Table7[Monthly mortgage rate],Table7[Monthly Exp Renewal Rate])</f>
        <v>4.9038466830562122E-3</v>
      </c>
      <c r="E752" s="21">
        <f>Table1[[#This Row],[Current mortgage rate]]*G751</f>
        <v>-52509.939780716137</v>
      </c>
      <c r="F752" s="5">
        <f>Table1[[#This Row],[Payment amount]]-Table1[[#This Row],[Interest paid]]</f>
        <v>56887.937498129613</v>
      </c>
      <c r="G752" s="20">
        <f>G751-Table1[[#This Row],[Principal repaid]]-Table1[[#This Row],[Annual paym]]</f>
        <v>-10764796.070545735</v>
      </c>
      <c r="H752" s="20">
        <f>H751-(Table1[[#This Row],[Payment amount]]-Table1[[#This Row],[Interest Paid W/O LSP]])</f>
        <v>-6997933.9433757858</v>
      </c>
      <c r="I752">
        <f>H751*Table1[[#This Row],[Current mortgage rate]]</f>
        <v>-34127.967805164059</v>
      </c>
      <c r="J752" s="25">
        <f>IF(Table1[[#This Row],[Month]]&gt;Table7[Amortization period (yrs)]*12,0,IF(Table1[[#This Row],[Month]]&lt;Table7[mortgage term (yrs)]*12,0,IF(Table1[[#This Row],[Month]]=Table7[mortgage term (yrs)]*12,-H$5,Table1[[#This Row],[Payment amount]]+B752)))</f>
        <v>0</v>
      </c>
      <c r="K752">
        <v>741</v>
      </c>
      <c r="L752">
        <f>Table7[Initial Monthly Deposit]*Table9[[#This Row],[Inflation Modifier]]</f>
        <v>1338.6605616530871</v>
      </c>
      <c r="M752">
        <f xml:space="preserve"> (1+Table7[Inflation])^(QUOTIENT(Table9[[#This Row],[Month]]-1,12))</f>
        <v>3.346651404132718</v>
      </c>
      <c r="N752">
        <f>N751*(1+Table7[Monthly SF Inter])+Table9[[#This Row],[Monthly Payment]]-O751*(1+Table7[Monthly SF Inter])</f>
        <v>276481.23463444284</v>
      </c>
      <c r="O752">
        <f>IF(MOD(Table9[[#This Row],[Month]],12)=0,(IF(Table9[[#This Row],[Current Balance]]&lt;Table9[[#This Row],[Max Lump Sum ]],Table9[[#This Row],[Current Balance]],Table9[[#This Row],[Max Lump Sum ]])),0)</f>
        <v>0</v>
      </c>
      <c r="P752" s="21">
        <f>Table7[Max annual lump sum repayment]*SUM(C753:C764)</f>
        <v>7880.3958913442566</v>
      </c>
      <c r="Q752" s="25">
        <f>Q751*(1+Table7[Monthly SF Inter])+Table9[[#This Row],[Inflation Modifier]]-R751*(1+Table7[Monthly SF Inter])</f>
        <v>30.62152029858661</v>
      </c>
      <c r="R752" s="25">
        <f>IF(MOD(Table9[[#This Row],[Month]],12)=0,Table9[[#This Row],[Q2 ACC FACTOR]],0)</f>
        <v>0</v>
      </c>
      <c r="S752" s="25">
        <f>S751*(1+D751)+Table9[[#This Row],[ACC FACTOR PAYMENTS]]</f>
        <v>10222.56748986926</v>
      </c>
    </row>
    <row r="753" spans="1:19" x14ac:dyDescent="0.25">
      <c r="A753" s="1">
        <v>741</v>
      </c>
      <c r="B753" s="1">
        <f t="shared" si="11"/>
        <v>0</v>
      </c>
      <c r="C753" s="7">
        <f>G$12/-PV(Table7[Monthly mortgage rate], (12*Table7[Amortization period (yrs)]),1 )</f>
        <v>4377.9977174134756</v>
      </c>
      <c r="D753" s="11">
        <f>IF(Table1[[#This Row],[Month]]&lt;=(12*Table7[mortgage term (yrs)]),Table7[Monthly mortgage rate],Table7[Monthly Exp Renewal Rate])</f>
        <v>4.9038466830562122E-3</v>
      </c>
      <c r="E753" s="21">
        <f>Table1[[#This Row],[Current mortgage rate]]*G752</f>
        <v>-52788.909504322248</v>
      </c>
      <c r="F753" s="5">
        <f>Table1[[#This Row],[Payment amount]]-Table1[[#This Row],[Interest paid]]</f>
        <v>57166.907221735724</v>
      </c>
      <c r="G753" s="20">
        <f>G752-Table1[[#This Row],[Principal repaid]]-Table1[[#This Row],[Annual paym]]</f>
        <v>-10821962.977767471</v>
      </c>
      <c r="H753" s="20">
        <f>H752-(Table1[[#This Row],[Payment amount]]-Table1[[#This Row],[Interest Paid W/O LSP]])</f>
        <v>-7036628.7362496695</v>
      </c>
      <c r="I753">
        <f>H752*Table1[[#This Row],[Current mortgage rate]]</f>
        <v>-34316.795156469823</v>
      </c>
      <c r="J753" s="25">
        <f>IF(Table1[[#This Row],[Month]]&gt;Table7[Amortization period (yrs)]*12,0,IF(Table1[[#This Row],[Month]]&lt;Table7[mortgage term (yrs)]*12,0,IF(Table1[[#This Row],[Month]]=Table7[mortgage term (yrs)]*12,-H$5,Table1[[#This Row],[Payment amount]]+B753)))</f>
        <v>0</v>
      </c>
      <c r="K753">
        <v>742</v>
      </c>
      <c r="L753">
        <f>Table7[Initial Monthly Deposit]*Table9[[#This Row],[Inflation Modifier]]</f>
        <v>1338.6605616530871</v>
      </c>
      <c r="M753">
        <f xml:space="preserve"> (1+Table7[Inflation])^(QUOTIENT(Table9[[#This Row],[Month]]-1,12))</f>
        <v>3.346651404132718</v>
      </c>
      <c r="N753">
        <f>N752*(1+Table7[Monthly SF Inter])+Table9[[#This Row],[Monthly Payment]]-O752*(1+Table7[Monthly SF Inter])</f>
        <v>278960.08043542708</v>
      </c>
      <c r="O753">
        <f>IF(MOD(Table9[[#This Row],[Month]],12)=0,(IF(Table9[[#This Row],[Current Balance]]&lt;Table9[[#This Row],[Max Lump Sum ]],Table9[[#This Row],[Current Balance]],Table9[[#This Row],[Max Lump Sum ]])),0)</f>
        <v>0</v>
      </c>
      <c r="P753" s="21">
        <f>Table7[Max annual lump sum repayment]*SUM(C754:C765)</f>
        <v>7880.3958913442566</v>
      </c>
      <c r="Q753" s="25">
        <f>Q752*(1+Table7[Monthly SF Inter])+Table9[[#This Row],[Inflation Modifier]]-R752*(1+Table7[Monthly SF Inter])</f>
        <v>34.0944522638449</v>
      </c>
      <c r="R753" s="25">
        <f>IF(MOD(Table9[[#This Row],[Month]],12)=0,Table9[[#This Row],[Q2 ACC FACTOR]],0)</f>
        <v>0</v>
      </c>
      <c r="S753" s="25">
        <f>S752*(1+D752)+Table9[[#This Row],[ACC FACTOR PAYMENTS]]</f>
        <v>10272.697393546774</v>
      </c>
    </row>
    <row r="754" spans="1:19" x14ac:dyDescent="0.25">
      <c r="A754" s="1">
        <v>742</v>
      </c>
      <c r="B754" s="1">
        <f t="shared" si="11"/>
        <v>0</v>
      </c>
      <c r="C754" s="7">
        <f>G$12/-PV(Table7[Monthly mortgage rate], (12*Table7[Amortization period (yrs)]),1 )</f>
        <v>4377.9977174134756</v>
      </c>
      <c r="D754" s="11">
        <f>IF(Table1[[#This Row],[Month]]&lt;=(12*Table7[mortgage term (yrs)]),Table7[Monthly mortgage rate],Table7[Monthly Exp Renewal Rate])</f>
        <v>4.9038466830562122E-3</v>
      </c>
      <c r="E754" s="21">
        <f>Table1[[#This Row],[Current mortgage rate]]*G753</f>
        <v>-53069.247252682144</v>
      </c>
      <c r="F754" s="5">
        <f>Table1[[#This Row],[Payment amount]]-Table1[[#This Row],[Interest paid]]</f>
        <v>57447.24497009562</v>
      </c>
      <c r="G754" s="20">
        <f>G753-Table1[[#This Row],[Principal repaid]]-Table1[[#This Row],[Annual paym]]</f>
        <v>-10879410.222737567</v>
      </c>
      <c r="H754" s="20">
        <f>H753-(Table1[[#This Row],[Payment amount]]-Table1[[#This Row],[Interest Paid W/O LSP]])</f>
        <v>-7075513.2824552385</v>
      </c>
      <c r="I754">
        <f>H753*Table1[[#This Row],[Current mortgage rate]]</f>
        <v>-34506.548488155968</v>
      </c>
      <c r="J754" s="25">
        <f>IF(Table1[[#This Row],[Month]]&gt;Table7[Amortization period (yrs)]*12,0,IF(Table1[[#This Row],[Month]]&lt;Table7[mortgage term (yrs)]*12,0,IF(Table1[[#This Row],[Month]]=Table7[mortgage term (yrs)]*12,-H$5,Table1[[#This Row],[Payment amount]]+B754)))</f>
        <v>0</v>
      </c>
      <c r="K754">
        <v>743</v>
      </c>
      <c r="L754">
        <f>Table7[Initial Monthly Deposit]*Table9[[#This Row],[Inflation Modifier]]</f>
        <v>1338.6605616530871</v>
      </c>
      <c r="M754">
        <f xml:space="preserve"> (1+Table7[Inflation])^(QUOTIENT(Table9[[#This Row],[Month]]-1,12))</f>
        <v>3.346651404132718</v>
      </c>
      <c r="N754">
        <f>N753*(1+Table7[Monthly SF Inter])+Table9[[#This Row],[Monthly Payment]]-O753*(1+Table7[Monthly SF Inter])</f>
        <v>281449.14878694568</v>
      </c>
      <c r="O754">
        <f>IF(MOD(Table9[[#This Row],[Month]],12)=0,(IF(Table9[[#This Row],[Current Balance]]&lt;Table9[[#This Row],[Max Lump Sum ]],Table9[[#This Row],[Current Balance]],Table9[[#This Row],[Max Lump Sum ]])),0)</f>
        <v>0</v>
      </c>
      <c r="P754" s="21">
        <f>Table7[Max annual lump sum repayment]*SUM(C755:C766)</f>
        <v>7880.3958913442566</v>
      </c>
      <c r="Q754" s="25">
        <f>Q753*(1+Table7[Monthly SF Inter])+Table9[[#This Row],[Inflation Modifier]]-R753*(1+Table7[Monthly SF Inter])</f>
        <v>37.581706306944113</v>
      </c>
      <c r="R754" s="25">
        <f>IF(MOD(Table9[[#This Row],[Month]],12)=0,Table9[[#This Row],[Q2 ACC FACTOR]],0)</f>
        <v>0</v>
      </c>
      <c r="S754" s="25">
        <f>S753*(1+D753)+Table9[[#This Row],[ACC FACTOR PAYMENTS]]</f>
        <v>10323.073126586158</v>
      </c>
    </row>
    <row r="755" spans="1:19" x14ac:dyDescent="0.25">
      <c r="A755" s="1">
        <v>743</v>
      </c>
      <c r="B755" s="1">
        <f t="shared" si="11"/>
        <v>0</v>
      </c>
      <c r="C755" s="7">
        <f>G$12/-PV(Table7[Monthly mortgage rate], (12*Table7[Amortization period (yrs)]),1 )</f>
        <v>4377.9977174134756</v>
      </c>
      <c r="D755" s="11">
        <f>IF(Table1[[#This Row],[Month]]&lt;=(12*Table7[mortgage term (yrs)]),Table7[Monthly mortgage rate],Table7[Monthly Exp Renewal Rate])</f>
        <v>4.9038466830562122E-3</v>
      </c>
      <c r="E755" s="21">
        <f>Table1[[#This Row],[Current mortgage rate]]*G754</f>
        <v>-53350.959734379467</v>
      </c>
      <c r="F755" s="5">
        <f>Table1[[#This Row],[Payment amount]]-Table1[[#This Row],[Interest paid]]</f>
        <v>57728.957451792943</v>
      </c>
      <c r="G755" s="20">
        <f>G754-Table1[[#This Row],[Principal repaid]]-Table1[[#This Row],[Annual paym]]</f>
        <v>-10937139.18018936</v>
      </c>
      <c r="H755" s="20">
        <f>H754-(Table1[[#This Row],[Payment amount]]-Table1[[#This Row],[Interest Paid W/O LSP]])</f>
        <v>-7114588.51251374</v>
      </c>
      <c r="I755">
        <f>H754*Table1[[#This Row],[Current mortgage rate]]</f>
        <v>-34697.232341088296</v>
      </c>
      <c r="J755" s="25">
        <f>IF(Table1[[#This Row],[Month]]&gt;Table7[Amortization period (yrs)]*12,0,IF(Table1[[#This Row],[Month]]&lt;Table7[mortgage term (yrs)]*12,0,IF(Table1[[#This Row],[Month]]=Table7[mortgage term (yrs)]*12,-H$5,Table1[[#This Row],[Payment amount]]+B755)))</f>
        <v>0</v>
      </c>
      <c r="K755">
        <v>744</v>
      </c>
      <c r="L755">
        <f>Table7[Initial Monthly Deposit]*Table9[[#This Row],[Inflation Modifier]]</f>
        <v>1338.6605616530871</v>
      </c>
      <c r="M755">
        <f xml:space="preserve"> (1+Table7[Inflation])^(QUOTIENT(Table9[[#This Row],[Month]]-1,12))</f>
        <v>3.346651404132718</v>
      </c>
      <c r="N755">
        <f>N754*(1+Table7[Monthly SF Inter])+Table9[[#This Row],[Monthly Payment]]-O754*(1+Table7[Monthly SF Inter])</f>
        <v>283948.48184593295</v>
      </c>
      <c r="O755">
        <f>IF(MOD(Table9[[#This Row],[Month]],12)=0,(IF(Table9[[#This Row],[Current Balance]]&lt;Table9[[#This Row],[Max Lump Sum ]],Table9[[#This Row],[Current Balance]],Table9[[#This Row],[Max Lump Sum ]])),0)</f>
        <v>7880.3958913442566</v>
      </c>
      <c r="P755" s="21">
        <f>Table7[Max annual lump sum repayment]*SUM(C756:C767)</f>
        <v>7880.3958913442566</v>
      </c>
      <c r="Q755" s="25">
        <f>Q754*(1+Table7[Monthly SF Inter])+Table9[[#This Row],[Inflation Modifier]]-R754*(1+Table7[Monthly SF Inter])</f>
        <v>41.08334149092255</v>
      </c>
      <c r="R755" s="25">
        <f>IF(MOD(Table9[[#This Row],[Month]],12)=0,Table9[[#This Row],[Q2 ACC FACTOR]],0)</f>
        <v>41.08334149092255</v>
      </c>
      <c r="S755" s="25">
        <f>S754*(1+D754)+Table9[[#This Row],[ACC FACTOR PAYMENTS]]</f>
        <v>10414.779235987837</v>
      </c>
    </row>
    <row r="756" spans="1:19" x14ac:dyDescent="0.25">
      <c r="A756" s="1">
        <v>744</v>
      </c>
      <c r="B756" s="1">
        <f t="shared" si="11"/>
        <v>7880.3958913442566</v>
      </c>
      <c r="C756" s="7">
        <f>G$12/-PV(Table7[Monthly mortgage rate], (12*Table7[Amortization period (yrs)]),1 )</f>
        <v>4377.9977174134756</v>
      </c>
      <c r="D756" s="11">
        <f>IF(Table1[[#This Row],[Month]]&lt;=(12*Table7[mortgage term (yrs)]),Table7[Monthly mortgage rate],Table7[Monthly Exp Renewal Rate])</f>
        <v>4.9038466830562122E-3</v>
      </c>
      <c r="E756" s="21">
        <f>Table1[[#This Row],[Current mortgage rate]]*G755</f>
        <v>-53634.053690895729</v>
      </c>
      <c r="F756" s="5">
        <f>Table1[[#This Row],[Payment amount]]-Table1[[#This Row],[Interest paid]]</f>
        <v>58012.051408309206</v>
      </c>
      <c r="G756" s="20">
        <f>G755-Table1[[#This Row],[Principal repaid]]-Table1[[#This Row],[Annual paym]]</f>
        <v>-11003031.627489014</v>
      </c>
      <c r="H756" s="20">
        <f>H755-(Table1[[#This Row],[Payment amount]]-Table1[[#This Row],[Interest Paid W/O LSP]])</f>
        <v>-7153855.3615095541</v>
      </c>
      <c r="I756">
        <f>H755*Table1[[#This Row],[Current mortgage rate]]</f>
        <v>-34888.851278400332</v>
      </c>
      <c r="J756" s="25">
        <f>IF(Table1[[#This Row],[Month]]&gt;Table7[Amortization period (yrs)]*12,0,IF(Table1[[#This Row],[Month]]&lt;Table7[mortgage term (yrs)]*12,0,IF(Table1[[#This Row],[Month]]=Table7[mortgage term (yrs)]*12,-H$5,Table1[[#This Row],[Payment amount]]+B756)))</f>
        <v>0</v>
      </c>
      <c r="K756">
        <v>745</v>
      </c>
      <c r="L756">
        <f>Table7[Initial Monthly Deposit]*Table9[[#This Row],[Inflation Modifier]]</f>
        <v>1365.433772886149</v>
      </c>
      <c r="M756">
        <f xml:space="preserve"> (1+Table7[Inflation])^(QUOTIENT(Table9[[#This Row],[Month]]-1,12))</f>
        <v>3.4135844322153726</v>
      </c>
      <c r="N756">
        <f>N755*(1+Table7[Monthly SF Inter])+Table9[[#This Row],[Monthly Payment]]-O755*(1+Table7[Monthly SF Inter])</f>
        <v>278572.00117657572</v>
      </c>
      <c r="O756">
        <f>IF(MOD(Table9[[#This Row],[Month]],12)=0,(IF(Table9[[#This Row],[Current Balance]]&lt;Table9[[#This Row],[Max Lump Sum ]],Table9[[#This Row],[Current Balance]],Table9[[#This Row],[Max Lump Sum ]])),0)</f>
        <v>0</v>
      </c>
      <c r="P756" s="21">
        <f>Table7[Max annual lump sum repayment]*SUM(C757:C768)</f>
        <v>7880.3958913442566</v>
      </c>
      <c r="Q756" s="25">
        <f>Q755*(1+Table7[Monthly SF Inter])+Table9[[#This Row],[Inflation Modifier]]-R755*(1+Table7[Monthly SF Inter])</f>
        <v>3.413584432215373</v>
      </c>
      <c r="R756" s="25">
        <f>IF(MOD(Table9[[#This Row],[Month]],12)=0,Table9[[#This Row],[Q2 ACC FACTOR]],0)</f>
        <v>0</v>
      </c>
      <c r="S756" s="25">
        <f>S755*(1+D755)+Table9[[#This Row],[ACC FACTOR PAYMENTS]]</f>
        <v>10465.851716598998</v>
      </c>
    </row>
    <row r="757" spans="1:19" x14ac:dyDescent="0.25">
      <c r="A757" s="1">
        <v>745</v>
      </c>
      <c r="B757" s="1">
        <f t="shared" si="11"/>
        <v>0</v>
      </c>
      <c r="C757" s="7">
        <f>G$12/-PV(Table7[Monthly mortgage rate], (12*Table7[Amortization period (yrs)]),1 )</f>
        <v>4377.9977174134756</v>
      </c>
      <c r="D757" s="11">
        <f>IF(Table1[[#This Row],[Month]]&lt;=(12*Table7[mortgage term (yrs)]),Table7[Monthly mortgage rate],Table7[Monthly Exp Renewal Rate])</f>
        <v>4.9038466830562122E-3</v>
      </c>
      <c r="E757" s="21">
        <f>Table1[[#This Row],[Current mortgage rate]]*G756</f>
        <v>-53957.180150024593</v>
      </c>
      <c r="F757" s="5">
        <f>Table1[[#This Row],[Payment amount]]-Table1[[#This Row],[Interest paid]]</f>
        <v>58335.177867438069</v>
      </c>
      <c r="G757" s="20">
        <f>G756-Table1[[#This Row],[Principal repaid]]-Table1[[#This Row],[Annual paym]]</f>
        <v>-11061366.805356452</v>
      </c>
      <c r="H757" s="20">
        <f>H756-(Table1[[#This Row],[Payment amount]]-Table1[[#This Row],[Interest Paid W/O LSP]])</f>
        <v>-7193314.7691125702</v>
      </c>
      <c r="I757">
        <f>H756*Table1[[#This Row],[Current mortgage rate]]</f>
        <v>-35081.409885602523</v>
      </c>
      <c r="J757" s="25">
        <f>IF(Table1[[#This Row],[Month]]&gt;Table7[Amortization period (yrs)]*12,0,IF(Table1[[#This Row],[Month]]&lt;Table7[mortgage term (yrs)]*12,0,IF(Table1[[#This Row],[Month]]=Table7[mortgage term (yrs)]*12,-H$5,Table1[[#This Row],[Payment amount]]+B757)))</f>
        <v>0</v>
      </c>
      <c r="K757">
        <v>746</v>
      </c>
      <c r="L757">
        <f>Table7[Initial Monthly Deposit]*Table9[[#This Row],[Inflation Modifier]]</f>
        <v>1365.433772886149</v>
      </c>
      <c r="M757">
        <f xml:space="preserve"> (1+Table7[Inflation])^(QUOTIENT(Table9[[#This Row],[Month]]-1,12))</f>
        <v>3.4135844322153726</v>
      </c>
      <c r="N757">
        <f>N756*(1+Table7[Monthly SF Inter])+Table9[[#This Row],[Monthly Payment]]-O756*(1+Table7[Monthly SF Inter])</f>
        <v>281086.24233327014</v>
      </c>
      <c r="O757">
        <f>IF(MOD(Table9[[#This Row],[Month]],12)=0,(IF(Table9[[#This Row],[Current Balance]]&lt;Table9[[#This Row],[Max Lump Sum ]],Table9[[#This Row],[Current Balance]],Table9[[#This Row],[Max Lump Sum ]])),0)</f>
        <v>0</v>
      </c>
      <c r="P757" s="21">
        <f>Table7[Max annual lump sum repayment]*SUM(C758:C769)</f>
        <v>7880.3958913442566</v>
      </c>
      <c r="Q757" s="25">
        <f>Q756*(1+Table7[Monthly SF Inter])+Table9[[#This Row],[Inflation Modifier]]-R756*(1+Table7[Monthly SF Inter])</f>
        <v>6.8412461980623345</v>
      </c>
      <c r="R757" s="25">
        <f>IF(MOD(Table9[[#This Row],[Month]],12)=0,Table9[[#This Row],[Q2 ACC FACTOR]],0)</f>
        <v>0</v>
      </c>
      <c r="S757" s="25">
        <f>S756*(1+D756)+Table9[[#This Row],[ACC FACTOR PAYMENTS]]</f>
        <v>10517.174648824801</v>
      </c>
    </row>
    <row r="758" spans="1:19" x14ac:dyDescent="0.25">
      <c r="A758" s="1">
        <v>746</v>
      </c>
      <c r="B758" s="1">
        <f t="shared" si="11"/>
        <v>0</v>
      </c>
      <c r="C758" s="7">
        <f>G$12/-PV(Table7[Monthly mortgage rate], (12*Table7[Amortization period (yrs)]),1 )</f>
        <v>4377.9977174134756</v>
      </c>
      <c r="D758" s="11">
        <f>IF(Table1[[#This Row],[Month]]&lt;=(12*Table7[mortgage term (yrs)]),Table7[Monthly mortgage rate],Table7[Monthly Exp Renewal Rate])</f>
        <v>4.9038466830562122E-3</v>
      </c>
      <c r="E758" s="21">
        <f>Table1[[#This Row],[Current mortgage rate]]*G757</f>
        <v>-54243.246918515331</v>
      </c>
      <c r="F758" s="5">
        <f>Table1[[#This Row],[Payment amount]]-Table1[[#This Row],[Interest paid]]</f>
        <v>58621.244635928808</v>
      </c>
      <c r="G758" s="20">
        <f>G757-Table1[[#This Row],[Principal repaid]]-Table1[[#This Row],[Annual paym]]</f>
        <v>-11119988.049992381</v>
      </c>
      <c r="H758" s="20">
        <f>H757-(Table1[[#This Row],[Payment amount]]-Table1[[#This Row],[Interest Paid W/O LSP]])</f>
        <v>-7232967.6796006756</v>
      </c>
      <c r="I758">
        <f>H757*Table1[[#This Row],[Current mortgage rate]]</f>
        <v>-35274.912770691939</v>
      </c>
      <c r="J758" s="25">
        <f>IF(Table1[[#This Row],[Month]]&gt;Table7[Amortization period (yrs)]*12,0,IF(Table1[[#This Row],[Month]]&lt;Table7[mortgage term (yrs)]*12,0,IF(Table1[[#This Row],[Month]]=Table7[mortgage term (yrs)]*12,-H$5,Table1[[#This Row],[Payment amount]]+B758)))</f>
        <v>0</v>
      </c>
      <c r="K758">
        <v>747</v>
      </c>
      <c r="L758">
        <f>Table7[Initial Monthly Deposit]*Table9[[#This Row],[Inflation Modifier]]</f>
        <v>1365.433772886149</v>
      </c>
      <c r="M758">
        <f xml:space="preserve"> (1+Table7[Inflation])^(QUOTIENT(Table9[[#This Row],[Month]]-1,12))</f>
        <v>3.4135844322153726</v>
      </c>
      <c r="N758">
        <f>N757*(1+Table7[Monthly SF Inter])+Table9[[#This Row],[Monthly Payment]]-O757*(1+Table7[Monthly SF Inter])</f>
        <v>283610.85200795374</v>
      </c>
      <c r="O758">
        <f>IF(MOD(Table9[[#This Row],[Month]],12)=0,(IF(Table9[[#This Row],[Current Balance]]&lt;Table9[[#This Row],[Max Lump Sum ]],Table9[[#This Row],[Current Balance]],Table9[[#This Row],[Max Lump Sum ]])),0)</f>
        <v>0</v>
      </c>
      <c r="P758" s="21">
        <f>Table7[Max annual lump sum repayment]*SUM(C759:C770)</f>
        <v>7880.3958913442566</v>
      </c>
      <c r="Q758" s="25">
        <f>Q757*(1+Table7[Monthly SF Inter])+Table9[[#This Row],[Inflation Modifier]]-R757*(1+Table7[Monthly SF Inter])</f>
        <v>10.283043351274756</v>
      </c>
      <c r="R758" s="25">
        <f>IF(MOD(Table9[[#This Row],[Month]],12)=0,Table9[[#This Row],[Q2 ACC FACTOR]],0)</f>
        <v>0</v>
      </c>
      <c r="S758" s="25">
        <f>S757*(1+D757)+Table9[[#This Row],[ACC FACTOR PAYMENTS]]</f>
        <v>10568.749260841563</v>
      </c>
    </row>
    <row r="759" spans="1:19" x14ac:dyDescent="0.25">
      <c r="A759" s="1">
        <v>747</v>
      </c>
      <c r="B759" s="1">
        <f t="shared" si="11"/>
        <v>0</v>
      </c>
      <c r="C759" s="7">
        <f>G$12/-PV(Table7[Monthly mortgage rate], (12*Table7[Amortization period (yrs)]),1 )</f>
        <v>4377.9977174134756</v>
      </c>
      <c r="D759" s="11">
        <f>IF(Table1[[#This Row],[Month]]&lt;=(12*Table7[mortgage term (yrs)]),Table7[Monthly mortgage rate],Table7[Monthly Exp Renewal Rate])</f>
        <v>4.9038466830562122E-3</v>
      </c>
      <c r="E759" s="21">
        <f>Table1[[#This Row],[Current mortgage rate]]*G758</f>
        <v>-54530.71651457985</v>
      </c>
      <c r="F759" s="5">
        <f>Table1[[#This Row],[Payment amount]]-Table1[[#This Row],[Interest paid]]</f>
        <v>58908.714231993326</v>
      </c>
      <c r="G759" s="20">
        <f>G758-Table1[[#This Row],[Principal repaid]]-Table1[[#This Row],[Annual paym]]</f>
        <v>-11178896.764224375</v>
      </c>
      <c r="H759" s="20">
        <f>H758-(Table1[[#This Row],[Payment amount]]-Table1[[#This Row],[Interest Paid W/O LSP]])</f>
        <v>-7272815.041882352</v>
      </c>
      <c r="I759">
        <f>H758*Table1[[#This Row],[Current mortgage rate]]</f>
        <v>-35469.364564262563</v>
      </c>
      <c r="J759" s="25">
        <f>IF(Table1[[#This Row],[Month]]&gt;Table7[Amortization period (yrs)]*12,0,IF(Table1[[#This Row],[Month]]&lt;Table7[mortgage term (yrs)]*12,0,IF(Table1[[#This Row],[Month]]=Table7[mortgage term (yrs)]*12,-H$5,Table1[[#This Row],[Payment amount]]+B759)))</f>
        <v>0</v>
      </c>
      <c r="K759">
        <v>748</v>
      </c>
      <c r="L759">
        <f>Table7[Initial Monthly Deposit]*Table9[[#This Row],[Inflation Modifier]]</f>
        <v>1365.433772886149</v>
      </c>
      <c r="M759">
        <f xml:space="preserve"> (1+Table7[Inflation])^(QUOTIENT(Table9[[#This Row],[Month]]-1,12))</f>
        <v>3.4135844322153726</v>
      </c>
      <c r="N759">
        <f>N758*(1+Table7[Monthly SF Inter])+Table9[[#This Row],[Monthly Payment]]-O758*(1+Table7[Monthly SF Inter])</f>
        <v>286145.87295951822</v>
      </c>
      <c r="O759">
        <f>IF(MOD(Table9[[#This Row],[Month]],12)=0,(IF(Table9[[#This Row],[Current Balance]]&lt;Table9[[#This Row],[Max Lump Sum ]],Table9[[#This Row],[Current Balance]],Table9[[#This Row],[Max Lump Sum ]])),0)</f>
        <v>0</v>
      </c>
      <c r="P759" s="21">
        <f>Table7[Max annual lump sum repayment]*SUM(C760:C771)</f>
        <v>7880.3958913442566</v>
      </c>
      <c r="Q759" s="25">
        <f>Q758*(1+Table7[Monthly SF Inter])+Table9[[#This Row],[Inflation Modifier]]-R758*(1+Table7[Monthly SF Inter])</f>
        <v>13.7390341849952</v>
      </c>
      <c r="R759" s="25">
        <f>IF(MOD(Table9[[#This Row],[Month]],12)=0,Table9[[#This Row],[Q2 ACC FACTOR]],0)</f>
        <v>0</v>
      </c>
      <c r="S759" s="25">
        <f>S758*(1+D758)+Table9[[#This Row],[ACC FACTOR PAYMENTS]]</f>
        <v>10620.576786848394</v>
      </c>
    </row>
    <row r="760" spans="1:19" x14ac:dyDescent="0.25">
      <c r="A760" s="1">
        <v>748</v>
      </c>
      <c r="B760" s="1">
        <f t="shared" si="11"/>
        <v>0</v>
      </c>
      <c r="C760" s="7">
        <f>G$12/-PV(Table7[Monthly mortgage rate], (12*Table7[Amortization period (yrs)]),1 )</f>
        <v>4377.9977174134756</v>
      </c>
      <c r="D760" s="11">
        <f>IF(Table1[[#This Row],[Month]]&lt;=(12*Table7[mortgage term (yrs)]),Table7[Monthly mortgage rate],Table7[Monthly Exp Renewal Rate])</f>
        <v>4.9038466830562122E-3</v>
      </c>
      <c r="E760" s="21">
        <f>Table1[[#This Row],[Current mortgage rate]]*G759</f>
        <v>-54819.595817469526</v>
      </c>
      <c r="F760" s="5">
        <f>Table1[[#This Row],[Payment amount]]-Table1[[#This Row],[Interest paid]]</f>
        <v>59197.593534883003</v>
      </c>
      <c r="G760" s="20">
        <f>G759-Table1[[#This Row],[Principal repaid]]-Table1[[#This Row],[Annual paym]]</f>
        <v>-11238094.357759258</v>
      </c>
      <c r="H760" s="20">
        <f>H759-(Table1[[#This Row],[Payment amount]]-Table1[[#This Row],[Interest Paid W/O LSP]])</f>
        <v>-7312857.8095193813</v>
      </c>
      <c r="I760">
        <f>H759*Table1[[#This Row],[Current mortgage rate]]</f>
        <v>-35664.769919616097</v>
      </c>
      <c r="J760" s="25">
        <f>IF(Table1[[#This Row],[Month]]&gt;Table7[Amortization period (yrs)]*12,0,IF(Table1[[#This Row],[Month]]&lt;Table7[mortgage term (yrs)]*12,0,IF(Table1[[#This Row],[Month]]=Table7[mortgage term (yrs)]*12,-H$5,Table1[[#This Row],[Payment amount]]+B760)))</f>
        <v>0</v>
      </c>
      <c r="K760">
        <v>749</v>
      </c>
      <c r="L760">
        <f>Table7[Initial Monthly Deposit]*Table9[[#This Row],[Inflation Modifier]]</f>
        <v>1365.433772886149</v>
      </c>
      <c r="M760">
        <f xml:space="preserve"> (1+Table7[Inflation])^(QUOTIENT(Table9[[#This Row],[Month]]-1,12))</f>
        <v>3.4135844322153726</v>
      </c>
      <c r="N760">
        <f>N759*(1+Table7[Monthly SF Inter])+Table9[[#This Row],[Monthly Payment]]-O759*(1+Table7[Monthly SF Inter])</f>
        <v>288691.34812318935</v>
      </c>
      <c r="O760">
        <f>IF(MOD(Table9[[#This Row],[Month]],12)=0,(IF(Table9[[#This Row],[Current Balance]]&lt;Table9[[#This Row],[Max Lump Sum ]],Table9[[#This Row],[Current Balance]],Table9[[#This Row],[Max Lump Sum ]])),0)</f>
        <v>0</v>
      </c>
      <c r="P760" s="21">
        <f>Table7[Max annual lump sum repayment]*SUM(C761:C772)</f>
        <v>7880.3958913442566</v>
      </c>
      <c r="Q760" s="25">
        <f>Q759*(1+Table7[Monthly SF Inter])+Table9[[#This Row],[Inflation Modifier]]-R759*(1+Table7[Monthly SF Inter])</f>
        <v>17.209277232762219</v>
      </c>
      <c r="R760" s="25">
        <f>IF(MOD(Table9[[#This Row],[Month]],12)=0,Table9[[#This Row],[Q2 ACC FACTOR]],0)</f>
        <v>0</v>
      </c>
      <c r="S760" s="25">
        <f>S759*(1+D759)+Table9[[#This Row],[ACC FACTOR PAYMENTS]]</f>
        <v>10672.658467096724</v>
      </c>
    </row>
    <row r="761" spans="1:19" x14ac:dyDescent="0.25">
      <c r="A761" s="1">
        <v>749</v>
      </c>
      <c r="B761" s="1">
        <f t="shared" si="11"/>
        <v>0</v>
      </c>
      <c r="C761" s="7">
        <f>G$12/-PV(Table7[Monthly mortgage rate], (12*Table7[Amortization period (yrs)]),1 )</f>
        <v>4377.9977174134756</v>
      </c>
      <c r="D761" s="11">
        <f>IF(Table1[[#This Row],[Month]]&lt;=(12*Table7[mortgage term (yrs)]),Table7[Monthly mortgage rate],Table7[Monthly Exp Renewal Rate])</f>
        <v>4.9038466830562122E-3</v>
      </c>
      <c r="E761" s="21">
        <f>Table1[[#This Row],[Current mortgage rate]]*G760</f>
        <v>-55109.891740170468</v>
      </c>
      <c r="F761" s="5">
        <f>Table1[[#This Row],[Payment amount]]-Table1[[#This Row],[Interest paid]]</f>
        <v>59487.889457583944</v>
      </c>
      <c r="G761" s="20">
        <f>G760-Table1[[#This Row],[Principal repaid]]-Table1[[#This Row],[Annual paym]]</f>
        <v>-11297582.247216841</v>
      </c>
      <c r="H761" s="20">
        <f>H760-(Table1[[#This Row],[Payment amount]]-Table1[[#This Row],[Interest Paid W/O LSP]])</f>
        <v>-7353096.9407496685</v>
      </c>
      <c r="I761">
        <f>H760*Table1[[#This Row],[Current mortgage rate]]</f>
        <v>-35861.133512873334</v>
      </c>
      <c r="J761" s="25">
        <f>IF(Table1[[#This Row],[Month]]&gt;Table7[Amortization period (yrs)]*12,0,IF(Table1[[#This Row],[Month]]&lt;Table7[mortgage term (yrs)]*12,0,IF(Table1[[#This Row],[Month]]=Table7[mortgage term (yrs)]*12,-H$5,Table1[[#This Row],[Payment amount]]+B761)))</f>
        <v>0</v>
      </c>
      <c r="K761">
        <v>750</v>
      </c>
      <c r="L761">
        <f>Table7[Initial Monthly Deposit]*Table9[[#This Row],[Inflation Modifier]]</f>
        <v>1365.433772886149</v>
      </c>
      <c r="M761">
        <f xml:space="preserve"> (1+Table7[Inflation])^(QUOTIENT(Table9[[#This Row],[Month]]-1,12))</f>
        <v>3.4135844322153726</v>
      </c>
      <c r="N761">
        <f>N760*(1+Table7[Monthly SF Inter])+Table9[[#This Row],[Monthly Payment]]-O760*(1+Table7[Monthly SF Inter])</f>
        <v>291247.32061125408</v>
      </c>
      <c r="O761">
        <f>IF(MOD(Table9[[#This Row],[Month]],12)=0,(IF(Table9[[#This Row],[Current Balance]]&lt;Table9[[#This Row],[Max Lump Sum ]],Table9[[#This Row],[Current Balance]],Table9[[#This Row],[Max Lump Sum ]])),0)</f>
        <v>0</v>
      </c>
      <c r="P761" s="21">
        <f>Table7[Max annual lump sum repayment]*SUM(C762:C773)</f>
        <v>7880.3958913442566</v>
      </c>
      <c r="Q761" s="25">
        <f>Q760*(1+Table7[Monthly SF Inter])+Table9[[#This Row],[Inflation Modifier]]-R760*(1+Table7[Monthly SF Inter])</f>
        <v>20.693831269501736</v>
      </c>
      <c r="R761" s="25">
        <f>IF(MOD(Table9[[#This Row],[Month]],12)=0,Table9[[#This Row],[Q2 ACC FACTOR]],0)</f>
        <v>0</v>
      </c>
      <c r="S761" s="25">
        <f>S760*(1+D760)+Table9[[#This Row],[ACC FACTOR PAYMENTS]]</f>
        <v>10724.995547919989</v>
      </c>
    </row>
    <row r="762" spans="1:19" x14ac:dyDescent="0.25">
      <c r="A762" s="1">
        <v>750</v>
      </c>
      <c r="B762" s="1">
        <f t="shared" si="11"/>
        <v>0</v>
      </c>
      <c r="C762" s="7">
        <f>G$12/-PV(Table7[Monthly mortgage rate], (12*Table7[Amortization period (yrs)]),1 )</f>
        <v>4377.9977174134756</v>
      </c>
      <c r="D762" s="11">
        <f>IF(Table1[[#This Row],[Month]]&lt;=(12*Table7[mortgage term (yrs)]),Table7[Monthly mortgage rate],Table7[Monthly Exp Renewal Rate])</f>
        <v>4.9038466830562122E-3</v>
      </c>
      <c r="E762" s="21">
        <f>Table1[[#This Row],[Current mortgage rate]]*G761</f>
        <v>-55401.611229569055</v>
      </c>
      <c r="F762" s="5">
        <f>Table1[[#This Row],[Payment amount]]-Table1[[#This Row],[Interest paid]]</f>
        <v>59779.608946982531</v>
      </c>
      <c r="G762" s="20">
        <f>G761-Table1[[#This Row],[Principal repaid]]-Table1[[#This Row],[Annual paym]]</f>
        <v>-11357361.856163824</v>
      </c>
      <c r="H762" s="20">
        <f>H761-(Table1[[#This Row],[Payment amount]]-Table1[[#This Row],[Interest Paid W/O LSP]])</f>
        <v>-7393533.3985101683</v>
      </c>
      <c r="I762">
        <f>H761*Table1[[#This Row],[Current mortgage rate]]</f>
        <v>-36058.460043086045</v>
      </c>
      <c r="J762" s="25">
        <f>IF(Table1[[#This Row],[Month]]&gt;Table7[Amortization period (yrs)]*12,0,IF(Table1[[#This Row],[Month]]&lt;Table7[mortgage term (yrs)]*12,0,IF(Table1[[#This Row],[Month]]=Table7[mortgage term (yrs)]*12,-H$5,Table1[[#This Row],[Payment amount]]+B762)))</f>
        <v>0</v>
      </c>
      <c r="K762">
        <v>751</v>
      </c>
      <c r="L762">
        <f>Table7[Initial Monthly Deposit]*Table9[[#This Row],[Inflation Modifier]]</f>
        <v>1365.433772886149</v>
      </c>
      <c r="M762">
        <f xml:space="preserve"> (1+Table7[Inflation])^(QUOTIENT(Table9[[#This Row],[Month]]-1,12))</f>
        <v>3.4135844322153726</v>
      </c>
      <c r="N762">
        <f>N761*(1+Table7[Monthly SF Inter])+Table9[[#This Row],[Monthly Payment]]-O761*(1+Table7[Monthly SF Inter])</f>
        <v>293813.83371379081</v>
      </c>
      <c r="O762">
        <f>IF(MOD(Table9[[#This Row],[Month]],12)=0,(IF(Table9[[#This Row],[Current Balance]]&lt;Table9[[#This Row],[Max Lump Sum ]],Table9[[#This Row],[Current Balance]],Table9[[#This Row],[Max Lump Sum ]])),0)</f>
        <v>0</v>
      </c>
      <c r="P762" s="21">
        <f>Table7[Max annual lump sum repayment]*SUM(C763:C774)</f>
        <v>7880.3958913442566</v>
      </c>
      <c r="Q762" s="25">
        <f>Q761*(1+Table7[Monthly SF Inter])+Table9[[#This Row],[Inflation Modifier]]-R761*(1+Table7[Monthly SF Inter])</f>
        <v>24.192755312522493</v>
      </c>
      <c r="R762" s="25">
        <f>IF(MOD(Table9[[#This Row],[Month]],12)=0,Table9[[#This Row],[Q2 ACC FACTOR]],0)</f>
        <v>0</v>
      </c>
      <c r="S762" s="25">
        <f>S761*(1+D761)+Table9[[#This Row],[ACC FACTOR PAYMENTS]]</f>
        <v>10777.589281763449</v>
      </c>
    </row>
    <row r="763" spans="1:19" x14ac:dyDescent="0.25">
      <c r="A763" s="1">
        <v>751</v>
      </c>
      <c r="B763" s="1">
        <f t="shared" si="11"/>
        <v>0</v>
      </c>
      <c r="C763" s="7">
        <f>G$12/-PV(Table7[Monthly mortgage rate], (12*Table7[Amortization period (yrs)]),1 )</f>
        <v>4377.9977174134756</v>
      </c>
      <c r="D763" s="11">
        <f>IF(Table1[[#This Row],[Month]]&lt;=(12*Table7[mortgage term (yrs)]),Table7[Monthly mortgage rate],Table7[Monthly Exp Renewal Rate])</f>
        <v>4.9038466830562122E-3</v>
      </c>
      <c r="E763" s="21">
        <f>Table1[[#This Row],[Current mortgage rate]]*G762</f>
        <v>-55694.761266618116</v>
      </c>
      <c r="F763" s="5">
        <f>Table1[[#This Row],[Payment amount]]-Table1[[#This Row],[Interest paid]]</f>
        <v>60072.758984031592</v>
      </c>
      <c r="G763" s="20">
        <f>G762-Table1[[#This Row],[Principal repaid]]-Table1[[#This Row],[Annual paym]]</f>
        <v>-11417434.615147855</v>
      </c>
      <c r="H763" s="20">
        <f>H762-(Table1[[#This Row],[Payment amount]]-Table1[[#This Row],[Interest Paid W/O LSP]])</f>
        <v>-7434168.1504599312</v>
      </c>
      <c r="I763">
        <f>H762*Table1[[#This Row],[Current mortgage rate]]</f>
        <v>-36256.754232349413</v>
      </c>
      <c r="J763" s="25">
        <f>IF(Table1[[#This Row],[Month]]&gt;Table7[Amortization period (yrs)]*12,0,IF(Table1[[#This Row],[Month]]&lt;Table7[mortgage term (yrs)]*12,0,IF(Table1[[#This Row],[Month]]=Table7[mortgage term (yrs)]*12,-H$5,Table1[[#This Row],[Payment amount]]+B763)))</f>
        <v>0</v>
      </c>
      <c r="K763">
        <v>752</v>
      </c>
      <c r="L763">
        <f>Table7[Initial Monthly Deposit]*Table9[[#This Row],[Inflation Modifier]]</f>
        <v>1365.433772886149</v>
      </c>
      <c r="M763">
        <f xml:space="preserve"> (1+Table7[Inflation])^(QUOTIENT(Table9[[#This Row],[Month]]-1,12))</f>
        <v>3.4135844322153726</v>
      </c>
      <c r="N763">
        <f>N762*(1+Table7[Monthly SF Inter])+Table9[[#This Row],[Monthly Payment]]-O762*(1+Table7[Monthly SF Inter])</f>
        <v>296390.93089940259</v>
      </c>
      <c r="O763">
        <f>IF(MOD(Table9[[#This Row],[Month]],12)=0,(IF(Table9[[#This Row],[Current Balance]]&lt;Table9[[#This Row],[Max Lump Sum ]],Table9[[#This Row],[Current Balance]],Table9[[#This Row],[Max Lump Sum ]])),0)</f>
        <v>0</v>
      </c>
      <c r="P763" s="21">
        <f>Table7[Max annual lump sum repayment]*SUM(C764:C775)</f>
        <v>7880.3958913442566</v>
      </c>
      <c r="Q763" s="25">
        <f>Q762*(1+Table7[Monthly SF Inter])+Table9[[#This Row],[Inflation Modifier]]-R762*(1+Table7[Monthly SF Inter])</f>
        <v>27.706108622515629</v>
      </c>
      <c r="R763" s="25">
        <f>IF(MOD(Table9[[#This Row],[Month]],12)=0,Table9[[#This Row],[Q2 ACC FACTOR]],0)</f>
        <v>0</v>
      </c>
      <c r="S763" s="25">
        <f>S762*(1+D762)+Table9[[#This Row],[ACC FACTOR PAYMENTS]]</f>
        <v>10830.440927214166</v>
      </c>
    </row>
    <row r="764" spans="1:19" x14ac:dyDescent="0.25">
      <c r="A764" s="1">
        <v>752</v>
      </c>
      <c r="B764" s="1">
        <f t="shared" si="11"/>
        <v>0</v>
      </c>
      <c r="C764" s="7">
        <f>G$12/-PV(Table7[Monthly mortgage rate], (12*Table7[Amortization period (yrs)]),1 )</f>
        <v>4377.9977174134756</v>
      </c>
      <c r="D764" s="11">
        <f>IF(Table1[[#This Row],[Month]]&lt;=(12*Table7[mortgage term (yrs)]),Table7[Monthly mortgage rate],Table7[Monthly Exp Renewal Rate])</f>
        <v>4.9038466830562122E-3</v>
      </c>
      <c r="E764" s="21">
        <f>Table1[[#This Row],[Current mortgage rate]]*G763</f>
        <v>-55989.348866503991</v>
      </c>
      <c r="F764" s="5">
        <f>Table1[[#This Row],[Payment amount]]-Table1[[#This Row],[Interest paid]]</f>
        <v>60367.346583917468</v>
      </c>
      <c r="G764" s="20">
        <f>G763-Table1[[#This Row],[Principal repaid]]-Table1[[#This Row],[Annual paym]]</f>
        <v>-11477801.961731773</v>
      </c>
      <c r="H764" s="20">
        <f>H763-(Table1[[#This Row],[Payment amount]]-Table1[[#This Row],[Interest Paid W/O LSP]])</f>
        <v>-7475002.1690032594</v>
      </c>
      <c r="I764">
        <f>H763*Table1[[#This Row],[Current mortgage rate]]</f>
        <v>-36456.020825915068</v>
      </c>
      <c r="J764" s="25">
        <f>IF(Table1[[#This Row],[Month]]&gt;Table7[Amortization period (yrs)]*12,0,IF(Table1[[#This Row],[Month]]&lt;Table7[mortgage term (yrs)]*12,0,IF(Table1[[#This Row],[Month]]=Table7[mortgage term (yrs)]*12,-H$5,Table1[[#This Row],[Payment amount]]+B764)))</f>
        <v>0</v>
      </c>
      <c r="K764">
        <v>753</v>
      </c>
      <c r="L764">
        <f>Table7[Initial Monthly Deposit]*Table9[[#This Row],[Inflation Modifier]]</f>
        <v>1365.433772886149</v>
      </c>
      <c r="M764">
        <f xml:space="preserve"> (1+Table7[Inflation])^(QUOTIENT(Table9[[#This Row],[Month]]-1,12))</f>
        <v>3.4135844322153726</v>
      </c>
      <c r="N764">
        <f>N763*(1+Table7[Monthly SF Inter])+Table9[[#This Row],[Monthly Payment]]-O763*(1+Table7[Monthly SF Inter])</f>
        <v>298978.65581595333</v>
      </c>
      <c r="O764">
        <f>IF(MOD(Table9[[#This Row],[Month]],12)=0,(IF(Table9[[#This Row],[Current Balance]]&lt;Table9[[#This Row],[Max Lump Sum ]],Table9[[#This Row],[Current Balance]],Table9[[#This Row],[Max Lump Sum ]])),0)</f>
        <v>0</v>
      </c>
      <c r="P764" s="21">
        <f>Table7[Max annual lump sum repayment]*SUM(C765:C776)</f>
        <v>7880.3958913442566</v>
      </c>
      <c r="Q764" s="25">
        <f>Q763*(1+Table7[Monthly SF Inter])+Table9[[#This Row],[Inflation Modifier]]-R763*(1+Table7[Monthly SF Inter])</f>
        <v>31.23395070455836</v>
      </c>
      <c r="R764" s="25">
        <f>IF(MOD(Table9[[#This Row],[Month]],12)=0,Table9[[#This Row],[Q2 ACC FACTOR]],0)</f>
        <v>0</v>
      </c>
      <c r="S764" s="25">
        <f>S763*(1+D763)+Table9[[#This Row],[ACC FACTOR PAYMENTS]]</f>
        <v>10883.551749031121</v>
      </c>
    </row>
    <row r="765" spans="1:19" x14ac:dyDescent="0.25">
      <c r="A765" s="1">
        <v>753</v>
      </c>
      <c r="B765" s="1">
        <f t="shared" si="11"/>
        <v>0</v>
      </c>
      <c r="C765" s="7">
        <f>G$12/-PV(Table7[Monthly mortgage rate], (12*Table7[Amortization period (yrs)]),1 )</f>
        <v>4377.9977174134756</v>
      </c>
      <c r="D765" s="11">
        <f>IF(Table1[[#This Row],[Month]]&lt;=(12*Table7[mortgage term (yrs)]),Table7[Monthly mortgage rate],Table7[Monthly Exp Renewal Rate])</f>
        <v>4.9038466830562122E-3</v>
      </c>
      <c r="E765" s="21">
        <f>Table1[[#This Row],[Current mortgage rate]]*G764</f>
        <v>-56285.38107881444</v>
      </c>
      <c r="F765" s="5">
        <f>Table1[[#This Row],[Payment amount]]-Table1[[#This Row],[Interest paid]]</f>
        <v>60663.378796227917</v>
      </c>
      <c r="G765" s="20">
        <f>G764-Table1[[#This Row],[Principal repaid]]-Table1[[#This Row],[Annual paym]]</f>
        <v>-11538465.340528</v>
      </c>
      <c r="H765" s="20">
        <f>H764-(Table1[[#This Row],[Payment amount]]-Table1[[#This Row],[Interest Paid W/O LSP]])</f>
        <v>-7516036.4313129773</v>
      </c>
      <c r="I765">
        <f>H764*Table1[[#This Row],[Current mortgage rate]]</f>
        <v>-36656.264592304622</v>
      </c>
      <c r="J765" s="25">
        <f>IF(Table1[[#This Row],[Month]]&gt;Table7[Amortization period (yrs)]*12,0,IF(Table1[[#This Row],[Month]]&lt;Table7[mortgage term (yrs)]*12,0,IF(Table1[[#This Row],[Month]]=Table7[mortgage term (yrs)]*12,-H$5,Table1[[#This Row],[Payment amount]]+B765)))</f>
        <v>0</v>
      </c>
      <c r="K765">
        <v>754</v>
      </c>
      <c r="L765">
        <f>Table7[Initial Monthly Deposit]*Table9[[#This Row],[Inflation Modifier]]</f>
        <v>1365.433772886149</v>
      </c>
      <c r="M765">
        <f xml:space="preserve"> (1+Table7[Inflation])^(QUOTIENT(Table9[[#This Row],[Month]]-1,12))</f>
        <v>3.4135844322153726</v>
      </c>
      <c r="N765">
        <f>N764*(1+Table7[Monthly SF Inter])+Table9[[#This Row],[Monthly Payment]]-O764*(1+Table7[Monthly SF Inter])</f>
        <v>301577.05229130696</v>
      </c>
      <c r="O765">
        <f>IF(MOD(Table9[[#This Row],[Month]],12)=0,(IF(Table9[[#This Row],[Current Balance]]&lt;Table9[[#This Row],[Max Lump Sum ]],Table9[[#This Row],[Current Balance]],Table9[[#This Row],[Max Lump Sum ]])),0)</f>
        <v>0</v>
      </c>
      <c r="P765" s="21">
        <f>Table7[Max annual lump sum repayment]*SUM(C766:C777)</f>
        <v>7880.3958913442566</v>
      </c>
      <c r="Q765" s="25">
        <f>Q764*(1+Table7[Monthly SF Inter])+Table9[[#This Row],[Inflation Modifier]]-R764*(1+Table7[Monthly SF Inter])</f>
        <v>34.776341309121811</v>
      </c>
      <c r="R765" s="25">
        <f>IF(MOD(Table9[[#This Row],[Month]],12)=0,Table9[[#This Row],[Q2 ACC FACTOR]],0)</f>
        <v>0</v>
      </c>
      <c r="S765" s="25">
        <f>S764*(1+D764)+Table9[[#This Row],[ACC FACTOR PAYMENTS]]</f>
        <v>10936.923018175477</v>
      </c>
    </row>
    <row r="766" spans="1:19" x14ac:dyDescent="0.25">
      <c r="A766" s="1">
        <v>754</v>
      </c>
      <c r="B766" s="1">
        <f t="shared" si="11"/>
        <v>0</v>
      </c>
      <c r="C766" s="7">
        <f>G$12/-PV(Table7[Monthly mortgage rate], (12*Table7[Amortization period (yrs)]),1 )</f>
        <v>4377.9977174134756</v>
      </c>
      <c r="D766" s="11">
        <f>IF(Table1[[#This Row],[Month]]&lt;=(12*Table7[mortgage term (yrs)]),Table7[Monthly mortgage rate],Table7[Monthly Exp Renewal Rate])</f>
        <v>4.9038466830562122E-3</v>
      </c>
      <c r="E766" s="21">
        <f>Table1[[#This Row],[Current mortgage rate]]*G765</f>
        <v>-56582.864987707304</v>
      </c>
      <c r="F766" s="5">
        <f>Table1[[#This Row],[Payment amount]]-Table1[[#This Row],[Interest paid]]</f>
        <v>60960.86270512078</v>
      </c>
      <c r="G766" s="20">
        <f>G765-Table1[[#This Row],[Principal repaid]]-Table1[[#This Row],[Annual paym]]</f>
        <v>-11599426.203233121</v>
      </c>
      <c r="H766" s="20">
        <f>H765-(Table1[[#This Row],[Payment amount]]-Table1[[#This Row],[Interest Paid W/O LSP]])</f>
        <v>-7557271.9193538148</v>
      </c>
      <c r="I766">
        <f>H765*Table1[[#This Row],[Current mortgage rate]]</f>
        <v>-36857.490323423794</v>
      </c>
      <c r="J766" s="25">
        <f>IF(Table1[[#This Row],[Month]]&gt;Table7[Amortization period (yrs)]*12,0,IF(Table1[[#This Row],[Month]]&lt;Table7[mortgage term (yrs)]*12,0,IF(Table1[[#This Row],[Month]]=Table7[mortgage term (yrs)]*12,-H$5,Table1[[#This Row],[Payment amount]]+B766)))</f>
        <v>0</v>
      </c>
      <c r="K766">
        <v>755</v>
      </c>
      <c r="L766">
        <f>Table7[Initial Monthly Deposit]*Table9[[#This Row],[Inflation Modifier]]</f>
        <v>1365.433772886149</v>
      </c>
      <c r="M766">
        <f xml:space="preserve"> (1+Table7[Inflation])^(QUOTIENT(Table9[[#This Row],[Month]]-1,12))</f>
        <v>3.4135844322153726</v>
      </c>
      <c r="N766">
        <f>N765*(1+Table7[Monthly SF Inter])+Table9[[#This Row],[Monthly Payment]]-O765*(1+Table7[Monthly SF Inter])</f>
        <v>304186.16433406988</v>
      </c>
      <c r="O766">
        <f>IF(MOD(Table9[[#This Row],[Month]],12)=0,(IF(Table9[[#This Row],[Current Balance]]&lt;Table9[[#This Row],[Max Lump Sum ]],Table9[[#This Row],[Current Balance]],Table9[[#This Row],[Max Lump Sum ]])),0)</f>
        <v>0</v>
      </c>
      <c r="P766" s="21">
        <f>Table7[Max annual lump sum repayment]*SUM(C767:C778)</f>
        <v>7880.3958913442566</v>
      </c>
      <c r="Q766" s="25">
        <f>Q765*(1+Table7[Monthly SF Inter])+Table9[[#This Row],[Inflation Modifier]]-R765*(1+Table7[Monthly SF Inter])</f>
        <v>38.333340433083009</v>
      </c>
      <c r="R766" s="25">
        <f>IF(MOD(Table9[[#This Row],[Month]],12)=0,Table9[[#This Row],[Q2 ACC FACTOR]],0)</f>
        <v>0</v>
      </c>
      <c r="S766" s="25">
        <f>S765*(1+D765)+Table9[[#This Row],[ACC FACTOR PAYMENTS]]</f>
        <v>10990.556011840998</v>
      </c>
    </row>
    <row r="767" spans="1:19" x14ac:dyDescent="0.25">
      <c r="A767" s="1">
        <v>755</v>
      </c>
      <c r="B767" s="1">
        <f t="shared" si="11"/>
        <v>0</v>
      </c>
      <c r="C767" s="7">
        <f>G$12/-PV(Table7[Monthly mortgage rate], (12*Table7[Amortization period (yrs)]),1 )</f>
        <v>4377.9977174134756</v>
      </c>
      <c r="D767" s="11">
        <f>IF(Table1[[#This Row],[Month]]&lt;=(12*Table7[mortgage term (yrs)]),Table7[Monthly mortgage rate],Table7[Monthly Exp Renewal Rate])</f>
        <v>4.9038466830562122E-3</v>
      </c>
      <c r="E767" s="21">
        <f>Table1[[#This Row],[Current mortgage rate]]*G766</f>
        <v>-56881.807712080052</v>
      </c>
      <c r="F767" s="5">
        <f>Table1[[#This Row],[Payment amount]]-Table1[[#This Row],[Interest paid]]</f>
        <v>61259.805429493528</v>
      </c>
      <c r="G767" s="20">
        <f>G766-Table1[[#This Row],[Principal repaid]]-Table1[[#This Row],[Annual paym]]</f>
        <v>-11660686.008662615</v>
      </c>
      <c r="H767" s="20">
        <f>H766-(Table1[[#This Row],[Payment amount]]-Table1[[#This Row],[Interest Paid W/O LSP]])</f>
        <v>-7598709.6199059058</v>
      </c>
      <c r="I767">
        <f>H766*Table1[[#This Row],[Current mortgage rate]]</f>
        <v>-37059.70283467706</v>
      </c>
      <c r="J767" s="25">
        <f>IF(Table1[[#This Row],[Month]]&gt;Table7[Amortization period (yrs)]*12,0,IF(Table1[[#This Row],[Month]]&lt;Table7[mortgage term (yrs)]*12,0,IF(Table1[[#This Row],[Month]]=Table7[mortgage term (yrs)]*12,-H$5,Table1[[#This Row],[Payment amount]]+B767)))</f>
        <v>0</v>
      </c>
      <c r="K767">
        <v>756</v>
      </c>
      <c r="L767">
        <f>Table7[Initial Monthly Deposit]*Table9[[#This Row],[Inflation Modifier]]</f>
        <v>1365.433772886149</v>
      </c>
      <c r="M767">
        <f xml:space="preserve"> (1+Table7[Inflation])^(QUOTIENT(Table9[[#This Row],[Month]]-1,12))</f>
        <v>3.4135844322153726</v>
      </c>
      <c r="N767">
        <f>N766*(1+Table7[Monthly SF Inter])+Table9[[#This Row],[Monthly Payment]]-O766*(1+Table7[Monthly SF Inter])</f>
        <v>306806.0361343362</v>
      </c>
      <c r="O767">
        <f>IF(MOD(Table9[[#This Row],[Month]],12)=0,(IF(Table9[[#This Row],[Current Balance]]&lt;Table9[[#This Row],[Max Lump Sum ]],Table9[[#This Row],[Current Balance]],Table9[[#This Row],[Max Lump Sum ]])),0)</f>
        <v>7880.3958913442566</v>
      </c>
      <c r="P767" s="21">
        <f>Table7[Max annual lump sum repayment]*SUM(C768:C779)</f>
        <v>7880.3958913442566</v>
      </c>
      <c r="Q767" s="25">
        <f>Q766*(1+Table7[Monthly SF Inter])+Table9[[#This Row],[Inflation Modifier]]-R766*(1+Table7[Monthly SF Inter])</f>
        <v>41.905008320741011</v>
      </c>
      <c r="R767" s="25">
        <f>IF(MOD(Table9[[#This Row],[Month]],12)=0,Table9[[#This Row],[Q2 ACC FACTOR]],0)</f>
        <v>41.905008320741011</v>
      </c>
      <c r="S767" s="25">
        <f>S766*(1+D766)+Table9[[#This Row],[ACC FACTOR PAYMENTS]]</f>
        <v>11086.357021805348</v>
      </c>
    </row>
    <row r="768" spans="1:19" x14ac:dyDescent="0.25">
      <c r="A768" s="1">
        <v>756</v>
      </c>
      <c r="B768" s="1">
        <f t="shared" si="11"/>
        <v>7880.3958913442566</v>
      </c>
      <c r="C768" s="7">
        <f>G$12/-PV(Table7[Monthly mortgage rate], (12*Table7[Amortization period (yrs)]),1 )</f>
        <v>4377.9977174134756</v>
      </c>
      <c r="D768" s="11">
        <f>IF(Table1[[#This Row],[Month]]&lt;=(12*Table7[mortgage term (yrs)]),Table7[Monthly mortgage rate],Table7[Monthly Exp Renewal Rate])</f>
        <v>4.9038466830562122E-3</v>
      </c>
      <c r="E768" s="21">
        <f>Table1[[#This Row],[Current mortgage rate]]*G767</f>
        <v>-57182.216405740146</v>
      </c>
      <c r="F768" s="5">
        <f>Table1[[#This Row],[Payment amount]]-Table1[[#This Row],[Interest paid]]</f>
        <v>61560.214123153622</v>
      </c>
      <c r="G768" s="20">
        <f>G767-Table1[[#This Row],[Principal repaid]]-Table1[[#This Row],[Annual paym]]</f>
        <v>-11730126.618677113</v>
      </c>
      <c r="H768" s="20">
        <f>H767-(Table1[[#This Row],[Payment amount]]-Table1[[#This Row],[Interest Paid W/O LSP]])</f>
        <v>-7640350.5245884024</v>
      </c>
      <c r="I768">
        <f>H767*Table1[[#This Row],[Current mortgage rate]]</f>
        <v>-37262.906965082904</v>
      </c>
      <c r="J768" s="25">
        <f>IF(Table1[[#This Row],[Month]]&gt;Table7[Amortization period (yrs)]*12,0,IF(Table1[[#This Row],[Month]]&lt;Table7[mortgage term (yrs)]*12,0,IF(Table1[[#This Row],[Month]]=Table7[mortgage term (yrs)]*12,-H$5,Table1[[#This Row],[Payment amount]]+B768)))</f>
        <v>0</v>
      </c>
      <c r="K768">
        <v>757</v>
      </c>
      <c r="L768">
        <f>Table7[Initial Monthly Deposit]*Table9[[#This Row],[Inflation Modifier]]</f>
        <v>1392.7424483438717</v>
      </c>
      <c r="M768">
        <f xml:space="preserve"> (1+Table7[Inflation])^(QUOTIENT(Table9[[#This Row],[Month]]-1,12))</f>
        <v>3.4818561208596792</v>
      </c>
      <c r="N768">
        <f>N767*(1+Table7[Monthly SF Inter])+Table9[[#This Row],[Monthly Payment]]-O767*(1+Table7[Monthly SF Inter])</f>
        <v>301551.12676206202</v>
      </c>
      <c r="O768">
        <f>IF(MOD(Table9[[#This Row],[Month]],12)=0,(IF(Table9[[#This Row],[Current Balance]]&lt;Table9[[#This Row],[Max Lump Sum ]],Table9[[#This Row],[Current Balance]],Table9[[#This Row],[Max Lump Sum ]])),0)</f>
        <v>0</v>
      </c>
      <c r="P768" s="21">
        <f>Table7[Max annual lump sum repayment]*SUM(C769:C780)</f>
        <v>7880.3958913442566</v>
      </c>
      <c r="Q768" s="25">
        <f>Q767*(1+Table7[Monthly SF Inter])+Table9[[#This Row],[Inflation Modifier]]-R767*(1+Table7[Monthly SF Inter])</f>
        <v>3.4818561208596819</v>
      </c>
      <c r="R768" s="25">
        <f>IF(MOD(Table9[[#This Row],[Month]],12)=0,Table9[[#This Row],[Q2 ACC FACTOR]],0)</f>
        <v>0</v>
      </c>
      <c r="S768" s="25">
        <f>S767*(1+D767)+Table9[[#This Row],[ACC FACTOR PAYMENTS]]</f>
        <v>11140.722816913905</v>
      </c>
    </row>
    <row r="769" spans="1:19" x14ac:dyDescent="0.25">
      <c r="A769" s="1">
        <v>757</v>
      </c>
      <c r="B769" s="1">
        <f t="shared" si="11"/>
        <v>0</v>
      </c>
      <c r="C769" s="7">
        <f>G$12/-PV(Table7[Monthly mortgage rate], (12*Table7[Amortization period (yrs)]),1 )</f>
        <v>4377.9977174134756</v>
      </c>
      <c r="D769" s="11">
        <f>IF(Table1[[#This Row],[Month]]&lt;=(12*Table7[mortgage term (yrs)]),Table7[Monthly mortgage rate],Table7[Monthly Exp Renewal Rate])</f>
        <v>4.9038466830562122E-3</v>
      </c>
      <c r="E769" s="21">
        <f>Table1[[#This Row],[Current mortgage rate]]*G768</f>
        <v>-57522.742510829143</v>
      </c>
      <c r="F769" s="5">
        <f>Table1[[#This Row],[Payment amount]]-Table1[[#This Row],[Interest paid]]</f>
        <v>61900.740228242619</v>
      </c>
      <c r="G769" s="20">
        <f>G768-Table1[[#This Row],[Principal repaid]]-Table1[[#This Row],[Annual paym]]</f>
        <v>-11792027.358905356</v>
      </c>
      <c r="H769" s="20">
        <f>H768-(Table1[[#This Row],[Payment amount]]-Table1[[#This Row],[Interest Paid W/O LSP]])</f>
        <v>-7682195.6298832055</v>
      </c>
      <c r="I769">
        <f>H768*Table1[[#This Row],[Current mortgage rate]]</f>
        <v>-37467.10757738963</v>
      </c>
      <c r="J769" s="25">
        <f>IF(Table1[[#This Row],[Month]]&gt;Table7[Amortization period (yrs)]*12,0,IF(Table1[[#This Row],[Month]]&lt;Table7[mortgage term (yrs)]*12,0,IF(Table1[[#This Row],[Month]]=Table7[mortgage term (yrs)]*12,-H$5,Table1[[#This Row],[Payment amount]]+B769)))</f>
        <v>0</v>
      </c>
      <c r="K769">
        <v>758</v>
      </c>
      <c r="L769">
        <f>Table7[Initial Monthly Deposit]*Table9[[#This Row],[Inflation Modifier]]</f>
        <v>1392.7424483438717</v>
      </c>
      <c r="M769">
        <f xml:space="preserve"> (1+Table7[Inflation])^(QUOTIENT(Table9[[#This Row],[Month]]-1,12))</f>
        <v>3.4818561208596792</v>
      </c>
      <c r="N769">
        <f>N768*(1+Table7[Monthly SF Inter])+Table9[[#This Row],[Monthly Payment]]-O768*(1+Table7[Monthly SF Inter])</f>
        <v>304187.44056559168</v>
      </c>
      <c r="O769">
        <f>IF(MOD(Table9[[#This Row],[Month]],12)=0,(IF(Table9[[#This Row],[Current Balance]]&lt;Table9[[#This Row],[Max Lump Sum ]],Table9[[#This Row],[Current Balance]],Table9[[#This Row],[Max Lump Sum ]])),0)</f>
        <v>0</v>
      </c>
      <c r="P769" s="21">
        <f>Table7[Max annual lump sum repayment]*SUM(C770:C781)</f>
        <v>7880.3958913442566</v>
      </c>
      <c r="Q769" s="25">
        <f>Q768*(1+Table7[Monthly SF Inter])+Table9[[#This Row],[Inflation Modifier]]-R768*(1+Table7[Monthly SF Inter])</f>
        <v>6.9780711220235814</v>
      </c>
      <c r="R769" s="25">
        <f>IF(MOD(Table9[[#This Row],[Month]],12)=0,Table9[[#This Row],[Q2 ACC FACTOR]],0)</f>
        <v>0</v>
      </c>
      <c r="S769" s="25">
        <f>S768*(1+D768)+Table9[[#This Row],[ACC FACTOR PAYMENTS]]</f>
        <v>11195.355213546478</v>
      </c>
    </row>
    <row r="770" spans="1:19" x14ac:dyDescent="0.25">
      <c r="A770" s="1">
        <v>758</v>
      </c>
      <c r="B770" s="1">
        <f t="shared" si="11"/>
        <v>0</v>
      </c>
      <c r="C770" s="7">
        <f>G$12/-PV(Table7[Monthly mortgage rate], (12*Table7[Amortization period (yrs)]),1 )</f>
        <v>4377.9977174134756</v>
      </c>
      <c r="D770" s="11">
        <f>IF(Table1[[#This Row],[Month]]&lt;=(12*Table7[mortgage term (yrs)]),Table7[Monthly mortgage rate],Table7[Monthly Exp Renewal Rate])</f>
        <v>4.9038466830562122E-3</v>
      </c>
      <c r="E770" s="21">
        <f>Table1[[#This Row],[Current mortgage rate]]*G769</f>
        <v>-57826.294250476138</v>
      </c>
      <c r="F770" s="5">
        <f>Table1[[#This Row],[Payment amount]]-Table1[[#This Row],[Interest paid]]</f>
        <v>62204.291967889614</v>
      </c>
      <c r="G770" s="20">
        <f>G769-Table1[[#This Row],[Principal repaid]]-Table1[[#This Row],[Annual paym]]</f>
        <v>-11854231.650873246</v>
      </c>
      <c r="H770" s="20">
        <f>H769-(Table1[[#This Row],[Payment amount]]-Table1[[#This Row],[Interest Paid W/O LSP]])</f>
        <v>-7724245.9371588109</v>
      </c>
      <c r="I770">
        <f>H769*Table1[[#This Row],[Current mortgage rate]]</f>
        <v>-37672.309558191686</v>
      </c>
      <c r="J770" s="25">
        <f>IF(Table1[[#This Row],[Month]]&gt;Table7[Amortization period (yrs)]*12,0,IF(Table1[[#This Row],[Month]]&lt;Table7[mortgage term (yrs)]*12,0,IF(Table1[[#This Row],[Month]]=Table7[mortgage term (yrs)]*12,-H$5,Table1[[#This Row],[Payment amount]]+B770)))</f>
        <v>0</v>
      </c>
      <c r="K770">
        <v>759</v>
      </c>
      <c r="L770">
        <f>Table7[Initial Monthly Deposit]*Table9[[#This Row],[Inflation Modifier]]</f>
        <v>1392.7424483438717</v>
      </c>
      <c r="M770">
        <f xml:space="preserve"> (1+Table7[Inflation])^(QUOTIENT(Table9[[#This Row],[Month]]-1,12))</f>
        <v>3.4818561208596792</v>
      </c>
      <c r="N770">
        <f>N769*(1+Table7[Monthly SF Inter])+Table9[[#This Row],[Monthly Payment]]-O769*(1+Table7[Monthly SF Inter])</f>
        <v>306834.62630438665</v>
      </c>
      <c r="O770">
        <f>IF(MOD(Table9[[#This Row],[Month]],12)=0,(IF(Table9[[#This Row],[Current Balance]]&lt;Table9[[#This Row],[Max Lump Sum ]],Table9[[#This Row],[Current Balance]],Table9[[#This Row],[Max Lump Sum ]])),0)</f>
        <v>0</v>
      </c>
      <c r="P770" s="21">
        <f>Table7[Max annual lump sum repayment]*SUM(C771:C782)</f>
        <v>7880.3958913442566</v>
      </c>
      <c r="Q770" s="25">
        <f>Q769*(1+Table7[Monthly SF Inter])+Table9[[#This Row],[Inflation Modifier]]-R769*(1+Table7[Monthly SF Inter])</f>
        <v>10.488704218300249</v>
      </c>
      <c r="R770" s="25">
        <f>IF(MOD(Table9[[#This Row],[Month]],12)=0,Table9[[#This Row],[Q2 ACC FACTOR]],0)</f>
        <v>0</v>
      </c>
      <c r="S770" s="25">
        <f>S769*(1+D769)+Table9[[#This Row],[ACC FACTOR PAYMENTS]]</f>
        <v>11250.255519076063</v>
      </c>
    </row>
    <row r="771" spans="1:19" x14ac:dyDescent="0.25">
      <c r="A771" s="1">
        <v>759</v>
      </c>
      <c r="B771" s="1">
        <f t="shared" si="11"/>
        <v>0</v>
      </c>
      <c r="C771" s="7">
        <f>G$12/-PV(Table7[Monthly mortgage rate], (12*Table7[Amortization period (yrs)]),1 )</f>
        <v>4377.9977174134756</v>
      </c>
      <c r="D771" s="11">
        <f>IF(Table1[[#This Row],[Month]]&lt;=(12*Table7[mortgage term (yrs)]),Table7[Monthly mortgage rate],Table7[Monthly Exp Renewal Rate])</f>
        <v>4.9038466830562122E-3</v>
      </c>
      <c r="E771" s="21">
        <f>Table1[[#This Row],[Current mortgage rate]]*G770</f>
        <v>-58131.334561314732</v>
      </c>
      <c r="F771" s="5">
        <f>Table1[[#This Row],[Payment amount]]-Table1[[#This Row],[Interest paid]]</f>
        <v>62509.332278728209</v>
      </c>
      <c r="G771" s="20">
        <f>G770-Table1[[#This Row],[Principal repaid]]-Table1[[#This Row],[Annual paym]]</f>
        <v>-11916740.983151974</v>
      </c>
      <c r="H771" s="20">
        <f>H770-(Table1[[#This Row],[Payment amount]]-Table1[[#This Row],[Interest Paid W/O LSP]])</f>
        <v>-7766502.4526942708</v>
      </c>
      <c r="I771">
        <f>H770*Table1[[#This Row],[Current mortgage rate]]</f>
        <v>-37878.517818046661</v>
      </c>
      <c r="J771" s="25">
        <f>IF(Table1[[#This Row],[Month]]&gt;Table7[Amortization period (yrs)]*12,0,IF(Table1[[#This Row],[Month]]&lt;Table7[mortgage term (yrs)]*12,0,IF(Table1[[#This Row],[Month]]=Table7[mortgage term (yrs)]*12,-H$5,Table1[[#This Row],[Payment amount]]+B771)))</f>
        <v>0</v>
      </c>
      <c r="K771">
        <v>760</v>
      </c>
      <c r="L771">
        <f>Table7[Initial Monthly Deposit]*Table9[[#This Row],[Inflation Modifier]]</f>
        <v>1392.7424483438717</v>
      </c>
      <c r="M771">
        <f xml:space="preserve"> (1+Table7[Inflation])^(QUOTIENT(Table9[[#This Row],[Month]]-1,12))</f>
        <v>3.4818561208596792</v>
      </c>
      <c r="N771">
        <f>N770*(1+Table7[Monthly SF Inter])+Table9[[#This Row],[Monthly Payment]]-O770*(1+Table7[Monthly SF Inter])</f>
        <v>309492.72881338897</v>
      </c>
      <c r="O771">
        <f>IF(MOD(Table9[[#This Row],[Month]],12)=0,(IF(Table9[[#This Row],[Current Balance]]&lt;Table9[[#This Row],[Max Lump Sum ]],Table9[[#This Row],[Current Balance]],Table9[[#This Row],[Max Lump Sum ]])),0)</f>
        <v>0</v>
      </c>
      <c r="P771" s="21">
        <f>Table7[Max annual lump sum repayment]*SUM(C772:C783)</f>
        <v>7880.3958913442566</v>
      </c>
      <c r="Q771" s="25">
        <f>Q770*(1+Table7[Monthly SF Inter])+Table9[[#This Row],[Inflation Modifier]]-R770*(1+Table7[Monthly SF Inter])</f>
        <v>14.0138148686951</v>
      </c>
      <c r="R771" s="25">
        <f>IF(MOD(Table9[[#This Row],[Month]],12)=0,Table9[[#This Row],[Q2 ACC FACTOR]],0)</f>
        <v>0</v>
      </c>
      <c r="S771" s="25">
        <f>S770*(1+D770)+Table9[[#This Row],[ACC FACTOR PAYMENTS]]</f>
        <v>11305.425047286819</v>
      </c>
    </row>
    <row r="772" spans="1:19" x14ac:dyDescent="0.25">
      <c r="A772" s="1">
        <v>760</v>
      </c>
      <c r="B772" s="1">
        <f t="shared" si="11"/>
        <v>0</v>
      </c>
      <c r="C772" s="7">
        <f>G$12/-PV(Table7[Monthly mortgage rate], (12*Table7[Amortization period (yrs)]),1 )</f>
        <v>4377.9977174134756</v>
      </c>
      <c r="D772" s="11">
        <f>IF(Table1[[#This Row],[Month]]&lt;=(12*Table7[mortgage term (yrs)]),Table7[Monthly mortgage rate],Table7[Monthly Exp Renewal Rate])</f>
        <v>4.9038466830562122E-3</v>
      </c>
      <c r="E772" s="21">
        <f>Table1[[#This Row],[Current mortgage rate]]*G771</f>
        <v>-58437.870743069834</v>
      </c>
      <c r="F772" s="5">
        <f>Table1[[#This Row],[Payment amount]]-Table1[[#This Row],[Interest paid]]</f>
        <v>62815.868460483311</v>
      </c>
      <c r="G772" s="20">
        <f>G771-Table1[[#This Row],[Principal repaid]]-Table1[[#This Row],[Annual paym]]</f>
        <v>-11979556.851612458</v>
      </c>
      <c r="H772" s="20">
        <f>H771-(Table1[[#This Row],[Payment amount]]-Table1[[#This Row],[Interest Paid W/O LSP]])</f>
        <v>-7808966.187703277</v>
      </c>
      <c r="I772">
        <f>H771*Table1[[#This Row],[Current mortgage rate]]</f>
        <v>-38085.737291592734</v>
      </c>
      <c r="J772" s="25">
        <f>IF(Table1[[#This Row],[Month]]&gt;Table7[Amortization period (yrs)]*12,0,IF(Table1[[#This Row],[Month]]&lt;Table7[mortgage term (yrs)]*12,0,IF(Table1[[#This Row],[Month]]=Table7[mortgage term (yrs)]*12,-H$5,Table1[[#This Row],[Payment amount]]+B772)))</f>
        <v>0</v>
      </c>
      <c r="K772">
        <v>761</v>
      </c>
      <c r="L772">
        <f>Table7[Initial Monthly Deposit]*Table9[[#This Row],[Inflation Modifier]]</f>
        <v>1392.7424483438717</v>
      </c>
      <c r="M772">
        <f xml:space="preserve"> (1+Table7[Inflation])^(QUOTIENT(Table9[[#This Row],[Month]]-1,12))</f>
        <v>3.4818561208596792</v>
      </c>
      <c r="N772">
        <f>N771*(1+Table7[Monthly SF Inter])+Table9[[#This Row],[Monthly Payment]]-O771*(1+Table7[Monthly SF Inter])</f>
        <v>312161.79311243608</v>
      </c>
      <c r="O772">
        <f>IF(MOD(Table9[[#This Row],[Month]],12)=0,(IF(Table9[[#This Row],[Current Balance]]&lt;Table9[[#This Row],[Max Lump Sum ]],Table9[[#This Row],[Current Balance]],Table9[[#This Row],[Max Lump Sum ]])),0)</f>
        <v>0</v>
      </c>
      <c r="P772" s="21">
        <f>Table7[Max annual lump sum repayment]*SUM(C773:C784)</f>
        <v>7880.3958913442566</v>
      </c>
      <c r="Q772" s="25">
        <f>Q771*(1+Table7[Monthly SF Inter])+Table9[[#This Row],[Inflation Modifier]]-R771*(1+Table7[Monthly SF Inter])</f>
        <v>17.553462777417458</v>
      </c>
      <c r="R772" s="25">
        <f>IF(MOD(Table9[[#This Row],[Month]],12)=0,Table9[[#This Row],[Q2 ACC FACTOR]],0)</f>
        <v>0</v>
      </c>
      <c r="S772" s="25">
        <f>S771*(1+D771)+Table9[[#This Row],[ACC FACTOR PAYMENTS]]</f>
        <v>11360.865118405496</v>
      </c>
    </row>
    <row r="773" spans="1:19" x14ac:dyDescent="0.25">
      <c r="A773" s="1">
        <v>761</v>
      </c>
      <c r="B773" s="1">
        <f t="shared" si="11"/>
        <v>0</v>
      </c>
      <c r="C773" s="7">
        <f>G$12/-PV(Table7[Monthly mortgage rate], (12*Table7[Amortization period (yrs)]),1 )</f>
        <v>4377.9977174134756</v>
      </c>
      <c r="D773" s="11">
        <f>IF(Table1[[#This Row],[Month]]&lt;=(12*Table7[mortgage term (yrs)]),Table7[Monthly mortgage rate],Table7[Monthly Exp Renewal Rate])</f>
        <v>4.9038466830562122E-3</v>
      </c>
      <c r="E773" s="21">
        <f>Table1[[#This Row],[Current mortgage rate]]*G772</f>
        <v>-58745.910131263074</v>
      </c>
      <c r="F773" s="5">
        <f>Table1[[#This Row],[Payment amount]]-Table1[[#This Row],[Interest paid]]</f>
        <v>63123.90784867655</v>
      </c>
      <c r="G773" s="20">
        <f>G772-Table1[[#This Row],[Principal repaid]]-Table1[[#This Row],[Annual paym]]</f>
        <v>-12042680.759461135</v>
      </c>
      <c r="H773" s="20">
        <f>H772-(Table1[[#This Row],[Payment amount]]-Table1[[#This Row],[Interest Paid W/O LSP]])</f>
        <v>-7851638.1583583569</v>
      </c>
      <c r="I773">
        <f>H772*Table1[[#This Row],[Current mortgage rate]]</f>
        <v>-38293.972937666833</v>
      </c>
      <c r="J773" s="25">
        <f>IF(Table1[[#This Row],[Month]]&gt;Table7[Amortization period (yrs)]*12,0,IF(Table1[[#This Row],[Month]]&lt;Table7[mortgage term (yrs)]*12,0,IF(Table1[[#This Row],[Month]]=Table7[mortgage term (yrs)]*12,-H$5,Table1[[#This Row],[Payment amount]]+B773)))</f>
        <v>0</v>
      </c>
      <c r="K773">
        <v>762</v>
      </c>
      <c r="L773">
        <f>Table7[Initial Monthly Deposit]*Table9[[#This Row],[Inflation Modifier]]</f>
        <v>1392.7424483438717</v>
      </c>
      <c r="M773">
        <f xml:space="preserve"> (1+Table7[Inflation])^(QUOTIENT(Table9[[#This Row],[Month]]-1,12))</f>
        <v>3.4818561208596792</v>
      </c>
      <c r="N773">
        <f>N772*(1+Table7[Monthly SF Inter])+Table9[[#This Row],[Monthly Payment]]-O772*(1+Table7[Monthly SF Inter])</f>
        <v>314841.86440702347</v>
      </c>
      <c r="O773">
        <f>IF(MOD(Table9[[#This Row],[Month]],12)=0,(IF(Table9[[#This Row],[Current Balance]]&lt;Table9[[#This Row],[Max Lump Sum ]],Table9[[#This Row],[Current Balance]],Table9[[#This Row],[Max Lump Sum ]])),0)</f>
        <v>0</v>
      </c>
      <c r="P773" s="21">
        <f>Table7[Max annual lump sum repayment]*SUM(C774:C785)</f>
        <v>7880.3958913442566</v>
      </c>
      <c r="Q773" s="25">
        <f>Q772*(1+Table7[Monthly SF Inter])+Table9[[#This Row],[Inflation Modifier]]-R772*(1+Table7[Monthly SF Inter])</f>
        <v>21.10770789489176</v>
      </c>
      <c r="R773" s="25">
        <f>IF(MOD(Table9[[#This Row],[Month]],12)=0,Table9[[#This Row],[Q2 ACC FACTOR]],0)</f>
        <v>0</v>
      </c>
      <c r="S773" s="25">
        <f>S772*(1+D772)+Table9[[#This Row],[ACC FACTOR PAYMENTS]]</f>
        <v>11416.577059133038</v>
      </c>
    </row>
    <row r="774" spans="1:19" x14ac:dyDescent="0.25">
      <c r="A774" s="1">
        <v>762</v>
      </c>
      <c r="B774" s="1">
        <f t="shared" si="11"/>
        <v>0</v>
      </c>
      <c r="C774" s="7">
        <f>G$12/-PV(Table7[Monthly mortgage rate], (12*Table7[Amortization period (yrs)]),1 )</f>
        <v>4377.9977174134756</v>
      </c>
      <c r="D774" s="11">
        <f>IF(Table1[[#This Row],[Month]]&lt;=(12*Table7[mortgage term (yrs)]),Table7[Monthly mortgage rate],Table7[Monthly Exp Renewal Rate])</f>
        <v>4.9038466830562122E-3</v>
      </c>
      <c r="E774" s="21">
        <f>Table1[[#This Row],[Current mortgage rate]]*G773</f>
        <v>-59055.46009738835</v>
      </c>
      <c r="F774" s="5">
        <f>Table1[[#This Row],[Payment amount]]-Table1[[#This Row],[Interest paid]]</f>
        <v>63433.457814801826</v>
      </c>
      <c r="G774" s="20">
        <f>G773-Table1[[#This Row],[Principal repaid]]-Table1[[#This Row],[Annual paym]]</f>
        <v>-12106114.217275936</v>
      </c>
      <c r="H774" s="20">
        <f>H773-(Table1[[#This Row],[Payment amount]]-Table1[[#This Row],[Interest Paid W/O LSP]])</f>
        <v>-7894519.3858151939</v>
      </c>
      <c r="I774">
        <f>H773*Table1[[#This Row],[Current mortgage rate]]</f>
        <v>-38503.229739423216</v>
      </c>
      <c r="J774" s="25">
        <f>IF(Table1[[#This Row],[Month]]&gt;Table7[Amortization period (yrs)]*12,0,IF(Table1[[#This Row],[Month]]&lt;Table7[mortgage term (yrs)]*12,0,IF(Table1[[#This Row],[Month]]=Table7[mortgage term (yrs)]*12,-H$5,Table1[[#This Row],[Payment amount]]+B774)))</f>
        <v>0</v>
      </c>
      <c r="K774">
        <v>763</v>
      </c>
      <c r="L774">
        <f>Table7[Initial Monthly Deposit]*Table9[[#This Row],[Inflation Modifier]]</f>
        <v>1392.7424483438717</v>
      </c>
      <c r="M774">
        <f xml:space="preserve"> (1+Table7[Inflation])^(QUOTIENT(Table9[[#This Row],[Month]]-1,12))</f>
        <v>3.4818561208596792</v>
      </c>
      <c r="N774">
        <f>N773*(1+Table7[Monthly SF Inter])+Table9[[#This Row],[Monthly Payment]]-O773*(1+Table7[Monthly SF Inter])</f>
        <v>317532.98808907036</v>
      </c>
      <c r="O774">
        <f>IF(MOD(Table9[[#This Row],[Month]],12)=0,(IF(Table9[[#This Row],[Current Balance]]&lt;Table9[[#This Row],[Max Lump Sum ]],Table9[[#This Row],[Current Balance]],Table9[[#This Row],[Max Lump Sum ]])),0)</f>
        <v>0</v>
      </c>
      <c r="P774" s="21">
        <f>Table7[Max annual lump sum repayment]*SUM(C775:C786)</f>
        <v>7880.3958913442566</v>
      </c>
      <c r="Q774" s="25">
        <f>Q773*(1+Table7[Monthly SF Inter])+Table9[[#This Row],[Inflation Modifier]]-R773*(1+Table7[Monthly SF Inter])</f>
        <v>24.676610418772931</v>
      </c>
      <c r="R774" s="25">
        <f>IF(MOD(Table9[[#This Row],[Month]],12)=0,Table9[[#This Row],[Q2 ACC FACTOR]],0)</f>
        <v>0</v>
      </c>
      <c r="S774" s="25">
        <f>S773*(1+D773)+Table9[[#This Row],[ACC FACTOR PAYMENTS]]</f>
        <v>11472.562202676323</v>
      </c>
    </row>
    <row r="775" spans="1:19" x14ac:dyDescent="0.25">
      <c r="A775" s="1">
        <v>763</v>
      </c>
      <c r="B775" s="1">
        <f t="shared" si="11"/>
        <v>0</v>
      </c>
      <c r="C775" s="7">
        <f>G$12/-PV(Table7[Monthly mortgage rate], (12*Table7[Amortization period (yrs)]),1 )</f>
        <v>4377.9977174134756</v>
      </c>
      <c r="D775" s="11">
        <f>IF(Table1[[#This Row],[Month]]&lt;=(12*Table7[mortgage term (yrs)]),Table7[Monthly mortgage rate],Table7[Monthly Exp Renewal Rate])</f>
        <v>4.9038466830562122E-3</v>
      </c>
      <c r="E775" s="21">
        <f>Table1[[#This Row],[Current mortgage rate]]*G774</f>
        <v>-59366.528049088251</v>
      </c>
      <c r="F775" s="5">
        <f>Table1[[#This Row],[Payment amount]]-Table1[[#This Row],[Interest paid]]</f>
        <v>63744.525766501727</v>
      </c>
      <c r="G775" s="20">
        <f>G774-Table1[[#This Row],[Principal repaid]]-Table1[[#This Row],[Annual paym]]</f>
        <v>-12169858.743042437</v>
      </c>
      <c r="H775" s="20">
        <f>H774-(Table1[[#This Row],[Payment amount]]-Table1[[#This Row],[Interest Paid W/O LSP]])</f>
        <v>-7937610.8962370604</v>
      </c>
      <c r="I775">
        <f>H774*Table1[[#This Row],[Current mortgage rate]]</f>
        <v>-38713.512704452805</v>
      </c>
      <c r="J775" s="25">
        <f>IF(Table1[[#This Row],[Month]]&gt;Table7[Amortization period (yrs)]*12,0,IF(Table1[[#This Row],[Month]]&lt;Table7[mortgage term (yrs)]*12,0,IF(Table1[[#This Row],[Month]]=Table7[mortgage term (yrs)]*12,-H$5,Table1[[#This Row],[Payment amount]]+B775)))</f>
        <v>0</v>
      </c>
      <c r="K775">
        <v>764</v>
      </c>
      <c r="L775">
        <f>Table7[Initial Monthly Deposit]*Table9[[#This Row],[Inflation Modifier]]</f>
        <v>1392.7424483438717</v>
      </c>
      <c r="M775">
        <f xml:space="preserve"> (1+Table7[Inflation])^(QUOTIENT(Table9[[#This Row],[Month]]-1,12))</f>
        <v>3.4818561208596792</v>
      </c>
      <c r="N775">
        <f>N774*(1+Table7[Monthly SF Inter])+Table9[[#This Row],[Monthly Payment]]-O774*(1+Table7[Monthly SF Inter])</f>
        <v>320235.20973768824</v>
      </c>
      <c r="O775">
        <f>IF(MOD(Table9[[#This Row],[Month]],12)=0,(IF(Table9[[#This Row],[Current Balance]]&lt;Table9[[#This Row],[Max Lump Sum ]],Table9[[#This Row],[Current Balance]],Table9[[#This Row],[Max Lump Sum ]])),0)</f>
        <v>0</v>
      </c>
      <c r="P775" s="21">
        <f>Table7[Max annual lump sum repayment]*SUM(C776:C787)</f>
        <v>7880.3958913442566</v>
      </c>
      <c r="Q775" s="25">
        <f>Q774*(1+Table7[Monthly SF Inter])+Table9[[#This Row],[Inflation Modifier]]-R774*(1+Table7[Monthly SF Inter])</f>
        <v>28.260230794965928</v>
      </c>
      <c r="R775" s="25">
        <f>IF(MOD(Table9[[#This Row],[Month]],12)=0,Table9[[#This Row],[Q2 ACC FACTOR]],0)</f>
        <v>0</v>
      </c>
      <c r="S775" s="25">
        <f>S774*(1+D774)+Table9[[#This Row],[ACC FACTOR PAYMENTS]]</f>
        <v>11528.821888780074</v>
      </c>
    </row>
    <row r="776" spans="1:19" x14ac:dyDescent="0.25">
      <c r="A776" s="1">
        <v>764</v>
      </c>
      <c r="B776" s="1">
        <f t="shared" si="11"/>
        <v>0</v>
      </c>
      <c r="C776" s="7">
        <f>G$12/-PV(Table7[Monthly mortgage rate], (12*Table7[Amortization period (yrs)]),1 )</f>
        <v>4377.9977174134756</v>
      </c>
      <c r="D776" s="11">
        <f>IF(Table1[[#This Row],[Month]]&lt;=(12*Table7[mortgage term (yrs)]),Table7[Monthly mortgage rate],Table7[Monthly Exp Renewal Rate])</f>
        <v>4.9038466830562122E-3</v>
      </c>
      <c r="E776" s="21">
        <f>Table1[[#This Row],[Current mortgage rate]]*G775</f>
        <v>-59679.121430331303</v>
      </c>
      <c r="F776" s="5">
        <f>Table1[[#This Row],[Payment amount]]-Table1[[#This Row],[Interest paid]]</f>
        <v>64057.119147744779</v>
      </c>
      <c r="G776" s="20">
        <f>G775-Table1[[#This Row],[Principal repaid]]-Table1[[#This Row],[Annual paym]]</f>
        <v>-12233915.862190181</v>
      </c>
      <c r="H776" s="20">
        <f>H775-(Table1[[#This Row],[Payment amount]]-Table1[[#This Row],[Interest Paid W/O LSP]])</f>
        <v>-7980913.7208193764</v>
      </c>
      <c r="I776">
        <f>H775*Table1[[#This Row],[Current mortgage rate]]</f>
        <v>-38924.826864902956</v>
      </c>
      <c r="J776" s="25">
        <f>IF(Table1[[#This Row],[Month]]&gt;Table7[Amortization period (yrs)]*12,0,IF(Table1[[#This Row],[Month]]&lt;Table7[mortgage term (yrs)]*12,0,IF(Table1[[#This Row],[Month]]=Table7[mortgage term (yrs)]*12,-H$5,Table1[[#This Row],[Payment amount]]+B776)))</f>
        <v>0</v>
      </c>
      <c r="K776">
        <v>765</v>
      </c>
      <c r="L776">
        <f>Table7[Initial Monthly Deposit]*Table9[[#This Row],[Inflation Modifier]]</f>
        <v>1392.7424483438717</v>
      </c>
      <c r="M776">
        <f xml:space="preserve"> (1+Table7[Inflation])^(QUOTIENT(Table9[[#This Row],[Month]]-1,12))</f>
        <v>3.4818561208596792</v>
      </c>
      <c r="N776">
        <f>N775*(1+Table7[Monthly SF Inter])+Table9[[#This Row],[Monthly Payment]]-O775*(1+Table7[Monthly SF Inter])</f>
        <v>322948.57511995308</v>
      </c>
      <c r="O776">
        <f>IF(MOD(Table9[[#This Row],[Month]],12)=0,(IF(Table9[[#This Row],[Current Balance]]&lt;Table9[[#This Row],[Max Lump Sum ]],Table9[[#This Row],[Current Balance]],Table9[[#This Row],[Max Lump Sum ]])),0)</f>
        <v>0</v>
      </c>
      <c r="P776" s="21">
        <f>Table7[Max annual lump sum repayment]*SUM(C777:C788)</f>
        <v>7880.3958913442566</v>
      </c>
      <c r="Q776" s="25">
        <f>Q775*(1+Table7[Monthly SF Inter])+Table9[[#This Row],[Inflation Modifier]]-R775*(1+Table7[Monthly SF Inter])</f>
        <v>31.85862971864951</v>
      </c>
      <c r="R776" s="25">
        <f>IF(MOD(Table9[[#This Row],[Month]],12)=0,Table9[[#This Row],[Q2 ACC FACTOR]],0)</f>
        <v>0</v>
      </c>
      <c r="S776" s="25">
        <f>S775*(1+D775)+Table9[[#This Row],[ACC FACTOR PAYMENTS]]</f>
        <v>11585.357463758914</v>
      </c>
    </row>
    <row r="777" spans="1:19" x14ac:dyDescent="0.25">
      <c r="A777" s="1">
        <v>765</v>
      </c>
      <c r="B777" s="1">
        <f t="shared" si="11"/>
        <v>0</v>
      </c>
      <c r="C777" s="7">
        <f>G$12/-PV(Table7[Monthly mortgage rate], (12*Table7[Amortization period (yrs)]),1 )</f>
        <v>4377.9977174134756</v>
      </c>
      <c r="D777" s="11">
        <f>IF(Table1[[#This Row],[Month]]&lt;=(12*Table7[mortgage term (yrs)]),Table7[Monthly mortgage rate],Table7[Monthly Exp Renewal Rate])</f>
        <v>4.9038466830562122E-3</v>
      </c>
      <c r="E777" s="21">
        <f>Table1[[#This Row],[Current mortgage rate]]*G776</f>
        <v>-59993.247721590102</v>
      </c>
      <c r="F777" s="5">
        <f>Table1[[#This Row],[Payment amount]]-Table1[[#This Row],[Interest paid]]</f>
        <v>64371.245439003578</v>
      </c>
      <c r="G777" s="20">
        <f>G776-Table1[[#This Row],[Principal repaid]]-Table1[[#This Row],[Annual paym]]</f>
        <v>-12298287.107629186</v>
      </c>
      <c r="H777" s="20">
        <f>H776-(Table1[[#This Row],[Payment amount]]-Table1[[#This Row],[Interest Paid W/O LSP]])</f>
        <v>-8024428.8958143881</v>
      </c>
      <c r="I777">
        <f>H776*Table1[[#This Row],[Current mortgage rate]]</f>
        <v>-39137.177277597912</v>
      </c>
      <c r="J777" s="25">
        <f>IF(Table1[[#This Row],[Month]]&gt;Table7[Amortization period (yrs)]*12,0,IF(Table1[[#This Row],[Month]]&lt;Table7[mortgage term (yrs)]*12,0,IF(Table1[[#This Row],[Month]]=Table7[mortgage term (yrs)]*12,-H$5,Table1[[#This Row],[Payment amount]]+B777)))</f>
        <v>0</v>
      </c>
      <c r="K777">
        <v>766</v>
      </c>
      <c r="L777">
        <f>Table7[Initial Monthly Deposit]*Table9[[#This Row],[Inflation Modifier]]</f>
        <v>1392.7424483438717</v>
      </c>
      <c r="M777">
        <f xml:space="preserve"> (1+Table7[Inflation])^(QUOTIENT(Table9[[#This Row],[Month]]-1,12))</f>
        <v>3.4818561208596792</v>
      </c>
      <c r="N777">
        <f>N776*(1+Table7[Monthly SF Inter])+Table9[[#This Row],[Monthly Payment]]-O776*(1+Table7[Monthly SF Inter])</f>
        <v>325673.13019168045</v>
      </c>
      <c r="O777">
        <f>IF(MOD(Table9[[#This Row],[Month]],12)=0,(IF(Table9[[#This Row],[Current Balance]]&lt;Table9[[#This Row],[Max Lump Sum ]],Table9[[#This Row],[Current Balance]],Table9[[#This Row],[Max Lump Sum ]])),0)</f>
        <v>0</v>
      </c>
      <c r="P777" s="21">
        <f>Table7[Max annual lump sum repayment]*SUM(C778:C789)</f>
        <v>7880.3958913442566</v>
      </c>
      <c r="Q777" s="25">
        <f>Q776*(1+Table7[Monthly SF Inter])+Table9[[#This Row],[Inflation Modifier]]-R776*(1+Table7[Monthly SF Inter])</f>
        <v>35.471868135304234</v>
      </c>
      <c r="R777" s="25">
        <f>IF(MOD(Table9[[#This Row],[Month]],12)=0,Table9[[#This Row],[Q2 ACC FACTOR]],0)</f>
        <v>0</v>
      </c>
      <c r="S777" s="25">
        <f>S776*(1+D776)+Table9[[#This Row],[ACC FACTOR PAYMENTS]]</f>
        <v>11642.170280529588</v>
      </c>
    </row>
    <row r="778" spans="1:19" x14ac:dyDescent="0.25">
      <c r="A778" s="1">
        <v>766</v>
      </c>
      <c r="B778" s="1">
        <f t="shared" si="11"/>
        <v>0</v>
      </c>
      <c r="C778" s="7">
        <f>G$12/-PV(Table7[Monthly mortgage rate], (12*Table7[Amortization period (yrs)]),1 )</f>
        <v>4377.9977174134756</v>
      </c>
      <c r="D778" s="11">
        <f>IF(Table1[[#This Row],[Month]]&lt;=(12*Table7[mortgage term (yrs)]),Table7[Monthly mortgage rate],Table7[Monthly Exp Renewal Rate])</f>
        <v>4.9038466830562122E-3</v>
      </c>
      <c r="E778" s="21">
        <f>Table1[[#This Row],[Current mortgage rate]]*G777</f>
        <v>-60308.914440020359</v>
      </c>
      <c r="F778" s="5">
        <f>Table1[[#This Row],[Payment amount]]-Table1[[#This Row],[Interest paid]]</f>
        <v>64686.912157433835</v>
      </c>
      <c r="G778" s="20">
        <f>G777-Table1[[#This Row],[Principal repaid]]-Table1[[#This Row],[Annual paym]]</f>
        <v>-12362974.019786619</v>
      </c>
      <c r="H778" s="20">
        <f>H777-(Table1[[#This Row],[Payment amount]]-Table1[[#This Row],[Interest Paid W/O LSP]])</f>
        <v>-8068157.4625559617</v>
      </c>
      <c r="I778">
        <f>H777*Table1[[#This Row],[Current mortgage rate]]</f>
        <v>-39350.569024159813</v>
      </c>
      <c r="J778" s="25">
        <f>IF(Table1[[#This Row],[Month]]&gt;Table7[Amortization period (yrs)]*12,0,IF(Table1[[#This Row],[Month]]&lt;Table7[mortgage term (yrs)]*12,0,IF(Table1[[#This Row],[Month]]=Table7[mortgage term (yrs)]*12,-H$5,Table1[[#This Row],[Payment amount]]+B778)))</f>
        <v>0</v>
      </c>
      <c r="K778">
        <v>767</v>
      </c>
      <c r="L778">
        <f>Table7[Initial Monthly Deposit]*Table9[[#This Row],[Inflation Modifier]]</f>
        <v>1392.7424483438717</v>
      </c>
      <c r="M778">
        <f xml:space="preserve"> (1+Table7[Inflation])^(QUOTIENT(Table9[[#This Row],[Month]]-1,12))</f>
        <v>3.4818561208596792</v>
      </c>
      <c r="N778">
        <f>N777*(1+Table7[Monthly SF Inter])+Table9[[#This Row],[Monthly Payment]]-O777*(1+Table7[Monthly SF Inter])</f>
        <v>328408.92109820375</v>
      </c>
      <c r="O778">
        <f>IF(MOD(Table9[[#This Row],[Month]],12)=0,(IF(Table9[[#This Row],[Current Balance]]&lt;Table9[[#This Row],[Max Lump Sum ]],Table9[[#This Row],[Current Balance]],Table9[[#This Row],[Max Lump Sum ]])),0)</f>
        <v>0</v>
      </c>
      <c r="P778" s="21">
        <f>Table7[Max annual lump sum repayment]*SUM(C779:C790)</f>
        <v>7880.3958913442566</v>
      </c>
      <c r="Q778" s="25">
        <f>Q777*(1+Table7[Monthly SF Inter])+Table9[[#This Row],[Inflation Modifier]]-R777*(1+Table7[Monthly SF Inter])</f>
        <v>39.100007241744656</v>
      </c>
      <c r="R778" s="25">
        <f>IF(MOD(Table9[[#This Row],[Month]],12)=0,Table9[[#This Row],[Q2 ACC FACTOR]],0)</f>
        <v>0</v>
      </c>
      <c r="S778" s="25">
        <f>S777*(1+D777)+Table9[[#This Row],[ACC FACTOR PAYMENTS]]</f>
        <v>11699.261698643339</v>
      </c>
    </row>
    <row r="779" spans="1:19" x14ac:dyDescent="0.25">
      <c r="A779" s="1">
        <v>767</v>
      </c>
      <c r="B779" s="1">
        <f t="shared" si="11"/>
        <v>0</v>
      </c>
      <c r="C779" s="7">
        <f>G$12/-PV(Table7[Monthly mortgage rate], (12*Table7[Amortization period (yrs)]),1 )</f>
        <v>4377.9977174134756</v>
      </c>
      <c r="D779" s="11">
        <f>IF(Table1[[#This Row],[Month]]&lt;=(12*Table7[mortgage term (yrs)]),Table7[Monthly mortgage rate],Table7[Monthly Exp Renewal Rate])</f>
        <v>4.9038466830562122E-3</v>
      </c>
      <c r="E779" s="21">
        <f>Table1[[#This Row],[Current mortgage rate]]*G778</f>
        <v>-60626.12913964074</v>
      </c>
      <c r="F779" s="5">
        <f>Table1[[#This Row],[Payment amount]]-Table1[[#This Row],[Interest paid]]</f>
        <v>65004.126857054216</v>
      </c>
      <c r="G779" s="20">
        <f>G778-Table1[[#This Row],[Principal repaid]]-Table1[[#This Row],[Annual paym]]</f>
        <v>-12427978.146643672</v>
      </c>
      <c r="H779" s="20">
        <f>H778-(Table1[[#This Row],[Payment amount]]-Table1[[#This Row],[Interest Paid W/O LSP]])</f>
        <v>-8112100.4674845058</v>
      </c>
      <c r="I779">
        <f>H778*Table1[[#This Row],[Current mortgage rate]]</f>
        <v>-39565.00721113028</v>
      </c>
      <c r="J779" s="25">
        <f>IF(Table1[[#This Row],[Month]]&gt;Table7[Amortization period (yrs)]*12,0,IF(Table1[[#This Row],[Month]]&lt;Table7[mortgage term (yrs)]*12,0,IF(Table1[[#This Row],[Month]]=Table7[mortgage term (yrs)]*12,-H$5,Table1[[#This Row],[Payment amount]]+B779)))</f>
        <v>0</v>
      </c>
      <c r="K779">
        <v>768</v>
      </c>
      <c r="L779">
        <f>Table7[Initial Monthly Deposit]*Table9[[#This Row],[Inflation Modifier]]</f>
        <v>1392.7424483438717</v>
      </c>
      <c r="M779">
        <f xml:space="preserve"> (1+Table7[Inflation])^(QUOTIENT(Table9[[#This Row],[Month]]-1,12))</f>
        <v>3.4818561208596792</v>
      </c>
      <c r="N779">
        <f>N778*(1+Table7[Monthly SF Inter])+Table9[[#This Row],[Monthly Payment]]-O778*(1+Table7[Monthly SF Inter])</f>
        <v>331155.99417515588</v>
      </c>
      <c r="O779">
        <f>IF(MOD(Table9[[#This Row],[Month]],12)=0,(IF(Table9[[#This Row],[Current Balance]]&lt;Table9[[#This Row],[Max Lump Sum ]],Table9[[#This Row],[Current Balance]],Table9[[#This Row],[Max Lump Sum ]])),0)</f>
        <v>7880.3958913442566</v>
      </c>
      <c r="P779" s="21">
        <f>Table7[Max annual lump sum repayment]*SUM(C780:C791)</f>
        <v>7880.3958913442566</v>
      </c>
      <c r="Q779" s="25">
        <f>Q778*(1+Table7[Monthly SF Inter])+Table9[[#This Row],[Inflation Modifier]]-R778*(1+Table7[Monthly SF Inter])</f>
        <v>42.743108487155823</v>
      </c>
      <c r="R779" s="25">
        <f>IF(MOD(Table9[[#This Row],[Month]],12)=0,Table9[[#This Row],[Q2 ACC FACTOR]],0)</f>
        <v>42.743108487155823</v>
      </c>
      <c r="S779" s="25">
        <f>S778*(1+D778)+Table9[[#This Row],[ACC FACTOR PAYMENTS]]</f>
        <v>11799.376192805592</v>
      </c>
    </row>
    <row r="780" spans="1:19" x14ac:dyDescent="0.25">
      <c r="A780" s="1">
        <v>768</v>
      </c>
      <c r="B780" s="1">
        <f t="shared" si="11"/>
        <v>7880.3958913442566</v>
      </c>
      <c r="C780" s="7">
        <f>G$12/-PV(Table7[Monthly mortgage rate], (12*Table7[Amortization period (yrs)]),1 )</f>
        <v>4377.9977174134756</v>
      </c>
      <c r="D780" s="11">
        <f>IF(Table1[[#This Row],[Month]]&lt;=(12*Table7[mortgage term (yrs)]),Table7[Monthly mortgage rate],Table7[Monthly Exp Renewal Rate])</f>
        <v>4.9038466830562122E-3</v>
      </c>
      <c r="E780" s="21">
        <f>Table1[[#This Row],[Current mortgage rate]]*G779</f>
        <v>-60944.899411513667</v>
      </c>
      <c r="F780" s="5">
        <f>Table1[[#This Row],[Payment amount]]-Table1[[#This Row],[Interest paid]]</f>
        <v>65322.897128927143</v>
      </c>
      <c r="G780" s="20">
        <f>G779-Table1[[#This Row],[Principal repaid]]-Table1[[#This Row],[Annual paym]]</f>
        <v>-12501181.439663943</v>
      </c>
      <c r="H780" s="20">
        <f>H779-(Table1[[#This Row],[Payment amount]]-Table1[[#This Row],[Interest Paid W/O LSP]])</f>
        <v>-8156258.9621720118</v>
      </c>
      <c r="I780">
        <f>H779*Table1[[#This Row],[Current mortgage rate]]</f>
        <v>-39780.496970092645</v>
      </c>
      <c r="J780" s="25">
        <f>IF(Table1[[#This Row],[Month]]&gt;Table7[Amortization period (yrs)]*12,0,IF(Table1[[#This Row],[Month]]&lt;Table7[mortgage term (yrs)]*12,0,IF(Table1[[#This Row],[Month]]=Table7[mortgage term (yrs)]*12,-H$5,Table1[[#This Row],[Payment amount]]+B780)))</f>
        <v>0</v>
      </c>
      <c r="K780">
        <v>769</v>
      </c>
      <c r="L780">
        <f>Table7[Initial Monthly Deposit]*Table9[[#This Row],[Inflation Modifier]]</f>
        <v>1420.5972973107494</v>
      </c>
      <c r="M780">
        <f xml:space="preserve"> (1+Table7[Inflation])^(QUOTIENT(Table9[[#This Row],[Month]]-1,12))</f>
        <v>3.5514932432768735</v>
      </c>
      <c r="N780">
        <f>N779*(1+Table7[Monthly SF Inter])+Table9[[#This Row],[Monthly Payment]]-O779*(1+Table7[Monthly SF Inter])</f>
        <v>326029.35682038876</v>
      </c>
      <c r="O780">
        <f>IF(MOD(Table9[[#This Row],[Month]],12)=0,(IF(Table9[[#This Row],[Current Balance]]&lt;Table9[[#This Row],[Max Lump Sum ]],Table9[[#This Row],[Current Balance]],Table9[[#This Row],[Max Lump Sum ]])),0)</f>
        <v>0</v>
      </c>
      <c r="P780" s="21">
        <f>Table7[Max annual lump sum repayment]*SUM(C781:C792)</f>
        <v>7880.3958913442566</v>
      </c>
      <c r="Q780" s="25">
        <f>Q779*(1+Table7[Monthly SF Inter])+Table9[[#This Row],[Inflation Modifier]]-R779*(1+Table7[Monthly SF Inter])</f>
        <v>3.5514932432768731</v>
      </c>
      <c r="R780" s="25">
        <f>IF(MOD(Table9[[#This Row],[Month]],12)=0,Table9[[#This Row],[Q2 ACC FACTOR]],0)</f>
        <v>0</v>
      </c>
      <c r="S780" s="25">
        <f>S779*(1+D779)+Table9[[#This Row],[ACC FACTOR PAYMENTS]]</f>
        <v>11857.238524610813</v>
      </c>
    </row>
    <row r="781" spans="1:19" x14ac:dyDescent="0.25">
      <c r="A781" s="1">
        <v>769</v>
      </c>
      <c r="B781" s="1">
        <f t="shared" ref="B781:B844" si="12">O780</f>
        <v>0</v>
      </c>
      <c r="C781" s="7">
        <f>G$12/-PV(Table7[Monthly mortgage rate], (12*Table7[Amortization period (yrs)]),1 )</f>
        <v>4377.9977174134756</v>
      </c>
      <c r="D781" s="11">
        <f>IF(Table1[[#This Row],[Month]]&lt;=(12*Table7[mortgage term (yrs)]),Table7[Monthly mortgage rate],Table7[Monthly Exp Renewal Rate])</f>
        <v>4.9038466830562122E-3</v>
      </c>
      <c r="E781" s="21">
        <f>Table1[[#This Row],[Current mortgage rate]]*G780</f>
        <v>-61303.877137179908</v>
      </c>
      <c r="F781" s="5">
        <f>Table1[[#This Row],[Payment amount]]-Table1[[#This Row],[Interest paid]]</f>
        <v>65681.874854593378</v>
      </c>
      <c r="G781" s="20">
        <f>G780-Table1[[#This Row],[Principal repaid]]-Table1[[#This Row],[Annual paym]]</f>
        <v>-12566863.314518536</v>
      </c>
      <c r="H781" s="20">
        <f>H780-(Table1[[#This Row],[Payment amount]]-Table1[[#This Row],[Interest Paid W/O LSP]])</f>
        <v>-8200634.0033472199</v>
      </c>
      <c r="I781">
        <f>H780*Table1[[#This Row],[Current mortgage rate]]</f>
        <v>-39997.043457794724</v>
      </c>
      <c r="J781" s="25">
        <f>IF(Table1[[#This Row],[Month]]&gt;Table7[Amortization period (yrs)]*12,0,IF(Table1[[#This Row],[Month]]&lt;Table7[mortgage term (yrs)]*12,0,IF(Table1[[#This Row],[Month]]=Table7[mortgage term (yrs)]*12,-H$5,Table1[[#This Row],[Payment amount]]+B781)))</f>
        <v>0</v>
      </c>
      <c r="K781">
        <v>770</v>
      </c>
      <c r="L781">
        <f>Table7[Initial Monthly Deposit]*Table9[[#This Row],[Inflation Modifier]]</f>
        <v>1420.5972973107494</v>
      </c>
      <c r="M781">
        <f xml:space="preserve"> (1+Table7[Inflation])^(QUOTIENT(Table9[[#This Row],[Month]]-1,12))</f>
        <v>3.5514932432768735</v>
      </c>
      <c r="N781">
        <f>N780*(1+Table7[Monthly SF Inter])+Table9[[#This Row],[Monthly Payment]]-O780*(1+Table7[Monthly SF Inter])</f>
        <v>328794.47162438213</v>
      </c>
      <c r="O781">
        <f>IF(MOD(Table9[[#This Row],[Month]],12)=0,(IF(Table9[[#This Row],[Current Balance]]&lt;Table9[[#This Row],[Max Lump Sum ]],Table9[[#This Row],[Current Balance]],Table9[[#This Row],[Max Lump Sum ]])),0)</f>
        <v>0</v>
      </c>
      <c r="P781" s="21">
        <f>Table7[Max annual lump sum repayment]*SUM(C782:C793)</f>
        <v>7880.3958913442566</v>
      </c>
      <c r="Q781" s="25">
        <f>Q780*(1+Table7[Monthly SF Inter])+Table9[[#This Row],[Inflation Modifier]]-R780*(1+Table7[Monthly SF Inter])</f>
        <v>7.1176325444640511</v>
      </c>
      <c r="R781" s="25">
        <f>IF(MOD(Table9[[#This Row],[Month]],12)=0,Table9[[#This Row],[Q2 ACC FACTOR]],0)</f>
        <v>0</v>
      </c>
      <c r="S781" s="25">
        <f>S780*(1+D780)+Table9[[#This Row],[ACC FACTOR PAYMENTS]]</f>
        <v>11915.384604419933</v>
      </c>
    </row>
    <row r="782" spans="1:19" x14ac:dyDescent="0.25">
      <c r="A782" s="1">
        <v>770</v>
      </c>
      <c r="B782" s="1">
        <f t="shared" si="12"/>
        <v>0</v>
      </c>
      <c r="C782" s="7">
        <f>G$12/-PV(Table7[Monthly mortgage rate], (12*Table7[Amortization period (yrs)]),1 )</f>
        <v>4377.9977174134756</v>
      </c>
      <c r="D782" s="11">
        <f>IF(Table1[[#This Row],[Month]]&lt;=(12*Table7[mortgage term (yrs)]),Table7[Monthly mortgage rate],Table7[Monthly Exp Renewal Rate])</f>
        <v>4.9038466830562122E-3</v>
      </c>
      <c r="E782" s="21">
        <f>Table1[[#This Row],[Current mortgage rate]]*G781</f>
        <v>-61625.97098132252</v>
      </c>
      <c r="F782" s="5">
        <f>Table1[[#This Row],[Payment amount]]-Table1[[#This Row],[Interest paid]]</f>
        <v>66003.968698735989</v>
      </c>
      <c r="G782" s="20">
        <f>G781-Table1[[#This Row],[Principal repaid]]-Table1[[#This Row],[Annual paym]]</f>
        <v>-12632867.283217272</v>
      </c>
      <c r="H782" s="20">
        <f>H781-(Table1[[#This Row],[Payment amount]]-Table1[[#This Row],[Interest Paid W/O LSP]])</f>
        <v>-8245226.6529209055</v>
      </c>
      <c r="I782">
        <f>H781*Table1[[#This Row],[Current mortgage rate]]</f>
        <v>-40214.651856272249</v>
      </c>
      <c r="J782" s="25">
        <f>IF(Table1[[#This Row],[Month]]&gt;Table7[Amortization period (yrs)]*12,0,IF(Table1[[#This Row],[Month]]&lt;Table7[mortgage term (yrs)]*12,0,IF(Table1[[#This Row],[Month]]=Table7[mortgage term (yrs)]*12,-H$5,Table1[[#This Row],[Payment amount]]+B782)))</f>
        <v>0</v>
      </c>
      <c r="K782">
        <v>771</v>
      </c>
      <c r="L782">
        <f>Table7[Initial Monthly Deposit]*Table9[[#This Row],[Inflation Modifier]]</f>
        <v>1420.5972973107494</v>
      </c>
      <c r="M782">
        <f xml:space="preserve"> (1+Table7[Inflation])^(QUOTIENT(Table9[[#This Row],[Month]]-1,12))</f>
        <v>3.5514932432768735</v>
      </c>
      <c r="N782">
        <f>N781*(1+Table7[Monthly SF Inter])+Table9[[#This Row],[Monthly Payment]]-O781*(1+Table7[Monthly SF Inter])</f>
        <v>331570.98952807864</v>
      </c>
      <c r="O782">
        <f>IF(MOD(Table9[[#This Row],[Month]],12)=0,(IF(Table9[[#This Row],[Current Balance]]&lt;Table9[[#This Row],[Max Lump Sum ]],Table9[[#This Row],[Current Balance]],Table9[[#This Row],[Max Lump Sum ]])),0)</f>
        <v>0</v>
      </c>
      <c r="P782" s="21">
        <f>Table7[Max annual lump sum repayment]*SUM(C783:C794)</f>
        <v>7880.3958913442566</v>
      </c>
      <c r="Q782" s="25">
        <f>Q781*(1+Table7[Monthly SF Inter])+Table9[[#This Row],[Inflation Modifier]]-R781*(1+Table7[Monthly SF Inter])</f>
        <v>10.698478302666254</v>
      </c>
      <c r="R782" s="25">
        <f>IF(MOD(Table9[[#This Row],[Month]],12)=0,Table9[[#This Row],[Q2 ACC FACTOR]],0)</f>
        <v>0</v>
      </c>
      <c r="S782" s="25">
        <f>S781*(1+D781)+Table9[[#This Row],[ACC FACTOR PAYMENTS]]</f>
        <v>11973.815823689656</v>
      </c>
    </row>
    <row r="783" spans="1:19" x14ac:dyDescent="0.25">
      <c r="A783" s="1">
        <v>771</v>
      </c>
      <c r="B783" s="1">
        <f t="shared" si="12"/>
        <v>0</v>
      </c>
      <c r="C783" s="7">
        <f>G$12/-PV(Table7[Monthly mortgage rate], (12*Table7[Amortization period (yrs)]),1 )</f>
        <v>4377.9977174134756</v>
      </c>
      <c r="D783" s="11">
        <f>IF(Table1[[#This Row],[Month]]&lt;=(12*Table7[mortgage term (yrs)]),Table7[Monthly mortgage rate],Table7[Monthly Exp Renewal Rate])</f>
        <v>4.9038466830562122E-3</v>
      </c>
      <c r="E783" s="21">
        <f>Table1[[#This Row],[Current mortgage rate]]*G782</f>
        <v>-61949.644324294364</v>
      </c>
      <c r="F783" s="5">
        <f>Table1[[#This Row],[Payment amount]]-Table1[[#This Row],[Interest paid]]</f>
        <v>66327.642041707833</v>
      </c>
      <c r="G783" s="20">
        <f>G782-Table1[[#This Row],[Principal repaid]]-Table1[[#This Row],[Annual paym]]</f>
        <v>-12699194.925258979</v>
      </c>
      <c r="H783" s="20">
        <f>H782-(Table1[[#This Row],[Payment amount]]-Table1[[#This Row],[Interest Paid W/O LSP]])</f>
        <v>-8290037.9780112915</v>
      </c>
      <c r="I783">
        <f>H782*Table1[[#This Row],[Current mortgage rate]]</f>
        <v>-40433.327372972853</v>
      </c>
      <c r="J783" s="25">
        <f>IF(Table1[[#This Row],[Month]]&gt;Table7[Amortization period (yrs)]*12,0,IF(Table1[[#This Row],[Month]]&lt;Table7[mortgage term (yrs)]*12,0,IF(Table1[[#This Row],[Month]]=Table7[mortgage term (yrs)]*12,-H$5,Table1[[#This Row],[Payment amount]]+B783)))</f>
        <v>0</v>
      </c>
      <c r="K783">
        <v>772</v>
      </c>
      <c r="L783">
        <f>Table7[Initial Monthly Deposit]*Table9[[#This Row],[Inflation Modifier]]</f>
        <v>1420.5972973107494</v>
      </c>
      <c r="M783">
        <f xml:space="preserve"> (1+Table7[Inflation])^(QUOTIENT(Table9[[#This Row],[Month]]-1,12))</f>
        <v>3.5514932432768735</v>
      </c>
      <c r="N783">
        <f>N782*(1+Table7[Monthly SF Inter])+Table9[[#This Row],[Monthly Payment]]-O782*(1+Table7[Monthly SF Inter])</f>
        <v>334358.95755689743</v>
      </c>
      <c r="O783">
        <f>IF(MOD(Table9[[#This Row],[Month]],12)=0,(IF(Table9[[#This Row],[Current Balance]]&lt;Table9[[#This Row],[Max Lump Sum ]],Table9[[#This Row],[Current Balance]],Table9[[#This Row],[Max Lump Sum ]])),0)</f>
        <v>0</v>
      </c>
      <c r="P783" s="21">
        <f>Table7[Max annual lump sum repayment]*SUM(C784:C795)</f>
        <v>7880.3958913442566</v>
      </c>
      <c r="Q783" s="25">
        <f>Q782*(1+Table7[Monthly SF Inter])+Table9[[#This Row],[Inflation Modifier]]-R782*(1+Table7[Monthly SF Inter])</f>
        <v>14.294091166069004</v>
      </c>
      <c r="R783" s="25">
        <f>IF(MOD(Table9[[#This Row],[Month]],12)=0,Table9[[#This Row],[Q2 ACC FACTOR]],0)</f>
        <v>0</v>
      </c>
      <c r="S783" s="25">
        <f>S782*(1+D782)+Table9[[#This Row],[ACC FACTOR PAYMENTS]]</f>
        <v>12032.533580700183</v>
      </c>
    </row>
    <row r="784" spans="1:19" x14ac:dyDescent="0.25">
      <c r="A784" s="1">
        <v>772</v>
      </c>
      <c r="B784" s="1">
        <f t="shared" si="12"/>
        <v>0</v>
      </c>
      <c r="C784" s="7">
        <f>G$12/-PV(Table7[Monthly mortgage rate], (12*Table7[Amortization period (yrs)]),1 )</f>
        <v>4377.9977174134756</v>
      </c>
      <c r="D784" s="11">
        <f>IF(Table1[[#This Row],[Month]]&lt;=(12*Table7[mortgage term (yrs)]),Table7[Monthly mortgage rate],Table7[Monthly Exp Renewal Rate])</f>
        <v>4.9038466830562122E-3</v>
      </c>
      <c r="E784" s="21">
        <f>Table1[[#This Row],[Current mortgage rate]]*G783</f>
        <v>-62274.90491171553</v>
      </c>
      <c r="F784" s="5">
        <f>Table1[[#This Row],[Payment amount]]-Table1[[#This Row],[Interest paid]]</f>
        <v>66652.902629129007</v>
      </c>
      <c r="G784" s="20">
        <f>G783-Table1[[#This Row],[Principal repaid]]-Table1[[#This Row],[Annual paym]]</f>
        <v>-12765847.827888109</v>
      </c>
      <c r="H784" s="20">
        <f>H783-(Table1[[#This Row],[Payment amount]]-Table1[[#This Row],[Interest Paid W/O LSP]])</f>
        <v>-8335069.0509695858</v>
      </c>
      <c r="I784">
        <f>H783*Table1[[#This Row],[Current mortgage rate]]</f>
        <v>-40653.075240880702</v>
      </c>
      <c r="J784" s="25">
        <f>IF(Table1[[#This Row],[Month]]&gt;Table7[Amortization period (yrs)]*12,0,IF(Table1[[#This Row],[Month]]&lt;Table7[mortgage term (yrs)]*12,0,IF(Table1[[#This Row],[Month]]=Table7[mortgage term (yrs)]*12,-H$5,Table1[[#This Row],[Payment amount]]+B784)))</f>
        <v>0</v>
      </c>
      <c r="K784">
        <v>773</v>
      </c>
      <c r="L784">
        <f>Table7[Initial Monthly Deposit]*Table9[[#This Row],[Inflation Modifier]]</f>
        <v>1420.5972973107494</v>
      </c>
      <c r="M784">
        <f xml:space="preserve"> (1+Table7[Inflation])^(QUOTIENT(Table9[[#This Row],[Month]]-1,12))</f>
        <v>3.5514932432768735</v>
      </c>
      <c r="N784">
        <f>N783*(1+Table7[Monthly SF Inter])+Table9[[#This Row],[Monthly Payment]]-O783*(1+Table7[Monthly SF Inter])</f>
        <v>337158.42293018661</v>
      </c>
      <c r="O784">
        <f>IF(MOD(Table9[[#This Row],[Month]],12)=0,(IF(Table9[[#This Row],[Current Balance]]&lt;Table9[[#This Row],[Max Lump Sum ]],Table9[[#This Row],[Current Balance]],Table9[[#This Row],[Max Lump Sum ]])),0)</f>
        <v>0</v>
      </c>
      <c r="P784" s="21">
        <f>Table7[Max annual lump sum repayment]*SUM(C785:C796)</f>
        <v>7880.3958913442566</v>
      </c>
      <c r="Q784" s="25">
        <f>Q783*(1+Table7[Monthly SF Inter])+Table9[[#This Row],[Inflation Modifier]]-R783*(1+Table7[Monthly SF Inter])</f>
        <v>17.904532032965811</v>
      </c>
      <c r="R784" s="25">
        <f>IF(MOD(Table9[[#This Row],[Month]],12)=0,Table9[[#This Row],[Q2 ACC FACTOR]],0)</f>
        <v>0</v>
      </c>
      <c r="S784" s="25">
        <f>S783*(1+D783)+Table9[[#This Row],[ACC FACTOR PAYMENTS]]</f>
        <v>12091.539280588662</v>
      </c>
    </row>
    <row r="785" spans="1:19" x14ac:dyDescent="0.25">
      <c r="A785" s="1">
        <v>773</v>
      </c>
      <c r="B785" s="1">
        <f t="shared" si="12"/>
        <v>0</v>
      </c>
      <c r="C785" s="7">
        <f>G$12/-PV(Table7[Monthly mortgage rate], (12*Table7[Amortization period (yrs)]),1 )</f>
        <v>4377.9977174134756</v>
      </c>
      <c r="D785" s="11">
        <f>IF(Table1[[#This Row],[Month]]&lt;=(12*Table7[mortgage term (yrs)]),Table7[Monthly mortgage rate],Table7[Monthly Exp Renewal Rate])</f>
        <v>4.9038466830562122E-3</v>
      </c>
      <c r="E785" s="21">
        <f>Table1[[#This Row],[Current mortgage rate]]*G784</f>
        <v>-62601.76052718945</v>
      </c>
      <c r="F785" s="5">
        <f>Table1[[#This Row],[Payment amount]]-Table1[[#This Row],[Interest paid]]</f>
        <v>66979.758244602926</v>
      </c>
      <c r="G785" s="20">
        <f>G784-Table1[[#This Row],[Principal repaid]]-Table1[[#This Row],[Annual paym]]</f>
        <v>-12832827.586132711</v>
      </c>
      <c r="H785" s="20">
        <f>H784-(Table1[[#This Row],[Payment amount]]-Table1[[#This Row],[Interest Paid W/O LSP]])</f>
        <v>-8380320.9494056413</v>
      </c>
      <c r="I785">
        <f>H784*Table1[[#This Row],[Current mortgage rate]]</f>
        <v>-40873.900718641693</v>
      </c>
      <c r="J785" s="25">
        <f>IF(Table1[[#This Row],[Month]]&gt;Table7[Amortization period (yrs)]*12,0,IF(Table1[[#This Row],[Month]]&lt;Table7[mortgage term (yrs)]*12,0,IF(Table1[[#This Row],[Month]]=Table7[mortgage term (yrs)]*12,-H$5,Table1[[#This Row],[Payment amount]]+B785)))</f>
        <v>0</v>
      </c>
      <c r="K785">
        <v>774</v>
      </c>
      <c r="L785">
        <f>Table7[Initial Monthly Deposit]*Table9[[#This Row],[Inflation Modifier]]</f>
        <v>1420.5972973107494</v>
      </c>
      <c r="M785">
        <f xml:space="preserve"> (1+Table7[Inflation])^(QUOTIENT(Table9[[#This Row],[Month]]-1,12))</f>
        <v>3.5514932432768735</v>
      </c>
      <c r="N785">
        <f>N784*(1+Table7[Monthly SF Inter])+Table9[[#This Row],[Monthly Payment]]-O784*(1+Table7[Monthly SF Inter])</f>
        <v>339969.43306202284</v>
      </c>
      <c r="O785">
        <f>IF(MOD(Table9[[#This Row],[Month]],12)=0,(IF(Table9[[#This Row],[Current Balance]]&lt;Table9[[#This Row],[Max Lump Sum ]],Table9[[#This Row],[Current Balance]],Table9[[#This Row],[Max Lump Sum ]])),0)</f>
        <v>0</v>
      </c>
      <c r="P785" s="21">
        <f>Table7[Max annual lump sum repayment]*SUM(C786:C797)</f>
        <v>7880.3958913442566</v>
      </c>
      <c r="Q785" s="25">
        <f>Q784*(1+Table7[Monthly SF Inter])+Table9[[#This Row],[Inflation Modifier]]-R784*(1+Table7[Monthly SF Inter])</f>
        <v>21.529862052789603</v>
      </c>
      <c r="R785" s="25">
        <f>IF(MOD(Table9[[#This Row],[Month]],12)=0,Table9[[#This Row],[Q2 ACC FACTOR]],0)</f>
        <v>0</v>
      </c>
      <c r="S785" s="25">
        <f>S784*(1+D784)+Table9[[#This Row],[ACC FACTOR PAYMENTS]]</f>
        <v>12150.83433538282</v>
      </c>
    </row>
    <row r="786" spans="1:19" x14ac:dyDescent="0.25">
      <c r="A786" s="1">
        <v>774</v>
      </c>
      <c r="B786" s="1">
        <f t="shared" si="12"/>
        <v>0</v>
      </c>
      <c r="C786" s="7">
        <f>G$12/-PV(Table7[Monthly mortgage rate], (12*Table7[Amortization period (yrs)]),1 )</f>
        <v>4377.9977174134756</v>
      </c>
      <c r="D786" s="11">
        <f>IF(Table1[[#This Row],[Month]]&lt;=(12*Table7[mortgage term (yrs)]),Table7[Monthly mortgage rate],Table7[Monthly Exp Renewal Rate])</f>
        <v>4.9038466830562122E-3</v>
      </c>
      <c r="E786" s="21">
        <f>Table1[[#This Row],[Current mortgage rate]]*G785</f>
        <v>-62930.21899248915</v>
      </c>
      <c r="F786" s="5">
        <f>Table1[[#This Row],[Payment amount]]-Table1[[#This Row],[Interest paid]]</f>
        <v>67308.216709902626</v>
      </c>
      <c r="G786" s="20">
        <f>G785-Table1[[#This Row],[Principal repaid]]-Table1[[#This Row],[Annual paym]]</f>
        <v>-12900135.802842613</v>
      </c>
      <c r="H786" s="20">
        <f>H785-(Table1[[#This Row],[Payment amount]]-Table1[[#This Row],[Interest Paid W/O LSP]])</f>
        <v>-8425794.7562137432</v>
      </c>
      <c r="I786">
        <f>H785*Table1[[#This Row],[Current mortgage rate]]</f>
        <v>-41095.809090689341</v>
      </c>
      <c r="J786" s="25">
        <f>IF(Table1[[#This Row],[Month]]&gt;Table7[Amortization period (yrs)]*12,0,IF(Table1[[#This Row],[Month]]&lt;Table7[mortgage term (yrs)]*12,0,IF(Table1[[#This Row],[Month]]=Table7[mortgage term (yrs)]*12,-H$5,Table1[[#This Row],[Payment amount]]+B786)))</f>
        <v>0</v>
      </c>
      <c r="K786">
        <v>775</v>
      </c>
      <c r="L786">
        <f>Table7[Initial Monthly Deposit]*Table9[[#This Row],[Inflation Modifier]]</f>
        <v>1420.5972973107494</v>
      </c>
      <c r="M786">
        <f xml:space="preserve"> (1+Table7[Inflation])^(QUOTIENT(Table9[[#This Row],[Month]]-1,12))</f>
        <v>3.5514932432768735</v>
      </c>
      <c r="N786">
        <f>N785*(1+Table7[Monthly SF Inter])+Table9[[#This Row],[Monthly Payment]]-O785*(1+Table7[Monthly SF Inter])</f>
        <v>342792.03556201438</v>
      </c>
      <c r="O786">
        <f>IF(MOD(Table9[[#This Row],[Month]],12)=0,(IF(Table9[[#This Row],[Current Balance]]&lt;Table9[[#This Row],[Max Lump Sum ]],Table9[[#This Row],[Current Balance]],Table9[[#This Row],[Max Lump Sum ]])),0)</f>
        <v>0</v>
      </c>
      <c r="P786" s="21">
        <f>Table7[Max annual lump sum repayment]*SUM(C787:C798)</f>
        <v>7880.3958913442566</v>
      </c>
      <c r="Q786" s="25">
        <f>Q785*(1+Table7[Monthly SF Inter])+Table9[[#This Row],[Inflation Modifier]]-R785*(1+Table7[Monthly SF Inter])</f>
        <v>25.170142627148397</v>
      </c>
      <c r="R786" s="25">
        <f>IF(MOD(Table9[[#This Row],[Month]],12)=0,Table9[[#This Row],[Q2 ACC FACTOR]],0)</f>
        <v>0</v>
      </c>
      <c r="S786" s="25">
        <f>S785*(1+D785)+Table9[[#This Row],[ACC FACTOR PAYMENTS]]</f>
        <v>12210.420164034753</v>
      </c>
    </row>
    <row r="787" spans="1:19" x14ac:dyDescent="0.25">
      <c r="A787" s="1">
        <v>775</v>
      </c>
      <c r="B787" s="1">
        <f t="shared" si="12"/>
        <v>0</v>
      </c>
      <c r="C787" s="7">
        <f>G$12/-PV(Table7[Monthly mortgage rate], (12*Table7[Amortization period (yrs)]),1 )</f>
        <v>4377.9977174134756</v>
      </c>
      <c r="D787" s="11">
        <f>IF(Table1[[#This Row],[Month]]&lt;=(12*Table7[mortgage term (yrs)]),Table7[Monthly mortgage rate],Table7[Monthly Exp Renewal Rate])</f>
        <v>4.9038466830562122E-3</v>
      </c>
      <c r="E787" s="21">
        <f>Table1[[#This Row],[Current mortgage rate]]*G786</f>
        <v>-63260.288167744438</v>
      </c>
      <c r="F787" s="5">
        <f>Table1[[#This Row],[Payment amount]]-Table1[[#This Row],[Interest paid]]</f>
        <v>67638.285885157908</v>
      </c>
      <c r="G787" s="20">
        <f>G786-Table1[[#This Row],[Principal repaid]]-Table1[[#This Row],[Annual paym]]</f>
        <v>-12967774.08872777</v>
      </c>
      <c r="H787" s="20">
        <f>H786-(Table1[[#This Row],[Payment amount]]-Table1[[#This Row],[Interest Paid W/O LSP]])</f>
        <v>-8471491.5595985278</v>
      </c>
      <c r="I787">
        <f>H786*Table1[[#This Row],[Current mortgage rate]]</f>
        <v>-41318.805667371191</v>
      </c>
      <c r="J787" s="25">
        <f>IF(Table1[[#This Row],[Month]]&gt;Table7[Amortization period (yrs)]*12,0,IF(Table1[[#This Row],[Month]]&lt;Table7[mortgage term (yrs)]*12,0,IF(Table1[[#This Row],[Month]]=Table7[mortgage term (yrs)]*12,-H$5,Table1[[#This Row],[Payment amount]]+B787)))</f>
        <v>0</v>
      </c>
      <c r="K787">
        <v>776</v>
      </c>
      <c r="L787">
        <f>Table7[Initial Monthly Deposit]*Table9[[#This Row],[Inflation Modifier]]</f>
        <v>1420.5972973107494</v>
      </c>
      <c r="M787">
        <f xml:space="preserve"> (1+Table7[Inflation])^(QUOTIENT(Table9[[#This Row],[Month]]-1,12))</f>
        <v>3.5514932432768735</v>
      </c>
      <c r="N787">
        <f>N786*(1+Table7[Monthly SF Inter])+Table9[[#This Row],[Monthly Payment]]-O786*(1+Table7[Monthly SF Inter])</f>
        <v>345626.27823610761</v>
      </c>
      <c r="O787">
        <f>IF(MOD(Table9[[#This Row],[Month]],12)=0,(IF(Table9[[#This Row],[Current Balance]]&lt;Table9[[#This Row],[Max Lump Sum ]],Table9[[#This Row],[Current Balance]],Table9[[#This Row],[Max Lump Sum ]])),0)</f>
        <v>0</v>
      </c>
      <c r="P787" s="21">
        <f>Table7[Max annual lump sum repayment]*SUM(C788:C799)</f>
        <v>7880.3958913442566</v>
      </c>
      <c r="Q787" s="25">
        <f>Q786*(1+Table7[Monthly SF Inter])+Table9[[#This Row],[Inflation Modifier]]-R786*(1+Table7[Monthly SF Inter])</f>
        <v>28.825435410865254</v>
      </c>
      <c r="R787" s="25">
        <f>IF(MOD(Table9[[#This Row],[Month]],12)=0,Table9[[#This Row],[Q2 ACC FACTOR]],0)</f>
        <v>0</v>
      </c>
      <c r="S787" s="25">
        <f>S786*(1+D786)+Table9[[#This Row],[ACC FACTOR PAYMENTS]]</f>
        <v>12270.298192454877</v>
      </c>
    </row>
    <row r="788" spans="1:19" x14ac:dyDescent="0.25">
      <c r="A788" s="1">
        <v>776</v>
      </c>
      <c r="B788" s="1">
        <f t="shared" si="12"/>
        <v>0</v>
      </c>
      <c r="C788" s="7">
        <f>G$12/-PV(Table7[Monthly mortgage rate], (12*Table7[Amortization period (yrs)]),1 )</f>
        <v>4377.9977174134756</v>
      </c>
      <c r="D788" s="11">
        <f>IF(Table1[[#This Row],[Month]]&lt;=(12*Table7[mortgage term (yrs)]),Table7[Monthly mortgage rate],Table7[Monthly Exp Renewal Rate])</f>
        <v>4.9038466830562122E-3</v>
      </c>
      <c r="E788" s="21">
        <f>Table1[[#This Row],[Current mortgage rate]]*G787</f>
        <v>-63591.975951629975</v>
      </c>
      <c r="F788" s="5">
        <f>Table1[[#This Row],[Payment amount]]-Table1[[#This Row],[Interest paid]]</f>
        <v>67969.973669043451</v>
      </c>
      <c r="G788" s="20">
        <f>G787-Table1[[#This Row],[Principal repaid]]-Table1[[#This Row],[Annual paym]]</f>
        <v>-13035744.062396813</v>
      </c>
      <c r="H788" s="20">
        <f>H787-(Table1[[#This Row],[Payment amount]]-Table1[[#This Row],[Interest Paid W/O LSP]])</f>
        <v>-8517412.4531010166</v>
      </c>
      <c r="I788">
        <f>H787*Table1[[#This Row],[Current mortgage rate]]</f>
        <v>-41542.89578507594</v>
      </c>
      <c r="J788" s="25">
        <f>IF(Table1[[#This Row],[Month]]&gt;Table7[Amortization period (yrs)]*12,0,IF(Table1[[#This Row],[Month]]&lt;Table7[mortgage term (yrs)]*12,0,IF(Table1[[#This Row],[Month]]=Table7[mortgage term (yrs)]*12,-H$5,Table1[[#This Row],[Payment amount]]+B788)))</f>
        <v>0</v>
      </c>
      <c r="K788">
        <v>777</v>
      </c>
      <c r="L788">
        <f>Table7[Initial Monthly Deposit]*Table9[[#This Row],[Inflation Modifier]]</f>
        <v>1420.5972973107494</v>
      </c>
      <c r="M788">
        <f xml:space="preserve"> (1+Table7[Inflation])^(QUOTIENT(Table9[[#This Row],[Month]]-1,12))</f>
        <v>3.5514932432768735</v>
      </c>
      <c r="N788">
        <f>N787*(1+Table7[Monthly SF Inter])+Table9[[#This Row],[Monthly Payment]]-O787*(1+Table7[Monthly SF Inter])</f>
        <v>348472.20908739651</v>
      </c>
      <c r="O788">
        <f>IF(MOD(Table9[[#This Row],[Month]],12)=0,(IF(Table9[[#This Row],[Current Balance]]&lt;Table9[[#This Row],[Max Lump Sum ]],Table9[[#This Row],[Current Balance]],Table9[[#This Row],[Max Lump Sum ]])),0)</f>
        <v>0</v>
      </c>
      <c r="P788" s="21">
        <f>Table7[Max annual lump sum repayment]*SUM(C789:C800)</f>
        <v>7880.3958913442566</v>
      </c>
      <c r="Q788" s="25">
        <f>Q787*(1+Table7[Monthly SF Inter])+Table9[[#This Row],[Inflation Modifier]]-R787*(1+Table7[Monthly SF Inter])</f>
        <v>32.495802313022509</v>
      </c>
      <c r="R788" s="25">
        <f>IF(MOD(Table9[[#This Row],[Month]],12)=0,Table9[[#This Row],[Q2 ACC FACTOR]],0)</f>
        <v>0</v>
      </c>
      <c r="S788" s="25">
        <f>S787*(1+D787)+Table9[[#This Row],[ACC FACTOR PAYMENTS]]</f>
        <v>12330.469853546057</v>
      </c>
    </row>
    <row r="789" spans="1:19" x14ac:dyDescent="0.25">
      <c r="A789" s="1">
        <v>777</v>
      </c>
      <c r="B789" s="1">
        <f t="shared" si="12"/>
        <v>0</v>
      </c>
      <c r="C789" s="7">
        <f>G$12/-PV(Table7[Monthly mortgage rate], (12*Table7[Amortization period (yrs)]),1 )</f>
        <v>4377.9977174134756</v>
      </c>
      <c r="D789" s="11">
        <f>IF(Table1[[#This Row],[Month]]&lt;=(12*Table7[mortgage term (yrs)]),Table7[Monthly mortgage rate],Table7[Monthly Exp Renewal Rate])</f>
        <v>4.9038466830562122E-3</v>
      </c>
      <c r="E789" s="21">
        <f>Table1[[#This Row],[Current mortgage rate]]*G788</f>
        <v>-63925.290281554328</v>
      </c>
      <c r="F789" s="5">
        <f>Table1[[#This Row],[Payment amount]]-Table1[[#This Row],[Interest paid]]</f>
        <v>68303.287998967804</v>
      </c>
      <c r="G789" s="20">
        <f>G788-Table1[[#This Row],[Principal repaid]]-Table1[[#This Row],[Annual paym]]</f>
        <v>-13104047.35039578</v>
      </c>
      <c r="H789" s="20">
        <f>H788-(Table1[[#This Row],[Payment amount]]-Table1[[#This Row],[Interest Paid W/O LSP]])</f>
        <v>-8563558.5356247909</v>
      </c>
      <c r="I789">
        <f>H788*Table1[[#This Row],[Current mortgage rate]]</f>
        <v>-41768.084806361097</v>
      </c>
      <c r="J789" s="25">
        <f>IF(Table1[[#This Row],[Month]]&gt;Table7[Amortization period (yrs)]*12,0,IF(Table1[[#This Row],[Month]]&lt;Table7[mortgage term (yrs)]*12,0,IF(Table1[[#This Row],[Month]]=Table7[mortgage term (yrs)]*12,-H$5,Table1[[#This Row],[Payment amount]]+B789)))</f>
        <v>0</v>
      </c>
      <c r="K789">
        <v>778</v>
      </c>
      <c r="L789">
        <f>Table7[Initial Monthly Deposit]*Table9[[#This Row],[Inflation Modifier]]</f>
        <v>1420.5972973107494</v>
      </c>
      <c r="M789">
        <f xml:space="preserve"> (1+Table7[Inflation])^(QUOTIENT(Table9[[#This Row],[Month]]-1,12))</f>
        <v>3.5514932432768735</v>
      </c>
      <c r="N789">
        <f>N788*(1+Table7[Monthly SF Inter])+Table9[[#This Row],[Monthly Payment]]-O788*(1+Table7[Monthly SF Inter])</f>
        <v>351329.87631693576</v>
      </c>
      <c r="O789">
        <f>IF(MOD(Table9[[#This Row],[Month]],12)=0,(IF(Table9[[#This Row],[Current Balance]]&lt;Table9[[#This Row],[Max Lump Sum ]],Table9[[#This Row],[Current Balance]],Table9[[#This Row],[Max Lump Sum ]])),0)</f>
        <v>0</v>
      </c>
      <c r="P789" s="21">
        <f>Table7[Max annual lump sum repayment]*SUM(C790:C801)</f>
        <v>7880.3958913442566</v>
      </c>
      <c r="Q789" s="25">
        <f>Q788*(1+Table7[Monthly SF Inter])+Table9[[#This Row],[Inflation Modifier]]-R788*(1+Table7[Monthly SF Inter])</f>
        <v>36.181305498010325</v>
      </c>
      <c r="R789" s="25">
        <f>IF(MOD(Table9[[#This Row],[Month]],12)=0,Table9[[#This Row],[Q2 ACC FACTOR]],0)</f>
        <v>0</v>
      </c>
      <c r="S789" s="25">
        <f>S788*(1+D788)+Table9[[#This Row],[ACC FACTOR PAYMENTS]]</f>
        <v>12390.936587237895</v>
      </c>
    </row>
    <row r="790" spans="1:19" x14ac:dyDescent="0.25">
      <c r="A790" s="1">
        <v>778</v>
      </c>
      <c r="B790" s="1">
        <f t="shared" si="12"/>
        <v>0</v>
      </c>
      <c r="C790" s="7">
        <f>G$12/-PV(Table7[Monthly mortgage rate], (12*Table7[Amortization period (yrs)]),1 )</f>
        <v>4377.9977174134756</v>
      </c>
      <c r="D790" s="11">
        <f>IF(Table1[[#This Row],[Month]]&lt;=(12*Table7[mortgage term (yrs)]),Table7[Monthly mortgage rate],Table7[Monthly Exp Renewal Rate])</f>
        <v>4.9038466830562122E-3</v>
      </c>
      <c r="E790" s="21">
        <f>Table1[[#This Row],[Current mortgage rate]]*G789</f>
        <v>-64260.239133849893</v>
      </c>
      <c r="F790" s="5">
        <f>Table1[[#This Row],[Payment amount]]-Table1[[#This Row],[Interest paid]]</f>
        <v>68638.236851263369</v>
      </c>
      <c r="G790" s="20">
        <f>G789-Table1[[#This Row],[Principal repaid]]-Table1[[#This Row],[Annual paym]]</f>
        <v>-13172685.587247044</v>
      </c>
      <c r="H790" s="20">
        <f>H789-(Table1[[#This Row],[Payment amount]]-Table1[[#This Row],[Interest Paid W/O LSP]])</f>
        <v>-8609930.9114622865</v>
      </c>
      <c r="I790">
        <f>H789*Table1[[#This Row],[Current mortgage rate]]</f>
        <v>-41994.378120081346</v>
      </c>
      <c r="J790" s="25">
        <f>IF(Table1[[#This Row],[Month]]&gt;Table7[Amortization period (yrs)]*12,0,IF(Table1[[#This Row],[Month]]&lt;Table7[mortgage term (yrs)]*12,0,IF(Table1[[#This Row],[Month]]=Table7[mortgage term (yrs)]*12,-H$5,Table1[[#This Row],[Payment amount]]+B790)))</f>
        <v>0</v>
      </c>
      <c r="K790">
        <v>779</v>
      </c>
      <c r="L790">
        <f>Table7[Initial Monthly Deposit]*Table9[[#This Row],[Inflation Modifier]]</f>
        <v>1420.5972973107494</v>
      </c>
      <c r="M790">
        <f xml:space="preserve"> (1+Table7[Inflation])^(QUOTIENT(Table9[[#This Row],[Month]]-1,12))</f>
        <v>3.5514932432768735</v>
      </c>
      <c r="N790">
        <f>N789*(1+Table7[Monthly SF Inter])+Table9[[#This Row],[Monthly Payment]]-O789*(1+Table7[Monthly SF Inter])</f>
        <v>354199.32832455717</v>
      </c>
      <c r="O790">
        <f>IF(MOD(Table9[[#This Row],[Month]],12)=0,(IF(Table9[[#This Row],[Current Balance]]&lt;Table9[[#This Row],[Max Lump Sum ]],Table9[[#This Row],[Current Balance]],Table9[[#This Row],[Max Lump Sum ]])),0)</f>
        <v>0</v>
      </c>
      <c r="P790" s="21">
        <f>Table7[Max annual lump sum repayment]*SUM(C791:C802)</f>
        <v>7880.3958913442566</v>
      </c>
      <c r="Q790" s="25">
        <f>Q789*(1+Table7[Monthly SF Inter])+Table9[[#This Row],[Inflation Modifier]]-R789*(1+Table7[Monthly SF Inter])</f>
        <v>39.882007386579552</v>
      </c>
      <c r="R790" s="25">
        <f>IF(MOD(Table9[[#This Row],[Month]],12)=0,Table9[[#This Row],[Q2 ACC FACTOR]],0)</f>
        <v>0</v>
      </c>
      <c r="S790" s="25">
        <f>S789*(1+D789)+Table9[[#This Row],[ACC FACTOR PAYMENTS]]</f>
        <v>12451.699840521182</v>
      </c>
    </row>
    <row r="791" spans="1:19" x14ac:dyDescent="0.25">
      <c r="A791" s="1">
        <v>779</v>
      </c>
      <c r="B791" s="1">
        <f t="shared" si="12"/>
        <v>0</v>
      </c>
      <c r="C791" s="7">
        <f>G$12/-PV(Table7[Monthly mortgage rate], (12*Table7[Amortization period (yrs)]),1 )</f>
        <v>4377.9977174134756</v>
      </c>
      <c r="D791" s="11">
        <f>IF(Table1[[#This Row],[Month]]&lt;=(12*Table7[mortgage term (yrs)]),Table7[Monthly mortgage rate],Table7[Monthly Exp Renewal Rate])</f>
        <v>4.9038466830562122E-3</v>
      </c>
      <c r="E791" s="21">
        <f>Table1[[#This Row],[Current mortgage rate]]*G790</f>
        <v>-64596.830523963792</v>
      </c>
      <c r="F791" s="5">
        <f>Table1[[#This Row],[Payment amount]]-Table1[[#This Row],[Interest paid]]</f>
        <v>68974.828241377269</v>
      </c>
      <c r="G791" s="20">
        <f>G790-Table1[[#This Row],[Principal repaid]]-Table1[[#This Row],[Annual paym]]</f>
        <v>-13241660.415488422</v>
      </c>
      <c r="H791" s="20">
        <f>H790-(Table1[[#This Row],[Payment amount]]-Table1[[#This Row],[Interest Paid W/O LSP]])</f>
        <v>-8656530.6903212182</v>
      </c>
      <c r="I791">
        <f>H790*Table1[[#This Row],[Current mortgage rate]]</f>
        <v>-42221.78114151748</v>
      </c>
      <c r="J791" s="25">
        <f>IF(Table1[[#This Row],[Month]]&gt;Table7[Amortization period (yrs)]*12,0,IF(Table1[[#This Row],[Month]]&lt;Table7[mortgage term (yrs)]*12,0,IF(Table1[[#This Row],[Month]]=Table7[mortgage term (yrs)]*12,-H$5,Table1[[#This Row],[Payment amount]]+B791)))</f>
        <v>0</v>
      </c>
      <c r="K791">
        <v>780</v>
      </c>
      <c r="L791">
        <f>Table7[Initial Monthly Deposit]*Table9[[#This Row],[Inflation Modifier]]</f>
        <v>1420.5972973107494</v>
      </c>
      <c r="M791">
        <f xml:space="preserve"> (1+Table7[Inflation])^(QUOTIENT(Table9[[#This Row],[Month]]-1,12))</f>
        <v>3.5514932432768735</v>
      </c>
      <c r="N791">
        <f>N790*(1+Table7[Monthly SF Inter])+Table9[[#This Row],[Monthly Payment]]-O790*(1+Table7[Monthly SF Inter])</f>
        <v>357080.61370968929</v>
      </c>
      <c r="O791">
        <f>IF(MOD(Table9[[#This Row],[Month]],12)=0,(IF(Table9[[#This Row],[Current Balance]]&lt;Table9[[#This Row],[Max Lump Sum ]],Table9[[#This Row],[Current Balance]],Table9[[#This Row],[Max Lump Sum ]])),0)</f>
        <v>7880.3958913442566</v>
      </c>
      <c r="P791" s="21">
        <f>Table7[Max annual lump sum repayment]*SUM(C792:C803)</f>
        <v>7880.3958913442566</v>
      </c>
      <c r="Q791" s="25">
        <f>Q790*(1+Table7[Monthly SF Inter])+Table9[[#This Row],[Inflation Modifier]]-R790*(1+Table7[Monthly SF Inter])</f>
        <v>43.597970656898937</v>
      </c>
      <c r="R791" s="25">
        <f>IF(MOD(Table9[[#This Row],[Month]],12)=0,Table9[[#This Row],[Q2 ACC FACTOR]],0)</f>
        <v>43.597970656898937</v>
      </c>
      <c r="S791" s="25">
        <f>S790*(1+D790)+Table9[[#This Row],[ACC FACTOR PAYMENTS]]</f>
        <v>12556.359038139433</v>
      </c>
    </row>
    <row r="792" spans="1:19" x14ac:dyDescent="0.25">
      <c r="A792" s="1">
        <v>780</v>
      </c>
      <c r="B792" s="1">
        <f t="shared" si="12"/>
        <v>7880.3958913442566</v>
      </c>
      <c r="C792" s="7">
        <f>G$12/-PV(Table7[Monthly mortgage rate], (12*Table7[Amortization period (yrs)]),1 )</f>
        <v>4377.9977174134756</v>
      </c>
      <c r="D792" s="11">
        <f>IF(Table1[[#This Row],[Month]]&lt;=(12*Table7[mortgage term (yrs)]),Table7[Monthly mortgage rate],Table7[Monthly Exp Renewal Rate])</f>
        <v>4.9038466830562122E-3</v>
      </c>
      <c r="E792" s="21">
        <f>Table1[[#This Row],[Current mortgage rate]]*G791</f>
        <v>-64935.072506649645</v>
      </c>
      <c r="F792" s="5">
        <f>Table1[[#This Row],[Payment amount]]-Table1[[#This Row],[Interest paid]]</f>
        <v>69313.070224063122</v>
      </c>
      <c r="G792" s="20">
        <f>G791-Table1[[#This Row],[Principal repaid]]-Table1[[#This Row],[Annual paym]]</f>
        <v>-13318853.88160383</v>
      </c>
      <c r="H792" s="20">
        <f>H791-(Table1[[#This Row],[Payment amount]]-Table1[[#This Row],[Interest Paid W/O LSP]])</f>
        <v>-8703358.9873511381</v>
      </c>
      <c r="I792">
        <f>H791*Table1[[#This Row],[Current mortgage rate]]</f>
        <v>-42450.299312506009</v>
      </c>
      <c r="J792" s="25">
        <f>IF(Table1[[#This Row],[Month]]&gt;Table7[Amortization period (yrs)]*12,0,IF(Table1[[#This Row],[Month]]&lt;Table7[mortgage term (yrs)]*12,0,IF(Table1[[#This Row],[Month]]=Table7[mortgage term (yrs)]*12,-H$5,Table1[[#This Row],[Payment amount]]+B792)))</f>
        <v>0</v>
      </c>
      <c r="K792">
        <v>781</v>
      </c>
      <c r="L792">
        <f>Table7[Initial Monthly Deposit]*Table9[[#This Row],[Inflation Modifier]]</f>
        <v>1449.0092432569645</v>
      </c>
      <c r="M792">
        <f xml:space="preserve"> (1+Table7[Inflation])^(QUOTIENT(Table9[[#This Row],[Month]]-1,12))</f>
        <v>3.6225231081424112</v>
      </c>
      <c r="N792">
        <f>N791*(1+Table7[Monthly SF Inter])+Table9[[#This Row],[Monthly Payment]]-O791*(1+Table7[Monthly SF Inter])</f>
        <v>352089.29924029479</v>
      </c>
      <c r="O792">
        <f>IF(MOD(Table9[[#This Row],[Month]],12)=0,(IF(Table9[[#This Row],[Current Balance]]&lt;Table9[[#This Row],[Max Lump Sum ]],Table9[[#This Row],[Current Balance]],Table9[[#This Row],[Max Lump Sum ]])),0)</f>
        <v>0</v>
      </c>
      <c r="P792" s="21">
        <f>Table7[Max annual lump sum repayment]*SUM(C793:C804)</f>
        <v>7880.3958913442566</v>
      </c>
      <c r="Q792" s="25">
        <f>Q791*(1+Table7[Monthly SF Inter])+Table9[[#This Row],[Inflation Modifier]]-R791*(1+Table7[Monthly SF Inter])</f>
        <v>3.6225231081424099</v>
      </c>
      <c r="R792" s="25">
        <f>IF(MOD(Table9[[#This Row],[Month]],12)=0,Table9[[#This Row],[Q2 ACC FACTOR]],0)</f>
        <v>0</v>
      </c>
      <c r="S792" s="25">
        <f>S791*(1+D791)+Table9[[#This Row],[ACC FACTOR PAYMENTS]]</f>
        <v>12617.933497759876</v>
      </c>
    </row>
    <row r="793" spans="1:19" x14ac:dyDescent="0.25">
      <c r="A793" s="1">
        <v>781</v>
      </c>
      <c r="B793" s="1">
        <f t="shared" si="12"/>
        <v>0</v>
      </c>
      <c r="C793" s="7">
        <f>G$12/-PV(Table7[Monthly mortgage rate], (12*Table7[Amortization period (yrs)]),1 )</f>
        <v>4377.9977174134756</v>
      </c>
      <c r="D793" s="11">
        <f>IF(Table1[[#This Row],[Month]]&lt;=(12*Table7[mortgage term (yrs)]),Table7[Monthly mortgage rate],Table7[Monthly Exp Renewal Rate])</f>
        <v>4.9038466830562122E-3</v>
      </c>
      <c r="E793" s="21">
        <f>Table1[[#This Row],[Current mortgage rate]]*G792</f>
        <v>-65313.617429413294</v>
      </c>
      <c r="F793" s="5">
        <f>Table1[[#This Row],[Payment amount]]-Table1[[#This Row],[Interest paid]]</f>
        <v>69691.615146826764</v>
      </c>
      <c r="G793" s="20">
        <f>G792-Table1[[#This Row],[Principal repaid]]-Table1[[#This Row],[Annual paym]]</f>
        <v>-13388545.496750657</v>
      </c>
      <c r="H793" s="20">
        <f>H792-(Table1[[#This Row],[Payment amount]]-Table1[[#This Row],[Interest Paid W/O LSP]])</f>
        <v>-8750416.9231701214</v>
      </c>
      <c r="I793">
        <f>H792*Table1[[#This Row],[Current mortgage rate]]</f>
        <v>-42679.938101569351</v>
      </c>
      <c r="J793" s="25">
        <f>IF(Table1[[#This Row],[Month]]&gt;Table7[Amortization period (yrs)]*12,0,IF(Table1[[#This Row],[Month]]&lt;Table7[mortgage term (yrs)]*12,0,IF(Table1[[#This Row],[Month]]=Table7[mortgage term (yrs)]*12,-H$5,Table1[[#This Row],[Payment amount]]+B793)))</f>
        <v>0</v>
      </c>
      <c r="K793">
        <v>782</v>
      </c>
      <c r="L793">
        <f>Table7[Initial Monthly Deposit]*Table9[[#This Row],[Inflation Modifier]]</f>
        <v>1449.0092432569645</v>
      </c>
      <c r="M793">
        <f xml:space="preserve"> (1+Table7[Inflation])^(QUOTIENT(Table9[[#This Row],[Month]]-1,12))</f>
        <v>3.6225231081424112</v>
      </c>
      <c r="N793">
        <f>N792*(1+Table7[Monthly SF Inter])+Table9[[#This Row],[Monthly Payment]]-O792*(1+Table7[Monthly SF Inter])</f>
        <v>354990.29498980055</v>
      </c>
      <c r="O793">
        <f>IF(MOD(Table9[[#This Row],[Month]],12)=0,(IF(Table9[[#This Row],[Current Balance]]&lt;Table9[[#This Row],[Max Lump Sum ]],Table9[[#This Row],[Current Balance]],Table9[[#This Row],[Max Lump Sum ]])),0)</f>
        <v>0</v>
      </c>
      <c r="P793" s="21">
        <f>Table7[Max annual lump sum repayment]*SUM(C794:C805)</f>
        <v>7880.3958913442566</v>
      </c>
      <c r="Q793" s="25">
        <f>Q792*(1+Table7[Monthly SF Inter])+Table9[[#This Row],[Inflation Modifier]]-R792*(1+Table7[Monthly SF Inter])</f>
        <v>7.2599851953533321</v>
      </c>
      <c r="R793" s="25">
        <f>IF(MOD(Table9[[#This Row],[Month]],12)=0,Table9[[#This Row],[Q2 ACC FACTOR]],0)</f>
        <v>0</v>
      </c>
      <c r="S793" s="25">
        <f>S792*(1+D792)+Table9[[#This Row],[ACC FACTOR PAYMENTS]]</f>
        <v>12679.809909089889</v>
      </c>
    </row>
    <row r="794" spans="1:19" x14ac:dyDescent="0.25">
      <c r="A794" s="1">
        <v>782</v>
      </c>
      <c r="B794" s="1">
        <f t="shared" si="12"/>
        <v>0</v>
      </c>
      <c r="C794" s="7">
        <f>G$12/-PV(Table7[Monthly mortgage rate], (12*Table7[Amortization period (yrs)]),1 )</f>
        <v>4377.9977174134756</v>
      </c>
      <c r="D794" s="11">
        <f>IF(Table1[[#This Row],[Month]]&lt;=(12*Table7[mortgage term (yrs)]),Table7[Monthly mortgage rate],Table7[Monthly Exp Renewal Rate])</f>
        <v>4.9038466830562122E-3</v>
      </c>
      <c r="E794" s="21">
        <f>Table1[[#This Row],[Current mortgage rate]]*G793</f>
        <v>-65655.374425187896</v>
      </c>
      <c r="F794" s="5">
        <f>Table1[[#This Row],[Payment amount]]-Table1[[#This Row],[Interest paid]]</f>
        <v>70033.372142601365</v>
      </c>
      <c r="G794" s="20">
        <f>G793-Table1[[#This Row],[Principal repaid]]-Table1[[#This Row],[Annual paym]]</f>
        <v>-13458578.868893258</v>
      </c>
      <c r="H794" s="20">
        <f>H793-(Table1[[#This Row],[Payment amount]]-Table1[[#This Row],[Interest Paid W/O LSP]])</f>
        <v>-8797705.6238915808</v>
      </c>
      <c r="I794">
        <f>H793*Table1[[#This Row],[Current mortgage rate]]</f>
        <v>-42910.703004046743</v>
      </c>
      <c r="J794" s="25">
        <f>IF(Table1[[#This Row],[Month]]&gt;Table7[Amortization period (yrs)]*12,0,IF(Table1[[#This Row],[Month]]&lt;Table7[mortgage term (yrs)]*12,0,IF(Table1[[#This Row],[Month]]=Table7[mortgage term (yrs)]*12,-H$5,Table1[[#This Row],[Payment amount]]+B794)))</f>
        <v>0</v>
      </c>
      <c r="K794">
        <v>783</v>
      </c>
      <c r="L794">
        <f>Table7[Initial Monthly Deposit]*Table9[[#This Row],[Inflation Modifier]]</f>
        <v>1449.0092432569645</v>
      </c>
      <c r="M794">
        <f xml:space="preserve"> (1+Table7[Inflation])^(QUOTIENT(Table9[[#This Row],[Month]]-1,12))</f>
        <v>3.6225231081424112</v>
      </c>
      <c r="N794">
        <f>N793*(1+Table7[Monthly SF Inter])+Table9[[#This Row],[Monthly Payment]]-O793*(1+Table7[Monthly SF Inter])</f>
        <v>357903.25420054205</v>
      </c>
      <c r="O794">
        <f>IF(MOD(Table9[[#This Row],[Month]],12)=0,(IF(Table9[[#This Row],[Current Balance]]&lt;Table9[[#This Row],[Max Lump Sum ]],Table9[[#This Row],[Current Balance]],Table9[[#This Row],[Max Lump Sum ]])),0)</f>
        <v>0</v>
      </c>
      <c r="P794" s="21">
        <f>Table7[Max annual lump sum repayment]*SUM(C795:C806)</f>
        <v>7880.3958913442566</v>
      </c>
      <c r="Q794" s="25">
        <f>Q793*(1+Table7[Monthly SF Inter])+Table9[[#This Row],[Inflation Modifier]]-R793*(1+Table7[Monthly SF Inter])</f>
        <v>10.912447868719578</v>
      </c>
      <c r="R794" s="25">
        <f>IF(MOD(Table9[[#This Row],[Month]],12)=0,Table9[[#This Row],[Q2 ACC FACTOR]],0)</f>
        <v>0</v>
      </c>
      <c r="S794" s="25">
        <f>S793*(1+D793)+Table9[[#This Row],[ACC FACTOR PAYMENTS]]</f>
        <v>12741.989752854362</v>
      </c>
    </row>
    <row r="795" spans="1:19" x14ac:dyDescent="0.25">
      <c r="A795" s="1">
        <v>783</v>
      </c>
      <c r="B795" s="1">
        <f t="shared" si="12"/>
        <v>0</v>
      </c>
      <c r="C795" s="7">
        <f>G$12/-PV(Table7[Monthly mortgage rate], (12*Table7[Amortization period (yrs)]),1 )</f>
        <v>4377.9977174134756</v>
      </c>
      <c r="D795" s="11">
        <f>IF(Table1[[#This Row],[Month]]&lt;=(12*Table7[mortgage term (yrs)]),Table7[Monthly mortgage rate],Table7[Monthly Exp Renewal Rate])</f>
        <v>4.9038466830562122E-3</v>
      </c>
      <c r="E795" s="21">
        <f>Table1[[#This Row],[Current mortgage rate]]*G794</f>
        <v>-65998.807344872635</v>
      </c>
      <c r="F795" s="5">
        <f>Table1[[#This Row],[Payment amount]]-Table1[[#This Row],[Interest paid]]</f>
        <v>70376.805062286105</v>
      </c>
      <c r="G795" s="20">
        <f>G794-Table1[[#This Row],[Principal repaid]]-Table1[[#This Row],[Annual paym]]</f>
        <v>-13528955.673955545</v>
      </c>
      <c r="H795" s="20">
        <f>H794-(Table1[[#This Row],[Payment amount]]-Table1[[#This Row],[Interest Paid W/O LSP]])</f>
        <v>-8845226.2211512197</v>
      </c>
      <c r="I795">
        <f>H794*Table1[[#This Row],[Current mortgage rate]]</f>
        <v>-43142.599542225711</v>
      </c>
      <c r="J795" s="25">
        <f>IF(Table1[[#This Row],[Month]]&gt;Table7[Amortization period (yrs)]*12,0,IF(Table1[[#This Row],[Month]]&lt;Table7[mortgage term (yrs)]*12,0,IF(Table1[[#This Row],[Month]]=Table7[mortgage term (yrs)]*12,-H$5,Table1[[#This Row],[Payment amount]]+B795)))</f>
        <v>0</v>
      </c>
      <c r="K795">
        <v>784</v>
      </c>
      <c r="L795">
        <f>Table7[Initial Monthly Deposit]*Table9[[#This Row],[Inflation Modifier]]</f>
        <v>1449.0092432569645</v>
      </c>
      <c r="M795">
        <f xml:space="preserve"> (1+Table7[Inflation])^(QUOTIENT(Table9[[#This Row],[Month]]-1,12))</f>
        <v>3.6225231081424112</v>
      </c>
      <c r="N795">
        <f>N794*(1+Table7[Monthly SF Inter])+Table9[[#This Row],[Monthly Payment]]-O794*(1+Table7[Monthly SF Inter])</f>
        <v>360828.22620882205</v>
      </c>
      <c r="O795">
        <f>IF(MOD(Table9[[#This Row],[Month]],12)=0,(IF(Table9[[#This Row],[Current Balance]]&lt;Table9[[#This Row],[Max Lump Sum ]],Table9[[#This Row],[Current Balance]],Table9[[#This Row],[Max Lump Sum ]])),0)</f>
        <v>0</v>
      </c>
      <c r="P795" s="21">
        <f>Table7[Max annual lump sum repayment]*SUM(C796:C807)</f>
        <v>7880.3958913442566</v>
      </c>
      <c r="Q795" s="25">
        <f>Q794*(1+Table7[Monthly SF Inter])+Table9[[#This Row],[Inflation Modifier]]-R794*(1+Table7[Monthly SF Inter])</f>
        <v>14.579972989390383</v>
      </c>
      <c r="R795" s="25">
        <f>IF(MOD(Table9[[#This Row],[Month]],12)=0,Table9[[#This Row],[Q2 ACC FACTOR]],0)</f>
        <v>0</v>
      </c>
      <c r="S795" s="25">
        <f>S794*(1+D794)+Table9[[#This Row],[ACC FACTOR PAYMENTS]]</f>
        <v>12804.474517039434</v>
      </c>
    </row>
    <row r="796" spans="1:19" x14ac:dyDescent="0.25">
      <c r="A796" s="1">
        <v>784</v>
      </c>
      <c r="B796" s="1">
        <f t="shared" si="12"/>
        <v>0</v>
      </c>
      <c r="C796" s="7">
        <f>G$12/-PV(Table7[Monthly mortgage rate], (12*Table7[Amortization period (yrs)]),1 )</f>
        <v>4377.9977174134756</v>
      </c>
      <c r="D796" s="11">
        <f>IF(Table1[[#This Row],[Month]]&lt;=(12*Table7[mortgage term (yrs)]),Table7[Monthly mortgage rate],Table7[Monthly Exp Renewal Rate])</f>
        <v>4.9038466830562122E-3</v>
      </c>
      <c r="E796" s="21">
        <f>Table1[[#This Row],[Current mortgage rate]]*G795</f>
        <v>-66343.924406941427</v>
      </c>
      <c r="F796" s="5">
        <f>Table1[[#This Row],[Payment amount]]-Table1[[#This Row],[Interest paid]]</f>
        <v>70721.922124354896</v>
      </c>
      <c r="G796" s="20">
        <f>G795-Table1[[#This Row],[Principal repaid]]-Table1[[#This Row],[Annual paym]]</f>
        <v>-13599677.596079899</v>
      </c>
      <c r="H796" s="20">
        <f>H795-(Table1[[#This Row],[Payment amount]]-Table1[[#This Row],[Interest Paid W/O LSP]])</f>
        <v>-8892979.8521341067</v>
      </c>
      <c r="I796">
        <f>H795*Table1[[#This Row],[Current mortgage rate]]</f>
        <v>-43375.633265474244</v>
      </c>
      <c r="J796" s="25">
        <f>IF(Table1[[#This Row],[Month]]&gt;Table7[Amortization period (yrs)]*12,0,IF(Table1[[#This Row],[Month]]&lt;Table7[mortgage term (yrs)]*12,0,IF(Table1[[#This Row],[Month]]=Table7[mortgage term (yrs)]*12,-H$5,Table1[[#This Row],[Payment amount]]+B796)))</f>
        <v>0</v>
      </c>
      <c r="K796">
        <v>785</v>
      </c>
      <c r="L796">
        <f>Table7[Initial Monthly Deposit]*Table9[[#This Row],[Inflation Modifier]]</f>
        <v>1449.0092432569645</v>
      </c>
      <c r="M796">
        <f xml:space="preserve"> (1+Table7[Inflation])^(QUOTIENT(Table9[[#This Row],[Month]]-1,12))</f>
        <v>3.6225231081424112</v>
      </c>
      <c r="N796">
        <f>N795*(1+Table7[Monthly SF Inter])+Table9[[#This Row],[Monthly Payment]]-O795*(1+Table7[Monthly SF Inter])</f>
        <v>363765.26055440208</v>
      </c>
      <c r="O796">
        <f>IF(MOD(Table9[[#This Row],[Month]],12)=0,(IF(Table9[[#This Row],[Current Balance]]&lt;Table9[[#This Row],[Max Lump Sum ]],Table9[[#This Row],[Current Balance]],Table9[[#This Row],[Max Lump Sum ]])),0)</f>
        <v>0</v>
      </c>
      <c r="P796" s="21">
        <f>Table7[Max annual lump sum repayment]*SUM(C797:C808)</f>
        <v>7880.3958913442566</v>
      </c>
      <c r="Q796" s="25">
        <f>Q795*(1+Table7[Monthly SF Inter])+Table9[[#This Row],[Inflation Modifier]]-R795*(1+Table7[Monthly SF Inter])</f>
        <v>18.262622673625124</v>
      </c>
      <c r="R796" s="25">
        <f>IF(MOD(Table9[[#This Row],[Month]],12)=0,Table9[[#This Row],[Q2 ACC FACTOR]],0)</f>
        <v>0</v>
      </c>
      <c r="S796" s="25">
        <f>S795*(1+D795)+Table9[[#This Row],[ACC FACTOR PAYMENTS]]</f>
        <v>12867.265696928096</v>
      </c>
    </row>
    <row r="797" spans="1:19" x14ac:dyDescent="0.25">
      <c r="A797" s="1">
        <v>785</v>
      </c>
      <c r="B797" s="1">
        <f t="shared" si="12"/>
        <v>0</v>
      </c>
      <c r="C797" s="7">
        <f>G$12/-PV(Table7[Monthly mortgage rate], (12*Table7[Amortization period (yrs)]),1 )</f>
        <v>4377.9977174134756</v>
      </c>
      <c r="D797" s="11">
        <f>IF(Table1[[#This Row],[Month]]&lt;=(12*Table7[mortgage term (yrs)]),Table7[Monthly mortgage rate],Table7[Monthly Exp Renewal Rate])</f>
        <v>4.9038466830562122E-3</v>
      </c>
      <c r="E797" s="21">
        <f>Table1[[#This Row],[Current mortgage rate]]*G796</f>
        <v>-66690.733870170297</v>
      </c>
      <c r="F797" s="5">
        <f>Table1[[#This Row],[Payment amount]]-Table1[[#This Row],[Interest paid]]</f>
        <v>71068.731587583767</v>
      </c>
      <c r="G797" s="20">
        <f>G796-Table1[[#This Row],[Principal repaid]]-Table1[[#This Row],[Annual paym]]</f>
        <v>-13670746.327667482</v>
      </c>
      <c r="H797" s="20">
        <f>H796-(Table1[[#This Row],[Payment amount]]-Table1[[#This Row],[Interest Paid W/O LSP]])</f>
        <v>-8940967.6596018933</v>
      </c>
      <c r="I797">
        <f>H796*Table1[[#This Row],[Current mortgage rate]]</f>
        <v>-43609.809750373563</v>
      </c>
      <c r="J797" s="25">
        <f>IF(Table1[[#This Row],[Month]]&gt;Table7[Amortization period (yrs)]*12,0,IF(Table1[[#This Row],[Month]]&lt;Table7[mortgage term (yrs)]*12,0,IF(Table1[[#This Row],[Month]]=Table7[mortgage term (yrs)]*12,-H$5,Table1[[#This Row],[Payment amount]]+B797)))</f>
        <v>0</v>
      </c>
      <c r="K797">
        <v>786</v>
      </c>
      <c r="L797">
        <f>Table7[Initial Monthly Deposit]*Table9[[#This Row],[Inflation Modifier]]</f>
        <v>1449.0092432569645</v>
      </c>
      <c r="M797">
        <f xml:space="preserve"> (1+Table7[Inflation])^(QUOTIENT(Table9[[#This Row],[Month]]-1,12))</f>
        <v>3.6225231081424112</v>
      </c>
      <c r="N797">
        <f>N796*(1+Table7[Monthly SF Inter])+Table9[[#This Row],[Monthly Payment]]-O796*(1+Table7[Monthly SF Inter])</f>
        <v>366714.40698134154</v>
      </c>
      <c r="O797">
        <f>IF(MOD(Table9[[#This Row],[Month]],12)=0,(IF(Table9[[#This Row],[Current Balance]]&lt;Table9[[#This Row],[Max Lump Sum ]],Table9[[#This Row],[Current Balance]],Table9[[#This Row],[Max Lump Sum ]])),0)</f>
        <v>0</v>
      </c>
      <c r="P797" s="21">
        <f>Table7[Max annual lump sum repayment]*SUM(C798:C809)</f>
        <v>7880.3958913442566</v>
      </c>
      <c r="Q797" s="25">
        <f>Q796*(1+Table7[Monthly SF Inter])+Table9[[#This Row],[Inflation Modifier]]-R796*(1+Table7[Monthly SF Inter])</f>
        <v>21.960459293845389</v>
      </c>
      <c r="R797" s="25">
        <f>IF(MOD(Table9[[#This Row],[Month]],12)=0,Table9[[#This Row],[Q2 ACC FACTOR]],0)</f>
        <v>0</v>
      </c>
      <c r="S797" s="25">
        <f>S796*(1+D796)+Table9[[#This Row],[ACC FACTOR PAYMENTS]]</f>
        <v>12930.36479513598</v>
      </c>
    </row>
    <row r="798" spans="1:19" x14ac:dyDescent="0.25">
      <c r="A798" s="1">
        <v>786</v>
      </c>
      <c r="B798" s="1">
        <f t="shared" si="12"/>
        <v>0</v>
      </c>
      <c r="C798" s="7">
        <f>G$12/-PV(Table7[Monthly mortgage rate], (12*Table7[Amortization period (yrs)]),1 )</f>
        <v>4377.9977174134756</v>
      </c>
      <c r="D798" s="11">
        <f>IF(Table1[[#This Row],[Month]]&lt;=(12*Table7[mortgage term (yrs)]),Table7[Monthly mortgage rate],Table7[Monthly Exp Renewal Rate])</f>
        <v>4.9038466830562122E-3</v>
      </c>
      <c r="E798" s="21">
        <f>Table1[[#This Row],[Current mortgage rate]]*G797</f>
        <v>-67039.244033835072</v>
      </c>
      <c r="F798" s="5">
        <f>Table1[[#This Row],[Payment amount]]-Table1[[#This Row],[Interest paid]]</f>
        <v>71417.241751248541</v>
      </c>
      <c r="G798" s="20">
        <f>G797-Table1[[#This Row],[Principal repaid]]-Table1[[#This Row],[Annual paym]]</f>
        <v>-13742163.56941873</v>
      </c>
      <c r="H798" s="20">
        <f>H797-(Table1[[#This Row],[Payment amount]]-Table1[[#This Row],[Interest Paid W/O LSP]])</f>
        <v>-8989190.791920159</v>
      </c>
      <c r="I798">
        <f>H797*Table1[[#This Row],[Current mortgage rate]]</f>
        <v>-43845.134600851612</v>
      </c>
      <c r="J798" s="25">
        <f>IF(Table1[[#This Row],[Month]]&gt;Table7[Amortization period (yrs)]*12,0,IF(Table1[[#This Row],[Month]]&lt;Table7[mortgage term (yrs)]*12,0,IF(Table1[[#This Row],[Month]]=Table7[mortgage term (yrs)]*12,-H$5,Table1[[#This Row],[Payment amount]]+B798)))</f>
        <v>0</v>
      </c>
      <c r="K798">
        <v>787</v>
      </c>
      <c r="L798">
        <f>Table7[Initial Monthly Deposit]*Table9[[#This Row],[Inflation Modifier]]</f>
        <v>1449.0092432569645</v>
      </c>
      <c r="M798">
        <f xml:space="preserve"> (1+Table7[Inflation])^(QUOTIENT(Table9[[#This Row],[Month]]-1,12))</f>
        <v>3.6225231081424112</v>
      </c>
      <c r="N798">
        <f>N797*(1+Table7[Monthly SF Inter])+Table9[[#This Row],[Monthly Payment]]-O797*(1+Table7[Monthly SF Inter])</f>
        <v>369675.71543884004</v>
      </c>
      <c r="O798">
        <f>IF(MOD(Table9[[#This Row],[Month]],12)=0,(IF(Table9[[#This Row],[Current Balance]]&lt;Table9[[#This Row],[Max Lump Sum ]],Table9[[#This Row],[Current Balance]],Table9[[#This Row],[Max Lump Sum ]])),0)</f>
        <v>0</v>
      </c>
      <c r="P798" s="21">
        <f>Table7[Max annual lump sum repayment]*SUM(C799:C810)</f>
        <v>7880.3958913442566</v>
      </c>
      <c r="Q798" s="25">
        <f>Q797*(1+Table7[Monthly SF Inter])+Table9[[#This Row],[Inflation Modifier]]-R797*(1+Table7[Monthly SF Inter])</f>
        <v>25.673545479691359</v>
      </c>
      <c r="R798" s="25">
        <f>IF(MOD(Table9[[#This Row],[Month]],12)=0,Table9[[#This Row],[Q2 ACC FACTOR]],0)</f>
        <v>0</v>
      </c>
      <c r="S798" s="25">
        <f>S797*(1+D797)+Table9[[#This Row],[ACC FACTOR PAYMENTS]]</f>
        <v>12993.773321647313</v>
      </c>
    </row>
    <row r="799" spans="1:19" x14ac:dyDescent="0.25">
      <c r="A799" s="1">
        <v>787</v>
      </c>
      <c r="B799" s="1">
        <f t="shared" si="12"/>
        <v>0</v>
      </c>
      <c r="C799" s="7">
        <f>G$12/-PV(Table7[Monthly mortgage rate], (12*Table7[Amortization period (yrs)]),1 )</f>
        <v>4377.9977174134756</v>
      </c>
      <c r="D799" s="11">
        <f>IF(Table1[[#This Row],[Month]]&lt;=(12*Table7[mortgage term (yrs)]),Table7[Monthly mortgage rate],Table7[Monthly Exp Renewal Rate])</f>
        <v>4.9038466830562122E-3</v>
      </c>
      <c r="E799" s="21">
        <f>Table1[[#This Row],[Current mortgage rate]]*G798</f>
        <v>-67389.463237909964</v>
      </c>
      <c r="F799" s="5">
        <f>Table1[[#This Row],[Payment amount]]-Table1[[#This Row],[Interest paid]]</f>
        <v>71767.460955323433</v>
      </c>
      <c r="G799" s="20">
        <f>G798-Table1[[#This Row],[Principal repaid]]-Table1[[#This Row],[Annual paym]]</f>
        <v>-13813931.030374054</v>
      </c>
      <c r="H799" s="20">
        <f>H798-(Table1[[#This Row],[Payment amount]]-Table1[[#This Row],[Interest Paid W/O LSP]])</f>
        <v>-9037650.4030858893</v>
      </c>
      <c r="I799">
        <f>H798*Table1[[#This Row],[Current mortgage rate]]</f>
        <v>-44081.613448317119</v>
      </c>
      <c r="J799" s="25">
        <f>IF(Table1[[#This Row],[Month]]&gt;Table7[Amortization period (yrs)]*12,0,IF(Table1[[#This Row],[Month]]&lt;Table7[mortgage term (yrs)]*12,0,IF(Table1[[#This Row],[Month]]=Table7[mortgage term (yrs)]*12,-H$5,Table1[[#This Row],[Payment amount]]+B799)))</f>
        <v>0</v>
      </c>
      <c r="K799">
        <v>788</v>
      </c>
      <c r="L799">
        <f>Table7[Initial Monthly Deposit]*Table9[[#This Row],[Inflation Modifier]]</f>
        <v>1449.0092432569645</v>
      </c>
      <c r="M799">
        <f xml:space="preserve"> (1+Table7[Inflation])^(QUOTIENT(Table9[[#This Row],[Month]]-1,12))</f>
        <v>3.6225231081424112</v>
      </c>
      <c r="N799">
        <f>N798*(1+Table7[Monthly SF Inter])+Table9[[#This Row],[Monthly Payment]]-O798*(1+Table7[Monthly SF Inter])</f>
        <v>372649.23608208349</v>
      </c>
      <c r="O799">
        <f>IF(MOD(Table9[[#This Row],[Month]],12)=0,(IF(Table9[[#This Row],[Current Balance]]&lt;Table9[[#This Row],[Max Lump Sum ]],Table9[[#This Row],[Current Balance]],Table9[[#This Row],[Max Lump Sum ]])),0)</f>
        <v>0</v>
      </c>
      <c r="P799" s="21">
        <f>Table7[Max annual lump sum repayment]*SUM(C800:C811)</f>
        <v>7880.3958913442566</v>
      </c>
      <c r="Q799" s="25">
        <f>Q798*(1+Table7[Monthly SF Inter])+Table9[[#This Row],[Inflation Modifier]]-R798*(1+Table7[Monthly SF Inter])</f>
        <v>29.401944119082554</v>
      </c>
      <c r="R799" s="25">
        <f>IF(MOD(Table9[[#This Row],[Month]],12)=0,Table9[[#This Row],[Q2 ACC FACTOR]],0)</f>
        <v>0</v>
      </c>
      <c r="S799" s="25">
        <f>S798*(1+D798)+Table9[[#This Row],[ACC FACTOR PAYMENTS]]</f>
        <v>13057.492793851057</v>
      </c>
    </row>
    <row r="800" spans="1:19" x14ac:dyDescent="0.25">
      <c r="A800" s="1">
        <v>788</v>
      </c>
      <c r="B800" s="1">
        <f t="shared" si="12"/>
        <v>0</v>
      </c>
      <c r="C800" s="7">
        <f>G$12/-PV(Table7[Monthly mortgage rate], (12*Table7[Amortization period (yrs)]),1 )</f>
        <v>4377.9977174134756</v>
      </c>
      <c r="D800" s="11">
        <f>IF(Table1[[#This Row],[Month]]&lt;=(12*Table7[mortgage term (yrs)]),Table7[Monthly mortgage rate],Table7[Monthly Exp Renewal Rate])</f>
        <v>4.9038466830562122E-3</v>
      </c>
      <c r="E800" s="21">
        <f>Table1[[#This Row],[Current mortgage rate]]*G799</f>
        <v>-67741.399863267085</v>
      </c>
      <c r="F800" s="5">
        <f>Table1[[#This Row],[Payment amount]]-Table1[[#This Row],[Interest paid]]</f>
        <v>72119.397580680554</v>
      </c>
      <c r="G800" s="20">
        <f>G799-Table1[[#This Row],[Principal repaid]]-Table1[[#This Row],[Annual paym]]</f>
        <v>-13886050.427954735</v>
      </c>
      <c r="H800" s="20">
        <f>H799-(Table1[[#This Row],[Payment amount]]-Table1[[#This Row],[Interest Paid W/O LSP]])</f>
        <v>-9086347.6527550966</v>
      </c>
      <c r="I800">
        <f>H799*Table1[[#This Row],[Current mortgage rate]]</f>
        <v>-44319.25195179438</v>
      </c>
      <c r="J800" s="25">
        <f>IF(Table1[[#This Row],[Month]]&gt;Table7[Amortization period (yrs)]*12,0,IF(Table1[[#This Row],[Month]]&lt;Table7[mortgage term (yrs)]*12,0,IF(Table1[[#This Row],[Month]]=Table7[mortgage term (yrs)]*12,-H$5,Table1[[#This Row],[Payment amount]]+B800)))</f>
        <v>0</v>
      </c>
      <c r="K800">
        <v>789</v>
      </c>
      <c r="L800">
        <f>Table7[Initial Monthly Deposit]*Table9[[#This Row],[Inflation Modifier]]</f>
        <v>1449.0092432569645</v>
      </c>
      <c r="M800">
        <f xml:space="preserve"> (1+Table7[Inflation])^(QUOTIENT(Table9[[#This Row],[Month]]-1,12))</f>
        <v>3.6225231081424112</v>
      </c>
      <c r="N800">
        <f>N799*(1+Table7[Monthly SF Inter])+Table9[[#This Row],[Monthly Payment]]-O799*(1+Table7[Monthly SF Inter])</f>
        <v>375635.01927309349</v>
      </c>
      <c r="O800">
        <f>IF(MOD(Table9[[#This Row],[Month]],12)=0,(IF(Table9[[#This Row],[Current Balance]]&lt;Table9[[#This Row],[Max Lump Sum ]],Table9[[#This Row],[Current Balance]],Table9[[#This Row],[Max Lump Sum ]])),0)</f>
        <v>0</v>
      </c>
      <c r="P800" s="21">
        <f>Table7[Max annual lump sum repayment]*SUM(C801:C812)</f>
        <v>7880.3958913442566</v>
      </c>
      <c r="Q800" s="25">
        <f>Q799*(1+Table7[Monthly SF Inter])+Table9[[#This Row],[Inflation Modifier]]-R799*(1+Table7[Monthly SF Inter])</f>
        <v>33.145718359282959</v>
      </c>
      <c r="R800" s="25">
        <f>IF(MOD(Table9[[#This Row],[Month]],12)=0,Table9[[#This Row],[Q2 ACC FACTOR]],0)</f>
        <v>0</v>
      </c>
      <c r="S800" s="25">
        <f>S799*(1+D799)+Table9[[#This Row],[ACC FACTOR PAYMENTS]]</f>
        <v>13121.524736577214</v>
      </c>
    </row>
    <row r="801" spans="1:19" x14ac:dyDescent="0.25">
      <c r="A801" s="1">
        <v>789</v>
      </c>
      <c r="B801" s="1">
        <f t="shared" si="12"/>
        <v>0</v>
      </c>
      <c r="C801" s="7">
        <f>G$12/-PV(Table7[Monthly mortgage rate], (12*Table7[Amortization period (yrs)]),1 )</f>
        <v>4377.9977174134756</v>
      </c>
      <c r="D801" s="11">
        <f>IF(Table1[[#This Row],[Month]]&lt;=(12*Table7[mortgage term (yrs)]),Table7[Monthly mortgage rate],Table7[Monthly Exp Renewal Rate])</f>
        <v>4.9038466830562122E-3</v>
      </c>
      <c r="E801" s="21">
        <f>Table1[[#This Row],[Current mortgage rate]]*G800</f>
        <v>-68095.062331877125</v>
      </c>
      <c r="F801" s="5">
        <f>Table1[[#This Row],[Payment amount]]-Table1[[#This Row],[Interest paid]]</f>
        <v>72473.060049290594</v>
      </c>
      <c r="G801" s="20">
        <f>G800-Table1[[#This Row],[Principal repaid]]-Table1[[#This Row],[Annual paym]]</f>
        <v>-13958523.488004025</v>
      </c>
      <c r="H801" s="20">
        <f>H800-(Table1[[#This Row],[Payment amount]]-Table1[[#This Row],[Interest Paid W/O LSP]])</f>
        <v>-9135283.7062705681</v>
      </c>
      <c r="I801">
        <f>H800*Table1[[#This Row],[Current mortgage rate]]</f>
        <v>-44558.055798058682</v>
      </c>
      <c r="J801" s="25">
        <f>IF(Table1[[#This Row],[Month]]&gt;Table7[Amortization period (yrs)]*12,0,IF(Table1[[#This Row],[Month]]&lt;Table7[mortgage term (yrs)]*12,0,IF(Table1[[#This Row],[Month]]=Table7[mortgage term (yrs)]*12,-H$5,Table1[[#This Row],[Payment amount]]+B801)))</f>
        <v>0</v>
      </c>
      <c r="K801">
        <v>790</v>
      </c>
      <c r="L801">
        <f>Table7[Initial Monthly Deposit]*Table9[[#This Row],[Inflation Modifier]]</f>
        <v>1449.0092432569645</v>
      </c>
      <c r="M801">
        <f xml:space="preserve"> (1+Table7[Inflation])^(QUOTIENT(Table9[[#This Row],[Month]]-1,12))</f>
        <v>3.6225231081424112</v>
      </c>
      <c r="N801">
        <f>N800*(1+Table7[Monthly SF Inter])+Table9[[#This Row],[Monthly Payment]]-O800*(1+Table7[Monthly SF Inter])</f>
        <v>378633.1155815805</v>
      </c>
      <c r="O801">
        <f>IF(MOD(Table9[[#This Row],[Month]],12)=0,(IF(Table9[[#This Row],[Current Balance]]&lt;Table9[[#This Row],[Max Lump Sum ]],Table9[[#This Row],[Current Balance]],Table9[[#This Row],[Max Lump Sum ]])),0)</f>
        <v>0</v>
      </c>
      <c r="P801" s="21">
        <f>Table7[Max annual lump sum repayment]*SUM(C802:C813)</f>
        <v>7880.3958913442566</v>
      </c>
      <c r="Q801" s="25">
        <f>Q800*(1+Table7[Monthly SF Inter])+Table9[[#This Row],[Inflation Modifier]]-R800*(1+Table7[Monthly SF Inter])</f>
        <v>36.904931607970532</v>
      </c>
      <c r="R801" s="25">
        <f>IF(MOD(Table9[[#This Row],[Month]],12)=0,Table9[[#This Row],[Q2 ACC FACTOR]],0)</f>
        <v>0</v>
      </c>
      <c r="S801" s="25">
        <f>S800*(1+D800)+Table9[[#This Row],[ACC FACTOR PAYMENTS]]</f>
        <v>13185.870682133318</v>
      </c>
    </row>
    <row r="802" spans="1:19" x14ac:dyDescent="0.25">
      <c r="A802" s="1">
        <v>790</v>
      </c>
      <c r="B802" s="1">
        <f t="shared" si="12"/>
        <v>0</v>
      </c>
      <c r="C802" s="7">
        <f>G$12/-PV(Table7[Monthly mortgage rate], (12*Table7[Amortization period (yrs)]),1 )</f>
        <v>4377.9977174134756</v>
      </c>
      <c r="D802" s="11">
        <f>IF(Table1[[#This Row],[Month]]&lt;=(12*Table7[mortgage term (yrs)]),Table7[Monthly mortgage rate],Table7[Monthly Exp Renewal Rate])</f>
        <v>4.9038466830562122E-3</v>
      </c>
      <c r="E802" s="21">
        <f>Table1[[#This Row],[Current mortgage rate]]*G801</f>
        <v>-68450.459107010771</v>
      </c>
      <c r="F802" s="5">
        <f>Table1[[#This Row],[Payment amount]]-Table1[[#This Row],[Interest paid]]</f>
        <v>72828.45682442424</v>
      </c>
      <c r="G802" s="20">
        <f>G801-Table1[[#This Row],[Principal repaid]]-Table1[[#This Row],[Annual paym]]</f>
        <v>-14031351.944828449</v>
      </c>
      <c r="H802" s="20">
        <f>H801-(Table1[[#This Row],[Payment amount]]-Table1[[#This Row],[Interest Paid W/O LSP]])</f>
        <v>-9184459.7346897535</v>
      </c>
      <c r="I802">
        <f>H801*Table1[[#This Row],[Current mortgage rate]]</f>
        <v>-44798.030701772383</v>
      </c>
      <c r="J802" s="25">
        <f>IF(Table1[[#This Row],[Month]]&gt;Table7[Amortization period (yrs)]*12,0,IF(Table1[[#This Row],[Month]]&lt;Table7[mortgage term (yrs)]*12,0,IF(Table1[[#This Row],[Month]]=Table7[mortgage term (yrs)]*12,-H$5,Table1[[#This Row],[Payment amount]]+B802)))</f>
        <v>0</v>
      </c>
      <c r="K802">
        <v>791</v>
      </c>
      <c r="L802">
        <f>Table7[Initial Monthly Deposit]*Table9[[#This Row],[Inflation Modifier]]</f>
        <v>1449.0092432569645</v>
      </c>
      <c r="M802">
        <f xml:space="preserve"> (1+Table7[Inflation])^(QUOTIENT(Table9[[#This Row],[Month]]-1,12))</f>
        <v>3.6225231081424112</v>
      </c>
      <c r="N802">
        <f>N801*(1+Table7[Monthly SF Inter])+Table9[[#This Row],[Monthly Payment]]-O801*(1+Table7[Monthly SF Inter])</f>
        <v>381643.57578580006</v>
      </c>
      <c r="O802">
        <f>IF(MOD(Table9[[#This Row],[Month]],12)=0,(IF(Table9[[#This Row],[Current Balance]]&lt;Table9[[#This Row],[Max Lump Sum ]],Table9[[#This Row],[Current Balance]],Table9[[#This Row],[Max Lump Sum ]])),0)</f>
        <v>0</v>
      </c>
      <c r="P802" s="21">
        <f>Table7[Max annual lump sum repayment]*SUM(C803:C814)</f>
        <v>7880.3958913442566</v>
      </c>
      <c r="Q802" s="25">
        <f>Q801*(1+Table7[Monthly SF Inter])+Table9[[#This Row],[Inflation Modifier]]-R801*(1+Table7[Monthly SF Inter])</f>
        <v>40.679647534311144</v>
      </c>
      <c r="R802" s="25">
        <f>IF(MOD(Table9[[#This Row],[Month]],12)=0,Table9[[#This Row],[Q2 ACC FACTOR]],0)</f>
        <v>0</v>
      </c>
      <c r="S802" s="25">
        <f>S801*(1+D801)+Table9[[#This Row],[ACC FACTOR PAYMENTS]]</f>
        <v>13250.532170341106</v>
      </c>
    </row>
    <row r="803" spans="1:19" x14ac:dyDescent="0.25">
      <c r="A803" s="1">
        <v>791</v>
      </c>
      <c r="B803" s="1">
        <f t="shared" si="12"/>
        <v>0</v>
      </c>
      <c r="C803" s="7">
        <f>G$12/-PV(Table7[Monthly mortgage rate], (12*Table7[Amortization period (yrs)]),1 )</f>
        <v>4377.9977174134756</v>
      </c>
      <c r="D803" s="11">
        <f>IF(Table1[[#This Row],[Month]]&lt;=(12*Table7[mortgage term (yrs)]),Table7[Monthly mortgage rate],Table7[Monthly Exp Renewal Rate])</f>
        <v>4.9038466830562122E-3</v>
      </c>
      <c r="E803" s="21">
        <f>Table1[[#This Row],[Current mortgage rate]]*G802</f>
        <v>-68807.598693441323</v>
      </c>
      <c r="F803" s="5">
        <f>Table1[[#This Row],[Payment amount]]-Table1[[#This Row],[Interest paid]]</f>
        <v>73185.596410854792</v>
      </c>
      <c r="G803" s="20">
        <f>G802-Table1[[#This Row],[Principal repaid]]-Table1[[#This Row],[Annual paym]]</f>
        <v>-14104537.541239304</v>
      </c>
      <c r="H803" s="20">
        <f>H802-(Table1[[#This Row],[Payment amount]]-Table1[[#This Row],[Interest Paid W/O LSP]])</f>
        <v>-9233876.9148127884</v>
      </c>
      <c r="I803">
        <f>H802*Table1[[#This Row],[Current mortgage rate]]</f>
        <v>-45039.182405621686</v>
      </c>
      <c r="J803" s="25">
        <f>IF(Table1[[#This Row],[Month]]&gt;Table7[Amortization period (yrs)]*12,0,IF(Table1[[#This Row],[Month]]&lt;Table7[mortgage term (yrs)]*12,0,IF(Table1[[#This Row],[Month]]=Table7[mortgage term (yrs)]*12,-H$5,Table1[[#This Row],[Payment amount]]+B803)))</f>
        <v>0</v>
      </c>
      <c r="K803">
        <v>792</v>
      </c>
      <c r="L803">
        <f>Table7[Initial Monthly Deposit]*Table9[[#This Row],[Inflation Modifier]]</f>
        <v>1449.0092432569645</v>
      </c>
      <c r="M803">
        <f xml:space="preserve"> (1+Table7[Inflation])^(QUOTIENT(Table9[[#This Row],[Month]]-1,12))</f>
        <v>3.6225231081424112</v>
      </c>
      <c r="N803">
        <f>N802*(1+Table7[Monthly SF Inter])+Table9[[#This Row],[Monthly Payment]]-O802*(1+Table7[Monthly SF Inter])</f>
        <v>384666.45087341301</v>
      </c>
      <c r="O803">
        <f>IF(MOD(Table9[[#This Row],[Month]],12)=0,(IF(Table9[[#This Row],[Current Balance]]&lt;Table9[[#This Row],[Max Lump Sum ]],Table9[[#This Row],[Current Balance]],Table9[[#This Row],[Max Lump Sum ]])),0)</f>
        <v>7880.3958913442566</v>
      </c>
      <c r="P803" s="21">
        <f>Table7[Max annual lump sum repayment]*SUM(C804:C815)</f>
        <v>7880.3958913442566</v>
      </c>
      <c r="Q803" s="25">
        <f>Q802*(1+Table7[Monthly SF Inter])+Table9[[#This Row],[Inflation Modifier]]-R802*(1+Table7[Monthly SF Inter])</f>
        <v>44.469930070036916</v>
      </c>
      <c r="R803" s="25">
        <f>IF(MOD(Table9[[#This Row],[Month]],12)=0,Table9[[#This Row],[Q2 ACC FACTOR]],0)</f>
        <v>44.469930070036916</v>
      </c>
      <c r="S803" s="25">
        <f>S802*(1+D802)+Table9[[#This Row],[ACC FACTOR PAYMENTS]]</f>
        <v>13359.9806786434</v>
      </c>
    </row>
    <row r="804" spans="1:19" x14ac:dyDescent="0.25">
      <c r="A804" s="1">
        <v>792</v>
      </c>
      <c r="B804" s="1">
        <f t="shared" si="12"/>
        <v>7880.3958913442566</v>
      </c>
      <c r="C804" s="7">
        <f>G$12/-PV(Table7[Monthly mortgage rate], (12*Table7[Amortization period (yrs)]),1 )</f>
        <v>4377.9977174134756</v>
      </c>
      <c r="D804" s="11">
        <f>IF(Table1[[#This Row],[Month]]&lt;=(12*Table7[mortgage term (yrs)]),Table7[Monthly mortgage rate],Table7[Monthly Exp Renewal Rate])</f>
        <v>4.9038466830562122E-3</v>
      </c>
      <c r="E804" s="21">
        <f>Table1[[#This Row],[Current mortgage rate]]*G803</f>
        <v>-69166.489637648192</v>
      </c>
      <c r="F804" s="5">
        <f>Table1[[#This Row],[Payment amount]]-Table1[[#This Row],[Interest paid]]</f>
        <v>73544.487355061661</v>
      </c>
      <c r="G804" s="20">
        <f>G803-Table1[[#This Row],[Principal repaid]]-Table1[[#This Row],[Annual paym]]</f>
        <v>-14185962.42448571</v>
      </c>
      <c r="H804" s="20">
        <f>H803-(Table1[[#This Row],[Payment amount]]-Table1[[#This Row],[Interest Paid W/O LSP]])</f>
        <v>-9283536.4292106554</v>
      </c>
      <c r="I804">
        <f>H803*Table1[[#This Row],[Current mortgage rate]]</f>
        <v>-45281.51668045402</v>
      </c>
      <c r="J804" s="25">
        <f>IF(Table1[[#This Row],[Month]]&gt;Table7[Amortization period (yrs)]*12,0,IF(Table1[[#This Row],[Month]]&lt;Table7[mortgage term (yrs)]*12,0,IF(Table1[[#This Row],[Month]]=Table7[mortgage term (yrs)]*12,-H$5,Table1[[#This Row],[Payment amount]]+B804)))</f>
        <v>0</v>
      </c>
      <c r="K804">
        <v>793</v>
      </c>
      <c r="L804">
        <f>Table7[Initial Monthly Deposit]*Table9[[#This Row],[Inflation Modifier]]</f>
        <v>1477.9894281221036</v>
      </c>
      <c r="M804">
        <f xml:space="preserve"> (1+Table7[Inflation])^(QUOTIENT(Table9[[#This Row],[Month]]-1,12))</f>
        <v>3.6949735703052591</v>
      </c>
      <c r="N804">
        <f>N803*(1+Table7[Monthly SF Inter])+Table9[[#This Row],[Monthly Payment]]-O803*(1+Table7[Monthly SF Inter])</f>
        <v>379817.87824938208</v>
      </c>
      <c r="O804">
        <f>IF(MOD(Table9[[#This Row],[Month]],12)=0,(IF(Table9[[#This Row],[Current Balance]]&lt;Table9[[#This Row],[Max Lump Sum ]],Table9[[#This Row],[Current Balance]],Table9[[#This Row],[Max Lump Sum ]])),0)</f>
        <v>0</v>
      </c>
      <c r="P804" s="21">
        <f>Table7[Max annual lump sum repayment]*SUM(C805:C816)</f>
        <v>7880.3958913442566</v>
      </c>
      <c r="Q804" s="25">
        <f>Q803*(1+Table7[Monthly SF Inter])+Table9[[#This Row],[Inflation Modifier]]-R803*(1+Table7[Monthly SF Inter])</f>
        <v>3.6949735703052582</v>
      </c>
      <c r="R804" s="25">
        <f>IF(MOD(Table9[[#This Row],[Month]],12)=0,Table9[[#This Row],[Q2 ACC FACTOR]],0)</f>
        <v>0</v>
      </c>
      <c r="S804" s="25">
        <f>S803*(1+D803)+Table9[[#This Row],[ACC FACTOR PAYMENTS]]</f>
        <v>13425.495975580061</v>
      </c>
    </row>
    <row r="805" spans="1:19" x14ac:dyDescent="0.25">
      <c r="A805" s="1">
        <v>793</v>
      </c>
      <c r="B805" s="1">
        <f t="shared" si="12"/>
        <v>0</v>
      </c>
      <c r="C805" s="7">
        <f>G$12/-PV(Table7[Monthly mortgage rate], (12*Table7[Amortization period (yrs)]),1 )</f>
        <v>4377.9977174134756</v>
      </c>
      <c r="D805" s="11">
        <f>IF(Table1[[#This Row],[Month]]&lt;=(12*Table7[mortgage term (yrs)]),Table7[Monthly mortgage rate],Table7[Monthly Exp Renewal Rate])</f>
        <v>4.9038466830562122E-3</v>
      </c>
      <c r="E805" s="21">
        <f>Table1[[#This Row],[Current mortgage rate]]*G804</f>
        <v>-69565.784781274313</v>
      </c>
      <c r="F805" s="5">
        <f>Table1[[#This Row],[Payment amount]]-Table1[[#This Row],[Interest paid]]</f>
        <v>73943.782498687782</v>
      </c>
      <c r="G805" s="20">
        <f>G804-Table1[[#This Row],[Principal repaid]]-Table1[[#This Row],[Annual paym]]</f>
        <v>-14259906.206984397</v>
      </c>
      <c r="H805" s="20">
        <f>H804-(Table1[[#This Row],[Payment amount]]-Table1[[#This Row],[Interest Paid W/O LSP]])</f>
        <v>-9333439.4662534855</v>
      </c>
      <c r="I805">
        <f>H804*Table1[[#This Row],[Current mortgage rate]]</f>
        <v>-45525.039325416183</v>
      </c>
      <c r="J805" s="25">
        <f>IF(Table1[[#This Row],[Month]]&gt;Table7[Amortization period (yrs)]*12,0,IF(Table1[[#This Row],[Month]]&lt;Table7[mortgage term (yrs)]*12,0,IF(Table1[[#This Row],[Month]]=Table7[mortgage term (yrs)]*12,-H$5,Table1[[#This Row],[Payment amount]]+B805)))</f>
        <v>0</v>
      </c>
      <c r="K805">
        <v>794</v>
      </c>
      <c r="L805">
        <f>Table7[Initial Monthly Deposit]*Table9[[#This Row],[Inflation Modifier]]</f>
        <v>1477.9894281221036</v>
      </c>
      <c r="M805">
        <f xml:space="preserve"> (1+Table7[Inflation])^(QUOTIENT(Table9[[#This Row],[Month]]-1,12))</f>
        <v>3.6949735703052591</v>
      </c>
      <c r="N805">
        <f>N804*(1+Table7[Monthly SF Inter])+Table9[[#This Row],[Monthly Payment]]-O804*(1+Table7[Monthly SF Inter])</f>
        <v>382862.20449955511</v>
      </c>
      <c r="O805">
        <f>IF(MOD(Table9[[#This Row],[Month]],12)=0,(IF(Table9[[#This Row],[Current Balance]]&lt;Table9[[#This Row],[Max Lump Sum ]],Table9[[#This Row],[Current Balance]],Table9[[#This Row],[Max Lump Sum ]])),0)</f>
        <v>0</v>
      </c>
      <c r="P805" s="21">
        <f>Table7[Max annual lump sum repayment]*SUM(C806:C817)</f>
        <v>7880.3958913442566</v>
      </c>
      <c r="Q805" s="25">
        <f>Q804*(1+Table7[Monthly SF Inter])+Table9[[#This Row],[Inflation Modifier]]-R804*(1+Table7[Monthly SF Inter])</f>
        <v>7.4051848992603979</v>
      </c>
      <c r="R805" s="25">
        <f>IF(MOD(Table9[[#This Row],[Month]],12)=0,Table9[[#This Row],[Q2 ACC FACTOR]],0)</f>
        <v>0</v>
      </c>
      <c r="S805" s="25">
        <f>S804*(1+D804)+Table9[[#This Row],[ACC FACTOR PAYMENTS]]</f>
        <v>13491.332549488294</v>
      </c>
    </row>
    <row r="806" spans="1:19" x14ac:dyDescent="0.25">
      <c r="A806" s="1">
        <v>794</v>
      </c>
      <c r="B806" s="1">
        <f t="shared" si="12"/>
        <v>0</v>
      </c>
      <c r="C806" s="7">
        <f>G$12/-PV(Table7[Monthly mortgage rate], (12*Table7[Amortization period (yrs)]),1 )</f>
        <v>4377.9977174134756</v>
      </c>
      <c r="D806" s="11">
        <f>IF(Table1[[#This Row],[Month]]&lt;=(12*Table7[mortgage term (yrs)]),Table7[Monthly mortgage rate],Table7[Monthly Exp Renewal Rate])</f>
        <v>4.9038466830562122E-3</v>
      </c>
      <c r="E806" s="21">
        <f>Table1[[#This Row],[Current mortgage rate]]*G805</f>
        <v>-69928.393753813129</v>
      </c>
      <c r="F806" s="5">
        <f>Table1[[#This Row],[Payment amount]]-Table1[[#This Row],[Interest paid]]</f>
        <v>74306.391471226598</v>
      </c>
      <c r="G806" s="20">
        <f>G805-Table1[[#This Row],[Principal repaid]]-Table1[[#This Row],[Annual paym]]</f>
        <v>-14334212.598455623</v>
      </c>
      <c r="H806" s="20">
        <f>H805-(Table1[[#This Row],[Payment amount]]-Table1[[#This Row],[Interest Paid W/O LSP]])</f>
        <v>-9383587.2201389913</v>
      </c>
      <c r="I806">
        <f>H805*Table1[[#This Row],[Current mortgage rate]]</f>
        <v>-45769.756168093096</v>
      </c>
      <c r="J806" s="25">
        <f>IF(Table1[[#This Row],[Month]]&gt;Table7[Amortization period (yrs)]*12,0,IF(Table1[[#This Row],[Month]]&lt;Table7[mortgage term (yrs)]*12,0,IF(Table1[[#This Row],[Month]]=Table7[mortgage term (yrs)]*12,-H$5,Table1[[#This Row],[Payment amount]]+B806)))</f>
        <v>0</v>
      </c>
      <c r="K806">
        <v>795</v>
      </c>
      <c r="L806">
        <f>Table7[Initial Monthly Deposit]*Table9[[#This Row],[Inflation Modifier]]</f>
        <v>1477.9894281221036</v>
      </c>
      <c r="M806">
        <f xml:space="preserve"> (1+Table7[Inflation])^(QUOTIENT(Table9[[#This Row],[Month]]-1,12))</f>
        <v>3.6949735703052591</v>
      </c>
      <c r="N806">
        <f>N805*(1+Table7[Monthly SF Inter])+Table9[[#This Row],[Monthly Payment]]-O805*(1+Table7[Monthly SF Inter])</f>
        <v>385919.08529383218</v>
      </c>
      <c r="O806">
        <f>IF(MOD(Table9[[#This Row],[Month]],12)=0,(IF(Table9[[#This Row],[Current Balance]]&lt;Table9[[#This Row],[Max Lump Sum ]],Table9[[#This Row],[Current Balance]],Table9[[#This Row],[Max Lump Sum ]])),0)</f>
        <v>0</v>
      </c>
      <c r="P806" s="21">
        <f>Table7[Max annual lump sum repayment]*SUM(C807:C818)</f>
        <v>7880.3958913442566</v>
      </c>
      <c r="Q806" s="25">
        <f>Q805*(1+Table7[Monthly SF Inter])+Table9[[#This Row],[Inflation Modifier]]-R805*(1+Table7[Monthly SF Inter])</f>
        <v>11.13069682609397</v>
      </c>
      <c r="R806" s="25">
        <f>IF(MOD(Table9[[#This Row],[Month]],12)=0,Table9[[#This Row],[Q2 ACC FACTOR]],0)</f>
        <v>0</v>
      </c>
      <c r="S806" s="25">
        <f>S805*(1+D805)+Table9[[#This Row],[ACC FACTOR PAYMENTS]]</f>
        <v>13557.49197586111</v>
      </c>
    </row>
    <row r="807" spans="1:19" x14ac:dyDescent="0.25">
      <c r="A807" s="1">
        <v>795</v>
      </c>
      <c r="B807" s="1">
        <f t="shared" si="12"/>
        <v>0</v>
      </c>
      <c r="C807" s="7">
        <f>G$12/-PV(Table7[Monthly mortgage rate], (12*Table7[Amortization period (yrs)]),1 )</f>
        <v>4377.9977174134756</v>
      </c>
      <c r="D807" s="11">
        <f>IF(Table1[[#This Row],[Month]]&lt;=(12*Table7[mortgage term (yrs)]),Table7[Monthly mortgage rate],Table7[Monthly Exp Renewal Rate])</f>
        <v>4.9038466830562122E-3</v>
      </c>
      <c r="E807" s="21">
        <f>Table1[[#This Row],[Current mortgage rate]]*G806</f>
        <v>-70292.780905159176</v>
      </c>
      <c r="F807" s="5">
        <f>Table1[[#This Row],[Payment amount]]-Table1[[#This Row],[Interest paid]]</f>
        <v>74670.778622572645</v>
      </c>
      <c r="G807" s="20">
        <f>G806-Table1[[#This Row],[Principal repaid]]-Table1[[#This Row],[Annual paym]]</f>
        <v>-14408883.377078196</v>
      </c>
      <c r="H807" s="20">
        <f>H806-(Table1[[#This Row],[Payment amount]]-Table1[[#This Row],[Interest Paid W/O LSP]])</f>
        <v>-9433980.8909210525</v>
      </c>
      <c r="I807">
        <f>H806*Table1[[#This Row],[Current mortgage rate]]</f>
        <v>-46015.673064647257</v>
      </c>
      <c r="J807" s="25">
        <f>IF(Table1[[#This Row],[Month]]&gt;Table7[Amortization period (yrs)]*12,0,IF(Table1[[#This Row],[Month]]&lt;Table7[mortgage term (yrs)]*12,0,IF(Table1[[#This Row],[Month]]=Table7[mortgage term (yrs)]*12,-H$5,Table1[[#This Row],[Payment amount]]+B807)))</f>
        <v>0</v>
      </c>
      <c r="K807">
        <v>796</v>
      </c>
      <c r="L807">
        <f>Table7[Initial Monthly Deposit]*Table9[[#This Row],[Inflation Modifier]]</f>
        <v>1477.9894281221036</v>
      </c>
      <c r="M807">
        <f xml:space="preserve"> (1+Table7[Inflation])^(QUOTIENT(Table9[[#This Row],[Month]]-1,12))</f>
        <v>3.6949735703052591</v>
      </c>
      <c r="N807">
        <f>N806*(1+Table7[Monthly SF Inter])+Table9[[#This Row],[Monthly Payment]]-O806*(1+Table7[Monthly SF Inter])</f>
        <v>388988.57240609184</v>
      </c>
      <c r="O807">
        <f>IF(MOD(Table9[[#This Row],[Month]],12)=0,(IF(Table9[[#This Row],[Current Balance]]&lt;Table9[[#This Row],[Max Lump Sum ]],Table9[[#This Row],[Current Balance]],Table9[[#This Row],[Max Lump Sum ]])),0)</f>
        <v>0</v>
      </c>
      <c r="P807" s="21">
        <f>Table7[Max annual lump sum repayment]*SUM(C808:C819)</f>
        <v>7880.3958913442566</v>
      </c>
      <c r="Q807" s="25">
        <f>Q806*(1+Table7[Monthly SF Inter])+Table9[[#This Row],[Inflation Modifier]]-R806*(1+Table7[Monthly SF Inter])</f>
        <v>14.871572449178192</v>
      </c>
      <c r="R807" s="25">
        <f>IF(MOD(Table9[[#This Row],[Month]],12)=0,Table9[[#This Row],[Q2 ACC FACTOR]],0)</f>
        <v>0</v>
      </c>
      <c r="S807" s="25">
        <f>S806*(1+D806)+Table9[[#This Row],[ACC FACTOR PAYMENTS]]</f>
        <v>13623.975837917498</v>
      </c>
    </row>
    <row r="808" spans="1:19" x14ac:dyDescent="0.25">
      <c r="A808" s="1">
        <v>796</v>
      </c>
      <c r="B808" s="1">
        <f t="shared" si="12"/>
        <v>0</v>
      </c>
      <c r="C808" s="7">
        <f>G$12/-PV(Table7[Monthly mortgage rate], (12*Table7[Amortization period (yrs)]),1 )</f>
        <v>4377.9977174134756</v>
      </c>
      <c r="D808" s="11">
        <f>IF(Table1[[#This Row],[Month]]&lt;=(12*Table7[mortgage term (yrs)]),Table7[Monthly mortgage rate],Table7[Monthly Exp Renewal Rate])</f>
        <v>4.9038466830562122E-3</v>
      </c>
      <c r="E808" s="21">
        <f>Table1[[#This Row],[Current mortgage rate]]*G807</f>
        <v>-70658.954955228706</v>
      </c>
      <c r="F808" s="5">
        <f>Table1[[#This Row],[Payment amount]]-Table1[[#This Row],[Interest paid]]</f>
        <v>75036.952672642175</v>
      </c>
      <c r="G808" s="20">
        <f>G807-Table1[[#This Row],[Principal repaid]]-Table1[[#This Row],[Annual paym]]</f>
        <v>-14483920.329750838</v>
      </c>
      <c r="H808" s="20">
        <f>H807-(Table1[[#This Row],[Payment amount]]-Table1[[#This Row],[Interest Paid W/O LSP]])</f>
        <v>-9484621.684538424</v>
      </c>
      <c r="I808">
        <f>H807*Table1[[#This Row],[Current mortgage rate]]</f>
        <v>-46262.795899958895</v>
      </c>
      <c r="J808" s="25">
        <f>IF(Table1[[#This Row],[Month]]&gt;Table7[Amortization period (yrs)]*12,0,IF(Table1[[#This Row],[Month]]&lt;Table7[mortgage term (yrs)]*12,0,IF(Table1[[#This Row],[Month]]=Table7[mortgage term (yrs)]*12,-H$5,Table1[[#This Row],[Payment amount]]+B808)))</f>
        <v>0</v>
      </c>
      <c r="K808">
        <v>797</v>
      </c>
      <c r="L808">
        <f>Table7[Initial Monthly Deposit]*Table9[[#This Row],[Inflation Modifier]]</f>
        <v>1477.9894281221036</v>
      </c>
      <c r="M808">
        <f xml:space="preserve"> (1+Table7[Inflation])^(QUOTIENT(Table9[[#This Row],[Month]]-1,12))</f>
        <v>3.6949735703052591</v>
      </c>
      <c r="N808">
        <f>N807*(1+Table7[Monthly SF Inter])+Table9[[#This Row],[Monthly Payment]]-O807*(1+Table7[Monthly SF Inter])</f>
        <v>392070.7178237238</v>
      </c>
      <c r="O808">
        <f>IF(MOD(Table9[[#This Row],[Month]],12)=0,(IF(Table9[[#This Row],[Current Balance]]&lt;Table9[[#This Row],[Max Lump Sum ]],Table9[[#This Row],[Current Balance]],Table9[[#This Row],[Max Lump Sum ]])),0)</f>
        <v>0</v>
      </c>
      <c r="P808" s="21">
        <f>Table7[Max annual lump sum repayment]*SUM(C809:C820)</f>
        <v>7880.3958913442566</v>
      </c>
      <c r="Q808" s="25">
        <f>Q807*(1+Table7[Monthly SF Inter])+Table9[[#This Row],[Inflation Modifier]]-R807*(1+Table7[Monthly SF Inter])</f>
        <v>18.627875127097631</v>
      </c>
      <c r="R808" s="25">
        <f>IF(MOD(Table9[[#This Row],[Month]],12)=0,Table9[[#This Row],[Q2 ACC FACTOR]],0)</f>
        <v>0</v>
      </c>
      <c r="S808" s="25">
        <f>S807*(1+D807)+Table9[[#This Row],[ACC FACTOR PAYMENTS]]</f>
        <v>13690.785726640308</v>
      </c>
    </row>
    <row r="809" spans="1:19" x14ac:dyDescent="0.25">
      <c r="A809" s="1">
        <v>797</v>
      </c>
      <c r="B809" s="1">
        <f t="shared" si="12"/>
        <v>0</v>
      </c>
      <c r="C809" s="7">
        <f>G$12/-PV(Table7[Monthly mortgage rate], (12*Table7[Amortization period (yrs)]),1 )</f>
        <v>4377.9977174134756</v>
      </c>
      <c r="D809" s="11">
        <f>IF(Table1[[#This Row],[Month]]&lt;=(12*Table7[mortgage term (yrs)]),Table7[Monthly mortgage rate],Table7[Monthly Exp Renewal Rate])</f>
        <v>4.9038466830562122E-3</v>
      </c>
      <c r="E809" s="21">
        <f>Table1[[#This Row],[Current mortgage rate]]*G808</f>
        <v>-71026.92466669908</v>
      </c>
      <c r="F809" s="5">
        <f>Table1[[#This Row],[Payment amount]]-Table1[[#This Row],[Interest paid]]</f>
        <v>75404.922384112549</v>
      </c>
      <c r="G809" s="20">
        <f>G808-Table1[[#This Row],[Principal repaid]]-Table1[[#This Row],[Annual paym]]</f>
        <v>-14559325.252134951</v>
      </c>
      <c r="H809" s="20">
        <f>H808-(Table1[[#This Row],[Payment amount]]-Table1[[#This Row],[Interest Paid W/O LSP]])</f>
        <v>-9535510.812843604</v>
      </c>
      <c r="I809">
        <f>H808*Table1[[#This Row],[Current mortgage rate]]</f>
        <v>-46511.130587766776</v>
      </c>
      <c r="J809" s="25">
        <f>IF(Table1[[#This Row],[Month]]&gt;Table7[Amortization period (yrs)]*12,0,IF(Table1[[#This Row],[Month]]&lt;Table7[mortgage term (yrs)]*12,0,IF(Table1[[#This Row],[Month]]=Table7[mortgage term (yrs)]*12,-H$5,Table1[[#This Row],[Payment amount]]+B809)))</f>
        <v>0</v>
      </c>
      <c r="K809">
        <v>798</v>
      </c>
      <c r="L809">
        <f>Table7[Initial Monthly Deposit]*Table9[[#This Row],[Inflation Modifier]]</f>
        <v>1477.9894281221036</v>
      </c>
      <c r="M809">
        <f xml:space="preserve"> (1+Table7[Inflation])^(QUOTIENT(Table9[[#This Row],[Month]]-1,12))</f>
        <v>3.6949735703052591</v>
      </c>
      <c r="N809">
        <f>N808*(1+Table7[Monthly SF Inter])+Table9[[#This Row],[Monthly Payment]]-O808*(1+Table7[Monthly SF Inter])</f>
        <v>395165.5737485094</v>
      </c>
      <c r="O809">
        <f>IF(MOD(Table9[[#This Row],[Month]],12)=0,(IF(Table9[[#This Row],[Current Balance]]&lt;Table9[[#This Row],[Max Lump Sum ]],Table9[[#This Row],[Current Balance]],Table9[[#This Row],[Max Lump Sum ]])),0)</f>
        <v>0</v>
      </c>
      <c r="P809" s="21">
        <f>Table7[Max annual lump sum repayment]*SUM(C810:C821)</f>
        <v>7880.3958913442566</v>
      </c>
      <c r="Q809" s="25">
        <f>Q808*(1+Table7[Monthly SF Inter])+Table9[[#This Row],[Inflation Modifier]]-R808*(1+Table7[Monthly SF Inter])</f>
        <v>22.399668479722305</v>
      </c>
      <c r="R809" s="25">
        <f>IF(MOD(Table9[[#This Row],[Month]],12)=0,Table9[[#This Row],[Q2 ACC FACTOR]],0)</f>
        <v>0</v>
      </c>
      <c r="S809" s="25">
        <f>S808*(1+D808)+Table9[[#This Row],[ACC FACTOR PAYMENTS]]</f>
        <v>13757.923240814327</v>
      </c>
    </row>
    <row r="810" spans="1:19" x14ac:dyDescent="0.25">
      <c r="A810" s="1">
        <v>798</v>
      </c>
      <c r="B810" s="1">
        <f t="shared" si="12"/>
        <v>0</v>
      </c>
      <c r="C810" s="7">
        <f>G$12/-PV(Table7[Monthly mortgage rate], (12*Table7[Amortization period (yrs)]),1 )</f>
        <v>4377.9977174134756</v>
      </c>
      <c r="D810" s="11">
        <f>IF(Table1[[#This Row],[Month]]&lt;=(12*Table7[mortgage term (yrs)]),Table7[Monthly mortgage rate],Table7[Monthly Exp Renewal Rate])</f>
        <v>4.9038466830562122E-3</v>
      </c>
      <c r="E810" s="21">
        <f>Table1[[#This Row],[Current mortgage rate]]*G809</f>
        <v>-71396.698845218532</v>
      </c>
      <c r="F810" s="5">
        <f>Table1[[#This Row],[Payment amount]]-Table1[[#This Row],[Interest paid]]</f>
        <v>75774.696562632002</v>
      </c>
      <c r="G810" s="20">
        <f>G809-Table1[[#This Row],[Principal repaid]]-Table1[[#This Row],[Annual paym]]</f>
        <v>-14635099.948697584</v>
      </c>
      <c r="H810" s="20">
        <f>H809-(Table1[[#This Row],[Payment amount]]-Table1[[#This Row],[Interest Paid W/O LSP]])</f>
        <v>-9586649.4936318267</v>
      </c>
      <c r="I810">
        <f>H809*Table1[[#This Row],[Current mortgage rate]]</f>
        <v>-46760.683070809755</v>
      </c>
      <c r="J810" s="25">
        <f>IF(Table1[[#This Row],[Month]]&gt;Table7[Amortization period (yrs)]*12,0,IF(Table1[[#This Row],[Month]]&lt;Table7[mortgage term (yrs)]*12,0,IF(Table1[[#This Row],[Month]]=Table7[mortgage term (yrs)]*12,-H$5,Table1[[#This Row],[Payment amount]]+B810)))</f>
        <v>0</v>
      </c>
      <c r="K810">
        <v>799</v>
      </c>
      <c r="L810">
        <f>Table7[Initial Monthly Deposit]*Table9[[#This Row],[Inflation Modifier]]</f>
        <v>1477.9894281221036</v>
      </c>
      <c r="M810">
        <f xml:space="preserve"> (1+Table7[Inflation])^(QUOTIENT(Table9[[#This Row],[Month]]-1,12))</f>
        <v>3.6949735703052591</v>
      </c>
      <c r="N810">
        <f>N809*(1+Table7[Monthly SF Inter])+Table9[[#This Row],[Monthly Payment]]-O809*(1+Table7[Monthly SF Inter])</f>
        <v>398273.19259750558</v>
      </c>
      <c r="O810">
        <f>IF(MOD(Table9[[#This Row],[Month]],12)=0,(IF(Table9[[#This Row],[Current Balance]]&lt;Table9[[#This Row],[Max Lump Sum ]],Table9[[#This Row],[Current Balance]],Table9[[#This Row],[Max Lump Sum ]])),0)</f>
        <v>0</v>
      </c>
      <c r="P810" s="21">
        <f>Table7[Max annual lump sum repayment]*SUM(C811:C822)</f>
        <v>7880.3958913442566</v>
      </c>
      <c r="Q810" s="25">
        <f>Q809*(1+Table7[Monthly SF Inter])+Table9[[#This Row],[Inflation Modifier]]-R809*(1+Table7[Monthly SF Inter])</f>
        <v>26.187016389285194</v>
      </c>
      <c r="R810" s="25">
        <f>IF(MOD(Table9[[#This Row],[Month]],12)=0,Table9[[#This Row],[Q2 ACC FACTOR]],0)</f>
        <v>0</v>
      </c>
      <c r="S810" s="25">
        <f>S809*(1+D809)+Table9[[#This Row],[ACC FACTOR PAYMENTS]]</f>
        <v>13825.389987064536</v>
      </c>
    </row>
    <row r="811" spans="1:19" x14ac:dyDescent="0.25">
      <c r="A811" s="1">
        <v>799</v>
      </c>
      <c r="B811" s="1">
        <f t="shared" si="12"/>
        <v>0</v>
      </c>
      <c r="C811" s="7">
        <f>G$12/-PV(Table7[Monthly mortgage rate], (12*Table7[Amortization period (yrs)]),1 )</f>
        <v>4377.9977174134756</v>
      </c>
      <c r="D811" s="11">
        <f>IF(Table1[[#This Row],[Month]]&lt;=(12*Table7[mortgage term (yrs)]),Table7[Monthly mortgage rate],Table7[Monthly Exp Renewal Rate])</f>
        <v>4.9038466830562122E-3</v>
      </c>
      <c r="E811" s="21">
        <f>Table1[[#This Row],[Current mortgage rate]]*G810</f>
        <v>-71768.286339616781</v>
      </c>
      <c r="F811" s="5">
        <f>Table1[[#This Row],[Payment amount]]-Table1[[#This Row],[Interest paid]]</f>
        <v>76146.284057030251</v>
      </c>
      <c r="G811" s="20">
        <f>G810-Table1[[#This Row],[Principal repaid]]-Table1[[#This Row],[Annual paym]]</f>
        <v>-14711246.232754614</v>
      </c>
      <c r="H811" s="20">
        <f>H810-(Table1[[#This Row],[Payment amount]]-Table1[[#This Row],[Interest Paid W/O LSP]])</f>
        <v>-9638038.9506702088</v>
      </c>
      <c r="I811">
        <f>H810*Table1[[#This Row],[Current mortgage rate]]</f>
        <v>-47011.459320968948</v>
      </c>
      <c r="J811" s="25">
        <f>IF(Table1[[#This Row],[Month]]&gt;Table7[Amortization period (yrs)]*12,0,IF(Table1[[#This Row],[Month]]&lt;Table7[mortgage term (yrs)]*12,0,IF(Table1[[#This Row],[Month]]=Table7[mortgage term (yrs)]*12,-H$5,Table1[[#This Row],[Payment amount]]+B811)))</f>
        <v>0</v>
      </c>
      <c r="K811">
        <v>800</v>
      </c>
      <c r="L811">
        <f>Table7[Initial Monthly Deposit]*Table9[[#This Row],[Inflation Modifier]]</f>
        <v>1477.9894281221036</v>
      </c>
      <c r="M811">
        <f xml:space="preserve"> (1+Table7[Inflation])^(QUOTIENT(Table9[[#This Row],[Month]]-1,12))</f>
        <v>3.6949735703052591</v>
      </c>
      <c r="N811">
        <f>N810*(1+Table7[Monthly SF Inter])+Table9[[#This Row],[Monthly Payment]]-O810*(1+Table7[Monthly SF Inter])</f>
        <v>401393.6270039329</v>
      </c>
      <c r="O811">
        <f>IF(MOD(Table9[[#This Row],[Month]],12)=0,(IF(Table9[[#This Row],[Current Balance]]&lt;Table9[[#This Row],[Max Lump Sum ]],Table9[[#This Row],[Current Balance]],Table9[[#This Row],[Max Lump Sum ]])),0)</f>
        <v>0</v>
      </c>
      <c r="P811" s="21">
        <f>Table7[Max annual lump sum repayment]*SUM(C812:C823)</f>
        <v>7880.3958913442566</v>
      </c>
      <c r="Q811" s="25">
        <f>Q810*(1+Table7[Monthly SF Inter])+Table9[[#This Row],[Inflation Modifier]]-R810*(1+Table7[Monthly SF Inter])</f>
        <v>29.989983001464211</v>
      </c>
      <c r="R811" s="25">
        <f>IF(MOD(Table9[[#This Row],[Month]],12)=0,Table9[[#This Row],[Q2 ACC FACTOR]],0)</f>
        <v>0</v>
      </c>
      <c r="S811" s="25">
        <f>S810*(1+D810)+Table9[[#This Row],[ACC FACTOR PAYMENTS]]</f>
        <v>13893.187579894562</v>
      </c>
    </row>
    <row r="812" spans="1:19" x14ac:dyDescent="0.25">
      <c r="A812" s="1">
        <v>800</v>
      </c>
      <c r="B812" s="1">
        <f t="shared" si="12"/>
        <v>0</v>
      </c>
      <c r="C812" s="7">
        <f>G$12/-PV(Table7[Monthly mortgage rate], (12*Table7[Amortization period (yrs)]),1 )</f>
        <v>4377.9977174134756</v>
      </c>
      <c r="D812" s="11">
        <f>IF(Table1[[#This Row],[Month]]&lt;=(12*Table7[mortgage term (yrs)]),Table7[Monthly mortgage rate],Table7[Monthly Exp Renewal Rate])</f>
        <v>4.9038466830562122E-3</v>
      </c>
      <c r="E812" s="21">
        <f>Table1[[#This Row],[Current mortgage rate]]*G811</f>
        <v>-72141.696042116906</v>
      </c>
      <c r="F812" s="5">
        <f>Table1[[#This Row],[Payment amount]]-Table1[[#This Row],[Interest paid]]</f>
        <v>76519.693759530375</v>
      </c>
      <c r="G812" s="20">
        <f>G811-Table1[[#This Row],[Principal repaid]]-Table1[[#This Row],[Annual paym]]</f>
        <v>-14787765.926514145</v>
      </c>
      <c r="H812" s="20">
        <f>H811-(Table1[[#This Row],[Payment amount]]-Table1[[#This Row],[Interest Paid W/O LSP]])</f>
        <v>-9689680.413727032</v>
      </c>
      <c r="I812">
        <f>H811*Table1[[#This Row],[Current mortgage rate]]</f>
        <v>-47263.465339410679</v>
      </c>
      <c r="J812" s="25">
        <f>IF(Table1[[#This Row],[Month]]&gt;Table7[Amortization period (yrs)]*12,0,IF(Table1[[#This Row],[Month]]&lt;Table7[mortgage term (yrs)]*12,0,IF(Table1[[#This Row],[Month]]=Table7[mortgage term (yrs)]*12,-H$5,Table1[[#This Row],[Payment amount]]+B812)))</f>
        <v>0</v>
      </c>
      <c r="K812">
        <v>801</v>
      </c>
      <c r="L812">
        <f>Table7[Initial Monthly Deposit]*Table9[[#This Row],[Inflation Modifier]]</f>
        <v>1477.9894281221036</v>
      </c>
      <c r="M812">
        <f xml:space="preserve"> (1+Table7[Inflation])^(QUOTIENT(Table9[[#This Row],[Month]]-1,12))</f>
        <v>3.6949735703052591</v>
      </c>
      <c r="N812">
        <f>N811*(1+Table7[Monthly SF Inter])+Table9[[#This Row],[Monthly Payment]]-O811*(1+Table7[Monthly SF Inter])</f>
        <v>404526.92981806688</v>
      </c>
      <c r="O812">
        <f>IF(MOD(Table9[[#This Row],[Month]],12)=0,(IF(Table9[[#This Row],[Current Balance]]&lt;Table9[[#This Row],[Max Lump Sum ]],Table9[[#This Row],[Current Balance]],Table9[[#This Row],[Max Lump Sum ]])),0)</f>
        <v>0</v>
      </c>
      <c r="P812" s="21">
        <f>Table7[Max annual lump sum repayment]*SUM(C813:C824)</f>
        <v>7880.3958913442566</v>
      </c>
      <c r="Q812" s="25">
        <f>Q811*(1+Table7[Monthly SF Inter])+Table9[[#This Row],[Inflation Modifier]]-R811*(1+Table7[Monthly SF Inter])</f>
        <v>33.808632726468623</v>
      </c>
      <c r="R812" s="25">
        <f>IF(MOD(Table9[[#This Row],[Month]],12)=0,Table9[[#This Row],[Q2 ACC FACTOR]],0)</f>
        <v>0</v>
      </c>
      <c r="S812" s="25">
        <f>S811*(1+D811)+Table9[[#This Row],[ACC FACTOR PAYMENTS]]</f>
        <v>13961.317641725305</v>
      </c>
    </row>
    <row r="813" spans="1:19" x14ac:dyDescent="0.25">
      <c r="A813" s="1">
        <v>801</v>
      </c>
      <c r="B813" s="1">
        <f t="shared" si="12"/>
        <v>0</v>
      </c>
      <c r="C813" s="7">
        <f>G$12/-PV(Table7[Monthly mortgage rate], (12*Table7[Amortization period (yrs)]),1 )</f>
        <v>4377.9977174134756</v>
      </c>
      <c r="D813" s="11">
        <f>IF(Table1[[#This Row],[Month]]&lt;=(12*Table7[mortgage term (yrs)]),Table7[Monthly mortgage rate],Table7[Monthly Exp Renewal Rate])</f>
        <v>4.9038466830562122E-3</v>
      </c>
      <c r="E813" s="21">
        <f>Table1[[#This Row],[Current mortgage rate]]*G812</f>
        <v>-72516.936888548065</v>
      </c>
      <c r="F813" s="5">
        <f>Table1[[#This Row],[Payment amount]]-Table1[[#This Row],[Interest paid]]</f>
        <v>76894.934605961535</v>
      </c>
      <c r="G813" s="20">
        <f>G812-Table1[[#This Row],[Principal repaid]]-Table1[[#This Row],[Annual paym]]</f>
        <v>-14864660.861120107</v>
      </c>
      <c r="H813" s="20">
        <f>H812-(Table1[[#This Row],[Payment amount]]-Table1[[#This Row],[Interest Paid W/O LSP]])</f>
        <v>-9741575.118601175</v>
      </c>
      <c r="I813">
        <f>H812*Table1[[#This Row],[Current mortgage rate]]</f>
        <v>-47516.707156730052</v>
      </c>
      <c r="J813" s="25">
        <f>IF(Table1[[#This Row],[Month]]&gt;Table7[Amortization period (yrs)]*12,0,IF(Table1[[#This Row],[Month]]&lt;Table7[mortgage term (yrs)]*12,0,IF(Table1[[#This Row],[Month]]=Table7[mortgage term (yrs)]*12,-H$5,Table1[[#This Row],[Payment amount]]+B813)))</f>
        <v>0</v>
      </c>
      <c r="K813">
        <v>802</v>
      </c>
      <c r="L813">
        <f>Table7[Initial Monthly Deposit]*Table9[[#This Row],[Inflation Modifier]]</f>
        <v>1477.9894281221036</v>
      </c>
      <c r="M813">
        <f xml:space="preserve"> (1+Table7[Inflation])^(QUOTIENT(Table9[[#This Row],[Month]]-1,12))</f>
        <v>3.6949735703052591</v>
      </c>
      <c r="N813">
        <f>N812*(1+Table7[Monthly SF Inter])+Table9[[#This Row],[Monthly Payment]]-O812*(1+Table7[Monthly SF Inter])</f>
        <v>407673.15410813305</v>
      </c>
      <c r="O813">
        <f>IF(MOD(Table9[[#This Row],[Month]],12)=0,(IF(Table9[[#This Row],[Current Balance]]&lt;Table9[[#This Row],[Max Lump Sum ]],Table9[[#This Row],[Current Balance]],Table9[[#This Row],[Max Lump Sum ]])),0)</f>
        <v>0</v>
      </c>
      <c r="P813" s="21">
        <f>Table7[Max annual lump sum repayment]*SUM(C814:C825)</f>
        <v>7880.3958913442566</v>
      </c>
      <c r="Q813" s="25">
        <f>Q812*(1+Table7[Monthly SF Inter])+Table9[[#This Row],[Inflation Modifier]]-R812*(1+Table7[Monthly SF Inter])</f>
        <v>37.643030240129946</v>
      </c>
      <c r="R813" s="25">
        <f>IF(MOD(Table9[[#This Row],[Month]],12)=0,Table9[[#This Row],[Q2 ACC FACTOR]],0)</f>
        <v>0</v>
      </c>
      <c r="S813" s="25">
        <f>S812*(1+D812)+Table9[[#This Row],[ACC FACTOR PAYMENTS]]</f>
        <v>14029.781802933774</v>
      </c>
    </row>
    <row r="814" spans="1:19" x14ac:dyDescent="0.25">
      <c r="A814" s="1">
        <v>802</v>
      </c>
      <c r="B814" s="1">
        <f t="shared" si="12"/>
        <v>0</v>
      </c>
      <c r="C814" s="7">
        <f>G$12/-PV(Table7[Monthly mortgage rate], (12*Table7[Amortization period (yrs)]),1 )</f>
        <v>4377.9977174134756</v>
      </c>
      <c r="D814" s="11">
        <f>IF(Table1[[#This Row],[Month]]&lt;=(12*Table7[mortgage term (yrs)]),Table7[Monthly mortgage rate],Table7[Monthly Exp Renewal Rate])</f>
        <v>4.9038466830562122E-3</v>
      </c>
      <c r="E814" s="21">
        <f>Table1[[#This Row],[Current mortgage rate]]*G813</f>
        <v>-72894.017858559338</v>
      </c>
      <c r="F814" s="5">
        <f>Table1[[#This Row],[Payment amount]]-Table1[[#This Row],[Interest paid]]</f>
        <v>77272.015575972808</v>
      </c>
      <c r="G814" s="20">
        <f>G813-Table1[[#This Row],[Principal repaid]]-Table1[[#This Row],[Annual paym]]</f>
        <v>-14941932.87669608</v>
      </c>
      <c r="H814" s="20">
        <f>H813-(Table1[[#This Row],[Payment amount]]-Table1[[#This Row],[Interest Paid W/O LSP]])</f>
        <v>-9793724.3071516845</v>
      </c>
      <c r="I814">
        <f>H813*Table1[[#This Row],[Current mortgage rate]]</f>
        <v>-47771.190833095301</v>
      </c>
      <c r="J814" s="25">
        <f>IF(Table1[[#This Row],[Month]]&gt;Table7[Amortization period (yrs)]*12,0,IF(Table1[[#This Row],[Month]]&lt;Table7[mortgage term (yrs)]*12,0,IF(Table1[[#This Row],[Month]]=Table7[mortgage term (yrs)]*12,-H$5,Table1[[#This Row],[Payment amount]]+B814)))</f>
        <v>0</v>
      </c>
      <c r="K814">
        <v>803</v>
      </c>
      <c r="L814">
        <f>Table7[Initial Monthly Deposit]*Table9[[#This Row],[Inflation Modifier]]</f>
        <v>1477.9894281221036</v>
      </c>
      <c r="M814">
        <f xml:space="preserve"> (1+Table7[Inflation])^(QUOTIENT(Table9[[#This Row],[Month]]-1,12))</f>
        <v>3.6949735703052591</v>
      </c>
      <c r="N814">
        <f>N813*(1+Table7[Monthly SF Inter])+Table9[[#This Row],[Monthly Payment]]-O813*(1+Table7[Monthly SF Inter])</f>
        <v>410832.35316120583</v>
      </c>
      <c r="O814">
        <f>IF(MOD(Table9[[#This Row],[Month]],12)=0,(IF(Table9[[#This Row],[Current Balance]]&lt;Table9[[#This Row],[Max Lump Sum ]],Table9[[#This Row],[Current Balance]],Table9[[#This Row],[Max Lump Sum ]])),0)</f>
        <v>0</v>
      </c>
      <c r="P814" s="21">
        <f>Table7[Max annual lump sum repayment]*SUM(C815:C826)</f>
        <v>7880.3958913442566</v>
      </c>
      <c r="Q814" s="25">
        <f>Q813*(1+Table7[Monthly SF Inter])+Table9[[#This Row],[Inflation Modifier]]-R813*(1+Table7[Monthly SF Inter])</f>
        <v>41.493240484997365</v>
      </c>
      <c r="R814" s="25">
        <f>IF(MOD(Table9[[#This Row],[Month]],12)=0,Table9[[#This Row],[Q2 ACC FACTOR]],0)</f>
        <v>0</v>
      </c>
      <c r="S814" s="25">
        <f>S813*(1+D813)+Table9[[#This Row],[ACC FACTOR PAYMENTS]]</f>
        <v>14098.581701892093</v>
      </c>
    </row>
    <row r="815" spans="1:19" x14ac:dyDescent="0.25">
      <c r="A815" s="1">
        <v>803</v>
      </c>
      <c r="B815" s="1">
        <f t="shared" si="12"/>
        <v>0</v>
      </c>
      <c r="C815" s="7">
        <f>G$12/-PV(Table7[Monthly mortgage rate], (12*Table7[Amortization period (yrs)]),1 )</f>
        <v>4377.9977174134756</v>
      </c>
      <c r="D815" s="11">
        <f>IF(Table1[[#This Row],[Month]]&lt;=(12*Table7[mortgage term (yrs)]),Table7[Monthly mortgage rate],Table7[Monthly Exp Renewal Rate])</f>
        <v>4.9038466830562122E-3</v>
      </c>
      <c r="E815" s="21">
        <f>Table1[[#This Row],[Current mortgage rate]]*G814</f>
        <v>-73272.947975834642</v>
      </c>
      <c r="F815" s="5">
        <f>Table1[[#This Row],[Payment amount]]-Table1[[#This Row],[Interest paid]]</f>
        <v>77650.945693248112</v>
      </c>
      <c r="G815" s="20">
        <f>G814-Table1[[#This Row],[Principal repaid]]-Table1[[#This Row],[Annual paym]]</f>
        <v>-15019583.822389329</v>
      </c>
      <c r="H815" s="20">
        <f>H814-(Table1[[#This Row],[Payment amount]]-Table1[[#This Row],[Interest Paid W/O LSP]])</f>
        <v>-9846129.2273274902</v>
      </c>
      <c r="I815">
        <f>H814*Table1[[#This Row],[Current mortgage rate]]</f>
        <v>-48026.922458392786</v>
      </c>
      <c r="J815" s="25">
        <f>IF(Table1[[#This Row],[Month]]&gt;Table7[Amortization period (yrs)]*12,0,IF(Table1[[#This Row],[Month]]&lt;Table7[mortgage term (yrs)]*12,0,IF(Table1[[#This Row],[Month]]=Table7[mortgage term (yrs)]*12,-H$5,Table1[[#This Row],[Payment amount]]+B815)))</f>
        <v>0</v>
      </c>
      <c r="K815">
        <v>804</v>
      </c>
      <c r="L815">
        <f>Table7[Initial Monthly Deposit]*Table9[[#This Row],[Inflation Modifier]]</f>
        <v>1477.9894281221036</v>
      </c>
      <c r="M815">
        <f xml:space="preserve"> (1+Table7[Inflation])^(QUOTIENT(Table9[[#This Row],[Month]]-1,12))</f>
        <v>3.6949735703052591</v>
      </c>
      <c r="N815">
        <f>N814*(1+Table7[Monthly SF Inter])+Table9[[#This Row],[Monthly Payment]]-O814*(1+Table7[Monthly SF Inter])</f>
        <v>414004.58048411104</v>
      </c>
      <c r="O815">
        <f>IF(MOD(Table9[[#This Row],[Month]],12)=0,(IF(Table9[[#This Row],[Current Balance]]&lt;Table9[[#This Row],[Max Lump Sum ]],Table9[[#This Row],[Current Balance]],Table9[[#This Row],[Max Lump Sum ]])),0)</f>
        <v>7880.3958913442566</v>
      </c>
      <c r="P815" s="21">
        <f>Table7[Max annual lump sum repayment]*SUM(C816:C827)</f>
        <v>7880.3958913442566</v>
      </c>
      <c r="Q815" s="25">
        <f>Q814*(1+Table7[Monthly SF Inter])+Table9[[#This Row],[Inflation Modifier]]-R814*(1+Table7[Monthly SF Inter])</f>
        <v>45.359328671437652</v>
      </c>
      <c r="R815" s="25">
        <f>IF(MOD(Table9[[#This Row],[Month]],12)=0,Table9[[#This Row],[Q2 ACC FACTOR]],0)</f>
        <v>45.359328671437652</v>
      </c>
      <c r="S815" s="25">
        <f>S814*(1+D814)+Table9[[#This Row],[ACC FACTOR PAYMENTS]]</f>
        <v>14213.07831367815</v>
      </c>
    </row>
    <row r="816" spans="1:19" x14ac:dyDescent="0.25">
      <c r="A816" s="1">
        <v>804</v>
      </c>
      <c r="B816" s="1">
        <f t="shared" si="12"/>
        <v>7880.3958913442566</v>
      </c>
      <c r="C816" s="7">
        <f>G$12/-PV(Table7[Monthly mortgage rate], (12*Table7[Amortization period (yrs)]),1 )</f>
        <v>4377.9977174134756</v>
      </c>
      <c r="D816" s="11">
        <f>IF(Table1[[#This Row],[Month]]&lt;=(12*Table7[mortgage term (yrs)]),Table7[Monthly mortgage rate],Table7[Monthly Exp Renewal Rate])</f>
        <v>4.9038466830562122E-3</v>
      </c>
      <c r="E816" s="21">
        <f>Table1[[#This Row],[Current mortgage rate]]*G815</f>
        <v>-73653.736308308653</v>
      </c>
      <c r="F816" s="5">
        <f>Table1[[#This Row],[Payment amount]]-Table1[[#This Row],[Interest paid]]</f>
        <v>78031.734025722122</v>
      </c>
      <c r="G816" s="20">
        <f>G815-Table1[[#This Row],[Principal repaid]]-Table1[[#This Row],[Annual paym]]</f>
        <v>-15105495.952306395</v>
      </c>
      <c r="H816" s="20">
        <f>H815-(Table1[[#This Row],[Payment amount]]-Table1[[#This Row],[Interest Paid W/O LSP]])</f>
        <v>-9898791.1331972759</v>
      </c>
      <c r="I816">
        <f>H815*Table1[[#This Row],[Current mortgage rate]]</f>
        <v>-48283.908152372736</v>
      </c>
      <c r="J816" s="25">
        <f>IF(Table1[[#This Row],[Month]]&gt;Table7[Amortization period (yrs)]*12,0,IF(Table1[[#This Row],[Month]]&lt;Table7[mortgage term (yrs)]*12,0,IF(Table1[[#This Row],[Month]]=Table7[mortgage term (yrs)]*12,-H$5,Table1[[#This Row],[Payment amount]]+B816)))</f>
        <v>0</v>
      </c>
      <c r="K816">
        <v>805</v>
      </c>
      <c r="L816">
        <f>Table7[Initial Monthly Deposit]*Table9[[#This Row],[Inflation Modifier]]</f>
        <v>1507.5492166845456</v>
      </c>
      <c r="M816">
        <f xml:space="preserve"> (1+Table7[Inflation])^(QUOTIENT(Table9[[#This Row],[Month]]-1,12))</f>
        <v>3.7688730417113643</v>
      </c>
      <c r="N816">
        <f>N815*(1+Table7[Monthly SF Inter])+Table9[[#This Row],[Monthly Payment]]-O815*(1+Table7[Monthly SF Inter])</f>
        <v>409306.55561506248</v>
      </c>
      <c r="O816">
        <f>IF(MOD(Table9[[#This Row],[Month]],12)=0,(IF(Table9[[#This Row],[Current Balance]]&lt;Table9[[#This Row],[Max Lump Sum ]],Table9[[#This Row],[Current Balance]],Table9[[#This Row],[Max Lump Sum ]])),0)</f>
        <v>0</v>
      </c>
      <c r="P816" s="21">
        <f>Table7[Max annual lump sum repayment]*SUM(C817:C828)</f>
        <v>7880.3958913442566</v>
      </c>
      <c r="Q816" s="25">
        <f>Q815*(1+Table7[Monthly SF Inter])+Table9[[#This Row],[Inflation Modifier]]-R815*(1+Table7[Monthly SF Inter])</f>
        <v>3.7688730417113661</v>
      </c>
      <c r="R816" s="25">
        <f>IF(MOD(Table9[[#This Row],[Month]],12)=0,Table9[[#This Row],[Q2 ACC FACTOR]],0)</f>
        <v>0</v>
      </c>
      <c r="S816" s="25">
        <f>S815*(1+D815)+Table9[[#This Row],[ACC FACTOR PAYMENTS]]</f>
        <v>14282.777070622698</v>
      </c>
    </row>
    <row r="817" spans="1:19" x14ac:dyDescent="0.25">
      <c r="A817" s="1">
        <v>805</v>
      </c>
      <c r="B817" s="1">
        <f t="shared" si="12"/>
        <v>0</v>
      </c>
      <c r="C817" s="7">
        <f>G$12/-PV(Table7[Monthly mortgage rate], (12*Table7[Amortization period (yrs)]),1 )</f>
        <v>4377.9977174134756</v>
      </c>
      <c r="D817" s="11">
        <f>IF(Table1[[#This Row],[Month]]&lt;=(12*Table7[mortgage term (yrs)]),Table7[Monthly mortgage rate],Table7[Monthly Exp Renewal Rate])</f>
        <v>4.9038466830562122E-3</v>
      </c>
      <c r="E817" s="21">
        <f>Table1[[#This Row],[Current mortgage rate]]*G816</f>
        <v>-74075.03622163675</v>
      </c>
      <c r="F817" s="5">
        <f>Table1[[#This Row],[Payment amount]]-Table1[[#This Row],[Interest paid]]</f>
        <v>78453.033939050219</v>
      </c>
      <c r="G817" s="20">
        <f>G816-Table1[[#This Row],[Principal repaid]]-Table1[[#This Row],[Annual paym]]</f>
        <v>-15183948.986245446</v>
      </c>
      <c r="H817" s="20">
        <f>H816-(Table1[[#This Row],[Payment amount]]-Table1[[#This Row],[Interest Paid W/O LSP]])</f>
        <v>-9951711.284979485</v>
      </c>
      <c r="I817">
        <f>H816*Table1[[#This Row],[Current mortgage rate]]</f>
        <v>-48542.154064795708</v>
      </c>
      <c r="J817" s="25">
        <f>IF(Table1[[#This Row],[Month]]&gt;Table7[Amortization period (yrs)]*12,0,IF(Table1[[#This Row],[Month]]&lt;Table7[mortgage term (yrs)]*12,0,IF(Table1[[#This Row],[Month]]=Table7[mortgage term (yrs)]*12,-H$5,Table1[[#This Row],[Payment amount]]+B817)))</f>
        <v>0</v>
      </c>
      <c r="K817">
        <v>806</v>
      </c>
      <c r="L817">
        <f>Table7[Initial Monthly Deposit]*Table9[[#This Row],[Inflation Modifier]]</f>
        <v>1507.5492166845456</v>
      </c>
      <c r="M817">
        <f xml:space="preserve"> (1+Table7[Inflation])^(QUOTIENT(Table9[[#This Row],[Month]]-1,12))</f>
        <v>3.7688730417113643</v>
      </c>
      <c r="N817">
        <f>N816*(1+Table7[Monthly SF Inter])+Table9[[#This Row],[Monthly Payment]]-O816*(1+Table7[Monthly SF Inter])</f>
        <v>412502.05046643288</v>
      </c>
      <c r="O817">
        <f>IF(MOD(Table9[[#This Row],[Month]],12)=0,(IF(Table9[[#This Row],[Current Balance]]&lt;Table9[[#This Row],[Max Lump Sum ]],Table9[[#This Row],[Current Balance]],Table9[[#This Row],[Max Lump Sum ]])),0)</f>
        <v>0</v>
      </c>
      <c r="P817" s="21">
        <f>Table7[Max annual lump sum repayment]*SUM(C818:C829)</f>
        <v>7880.3958913442566</v>
      </c>
      <c r="Q817" s="25">
        <f>Q816*(1+Table7[Monthly SF Inter])+Table9[[#This Row],[Inflation Modifier]]-R816*(1+Table7[Monthly SF Inter])</f>
        <v>7.5532885972456096</v>
      </c>
      <c r="R817" s="25">
        <f>IF(MOD(Table9[[#This Row],[Month]],12)=0,Table9[[#This Row],[Q2 ACC FACTOR]],0)</f>
        <v>0</v>
      </c>
      <c r="S817" s="25">
        <f>S816*(1+D816)+Table9[[#This Row],[ACC FACTOR PAYMENTS]]</f>
        <v>14352.817619585303</v>
      </c>
    </row>
    <row r="818" spans="1:19" x14ac:dyDescent="0.25">
      <c r="A818" s="1">
        <v>806</v>
      </c>
      <c r="B818" s="1">
        <f t="shared" si="12"/>
        <v>0</v>
      </c>
      <c r="C818" s="7">
        <f>G$12/-PV(Table7[Monthly mortgage rate], (12*Table7[Amortization period (yrs)]),1 )</f>
        <v>4377.9977174134756</v>
      </c>
      <c r="D818" s="11">
        <f>IF(Table1[[#This Row],[Month]]&lt;=(12*Table7[mortgage term (yrs)]),Table7[Monthly mortgage rate],Table7[Monthly Exp Renewal Rate])</f>
        <v>4.9038466830562122E-3</v>
      </c>
      <c r="E818" s="21">
        <f>Table1[[#This Row],[Current mortgage rate]]*G817</f>
        <v>-74459.757871894471</v>
      </c>
      <c r="F818" s="5">
        <f>Table1[[#This Row],[Payment amount]]-Table1[[#This Row],[Interest paid]]</f>
        <v>78837.755589307941</v>
      </c>
      <c r="G818" s="20">
        <f>G817-Table1[[#This Row],[Principal repaid]]-Table1[[#This Row],[Annual paym]]</f>
        <v>-15262786.741834754</v>
      </c>
      <c r="H818" s="20">
        <f>H817-(Table1[[#This Row],[Payment amount]]-Table1[[#This Row],[Interest Paid W/O LSP]])</f>
        <v>-10004890.949072478</v>
      </c>
      <c r="I818">
        <f>H817*Table1[[#This Row],[Current mortgage rate]]</f>
        <v>-48801.66637557972</v>
      </c>
      <c r="J818" s="25">
        <f>IF(Table1[[#This Row],[Month]]&gt;Table7[Amortization period (yrs)]*12,0,IF(Table1[[#This Row],[Month]]&lt;Table7[mortgage term (yrs)]*12,0,IF(Table1[[#This Row],[Month]]=Table7[mortgage term (yrs)]*12,-H$5,Table1[[#This Row],[Payment amount]]+B818)))</f>
        <v>0</v>
      </c>
      <c r="K818">
        <v>807</v>
      </c>
      <c r="L818">
        <f>Table7[Initial Monthly Deposit]*Table9[[#This Row],[Inflation Modifier]]</f>
        <v>1507.5492166845456</v>
      </c>
      <c r="M818">
        <f xml:space="preserve"> (1+Table7[Inflation])^(QUOTIENT(Table9[[#This Row],[Month]]-1,12))</f>
        <v>3.7688730417113643</v>
      </c>
      <c r="N818">
        <f>N817*(1+Table7[Monthly SF Inter])+Table9[[#This Row],[Monthly Payment]]-O817*(1+Table7[Monthly SF Inter])</f>
        <v>415710.72326843964</v>
      </c>
      <c r="O818">
        <f>IF(MOD(Table9[[#This Row],[Month]],12)=0,(IF(Table9[[#This Row],[Current Balance]]&lt;Table9[[#This Row],[Max Lump Sum ]],Table9[[#This Row],[Current Balance]],Table9[[#This Row],[Max Lump Sum ]])),0)</f>
        <v>0</v>
      </c>
      <c r="P818" s="21">
        <f>Table7[Max annual lump sum repayment]*SUM(C819:C830)</f>
        <v>7880.3958913442566</v>
      </c>
      <c r="Q818" s="25">
        <f>Q817*(1+Table7[Monthly SF Inter])+Table9[[#This Row],[Inflation Modifier]]-R817*(1+Table7[Monthly SF Inter])</f>
        <v>11.353310762615852</v>
      </c>
      <c r="R818" s="25">
        <f>IF(MOD(Table9[[#This Row],[Month]],12)=0,Table9[[#This Row],[Q2 ACC FACTOR]],0)</f>
        <v>0</v>
      </c>
      <c r="S818" s="25">
        <f>S817*(1+D817)+Table9[[#This Row],[ACC FACTOR PAYMENTS]]</f>
        <v>14423.201636661617</v>
      </c>
    </row>
    <row r="819" spans="1:19" x14ac:dyDescent="0.25">
      <c r="A819" s="1">
        <v>807</v>
      </c>
      <c r="B819" s="1">
        <f t="shared" si="12"/>
        <v>0</v>
      </c>
      <c r="C819" s="7">
        <f>G$12/-PV(Table7[Monthly mortgage rate], (12*Table7[Amortization period (yrs)]),1 )</f>
        <v>4377.9977174134756</v>
      </c>
      <c r="D819" s="11">
        <f>IF(Table1[[#This Row],[Month]]&lt;=(12*Table7[mortgage term (yrs)]),Table7[Monthly mortgage rate],Table7[Monthly Exp Renewal Rate])</f>
        <v>4.9038466830562122E-3</v>
      </c>
      <c r="E819" s="21">
        <f>Table1[[#This Row],[Current mortgage rate]]*G818</f>
        <v>-74846.366138140686</v>
      </c>
      <c r="F819" s="5">
        <f>Table1[[#This Row],[Payment amount]]-Table1[[#This Row],[Interest paid]]</f>
        <v>79224.363855554155</v>
      </c>
      <c r="G819" s="20">
        <f>G818-Table1[[#This Row],[Principal repaid]]-Table1[[#This Row],[Annual paym]]</f>
        <v>-15342011.105690308</v>
      </c>
      <c r="H819" s="20">
        <f>H818-(Table1[[#This Row],[Payment amount]]-Table1[[#This Row],[Interest Paid W/O LSP]])</f>
        <v>-10058331.39808484</v>
      </c>
      <c r="I819">
        <f>H818*Table1[[#This Row],[Current mortgage rate]]</f>
        <v>-49062.451294948194</v>
      </c>
      <c r="J819" s="25">
        <f>IF(Table1[[#This Row],[Month]]&gt;Table7[Amortization period (yrs)]*12,0,IF(Table1[[#This Row],[Month]]&lt;Table7[mortgage term (yrs)]*12,0,IF(Table1[[#This Row],[Month]]=Table7[mortgage term (yrs)]*12,-H$5,Table1[[#This Row],[Payment amount]]+B819)))</f>
        <v>0</v>
      </c>
      <c r="K819">
        <v>808</v>
      </c>
      <c r="L819">
        <f>Table7[Initial Monthly Deposit]*Table9[[#This Row],[Inflation Modifier]]</f>
        <v>1507.5492166845456</v>
      </c>
      <c r="M819">
        <f xml:space="preserve"> (1+Table7[Inflation])^(QUOTIENT(Table9[[#This Row],[Month]]-1,12))</f>
        <v>3.7688730417113643</v>
      </c>
      <c r="N819">
        <f>N818*(1+Table7[Monthly SF Inter])+Table9[[#This Row],[Monthly Payment]]-O818*(1+Table7[Monthly SF Inter])</f>
        <v>418932.62836583721</v>
      </c>
      <c r="O819">
        <f>IF(MOD(Table9[[#This Row],[Month]],12)=0,(IF(Table9[[#This Row],[Current Balance]]&lt;Table9[[#This Row],[Max Lump Sum ]],Table9[[#This Row],[Current Balance]],Table9[[#This Row],[Max Lump Sum ]])),0)</f>
        <v>0</v>
      </c>
      <c r="P819" s="21">
        <f>Table7[Max annual lump sum repayment]*SUM(C820:C831)</f>
        <v>7880.3958913442566</v>
      </c>
      <c r="Q819" s="25">
        <f>Q818*(1+Table7[Monthly SF Inter])+Table9[[#This Row],[Inflation Modifier]]-R818*(1+Table7[Monthly SF Inter])</f>
        <v>15.169003898161757</v>
      </c>
      <c r="R819" s="25">
        <f>IF(MOD(Table9[[#This Row],[Month]],12)=0,Table9[[#This Row],[Q2 ACC FACTOR]],0)</f>
        <v>0</v>
      </c>
      <c r="S819" s="25">
        <f>S818*(1+D818)+Table9[[#This Row],[ACC FACTOR PAYMENTS]]</f>
        <v>14493.930806166611</v>
      </c>
    </row>
    <row r="820" spans="1:19" x14ac:dyDescent="0.25">
      <c r="A820" s="1">
        <v>808</v>
      </c>
      <c r="B820" s="1">
        <f t="shared" si="12"/>
        <v>0</v>
      </c>
      <c r="C820" s="7">
        <f>G$12/-PV(Table7[Monthly mortgage rate], (12*Table7[Amortization period (yrs)]),1 )</f>
        <v>4377.9977174134756</v>
      </c>
      <c r="D820" s="11">
        <f>IF(Table1[[#This Row],[Month]]&lt;=(12*Table7[mortgage term (yrs)]),Table7[Monthly mortgage rate],Table7[Monthly Exp Renewal Rate])</f>
        <v>4.9038466830562122E-3</v>
      </c>
      <c r="E820" s="21">
        <f>Table1[[#This Row],[Current mortgage rate]]*G819</f>
        <v>-75234.87027205099</v>
      </c>
      <c r="F820" s="5">
        <f>Table1[[#This Row],[Payment amount]]-Table1[[#This Row],[Interest paid]]</f>
        <v>79612.867989464459</v>
      </c>
      <c r="G820" s="20">
        <f>G819-Table1[[#This Row],[Principal repaid]]-Table1[[#This Row],[Annual paym]]</f>
        <v>-15421623.973679772</v>
      </c>
      <c r="H820" s="20">
        <f>H819-(Table1[[#This Row],[Payment amount]]-Table1[[#This Row],[Interest Paid W/O LSP]])</f>
        <v>-10112033.910865832</v>
      </c>
      <c r="I820">
        <f>H819*Table1[[#This Row],[Current mortgage rate]]</f>
        <v>-49324.515063578496</v>
      </c>
      <c r="J820" s="25">
        <f>IF(Table1[[#This Row],[Month]]&gt;Table7[Amortization period (yrs)]*12,0,IF(Table1[[#This Row],[Month]]&lt;Table7[mortgage term (yrs)]*12,0,IF(Table1[[#This Row],[Month]]=Table7[mortgage term (yrs)]*12,-H$5,Table1[[#This Row],[Payment amount]]+B820)))</f>
        <v>0</v>
      </c>
      <c r="K820">
        <v>809</v>
      </c>
      <c r="L820">
        <f>Table7[Initial Monthly Deposit]*Table9[[#This Row],[Inflation Modifier]]</f>
        <v>1507.5492166845456</v>
      </c>
      <c r="M820">
        <f xml:space="preserve"> (1+Table7[Inflation])^(QUOTIENT(Table9[[#This Row],[Month]]-1,12))</f>
        <v>3.7688730417113643</v>
      </c>
      <c r="N820">
        <f>N819*(1+Table7[Monthly SF Inter])+Table9[[#This Row],[Monthly Payment]]-O819*(1+Table7[Monthly SF Inter])</f>
        <v>422167.82032749313</v>
      </c>
      <c r="O820">
        <f>IF(MOD(Table9[[#This Row],[Month]],12)=0,(IF(Table9[[#This Row],[Current Balance]]&lt;Table9[[#This Row],[Max Lump Sum ]],Table9[[#This Row],[Current Balance]],Table9[[#This Row],[Max Lump Sum ]])),0)</f>
        <v>0</v>
      </c>
      <c r="P820" s="21">
        <f>Table7[Max annual lump sum repayment]*SUM(C821:C832)</f>
        <v>7880.3958913442566</v>
      </c>
      <c r="Q820" s="25">
        <f>Q819*(1+Table7[Monthly SF Inter])+Table9[[#This Row],[Inflation Modifier]]-R819*(1+Table7[Monthly SF Inter])</f>
        <v>19.000432629639583</v>
      </c>
      <c r="R820" s="25">
        <f>IF(MOD(Table9[[#This Row],[Month]],12)=0,Table9[[#This Row],[Q2 ACC FACTOR]],0)</f>
        <v>0</v>
      </c>
      <c r="S820" s="25">
        <f>S819*(1+D819)+Table9[[#This Row],[ACC FACTOR PAYMENTS]]</f>
        <v>14565.006820674877</v>
      </c>
    </row>
    <row r="821" spans="1:19" x14ac:dyDescent="0.25">
      <c r="A821" s="1">
        <v>809</v>
      </c>
      <c r="B821" s="1">
        <f t="shared" si="12"/>
        <v>0</v>
      </c>
      <c r="C821" s="7">
        <f>G$12/-PV(Table7[Monthly mortgage rate], (12*Table7[Amortization period (yrs)]),1 )</f>
        <v>4377.9977174134756</v>
      </c>
      <c r="D821" s="11">
        <f>IF(Table1[[#This Row],[Month]]&lt;=(12*Table7[mortgage term (yrs)]),Table7[Monthly mortgage rate],Table7[Monthly Exp Renewal Rate])</f>
        <v>4.9038466830562122E-3</v>
      </c>
      <c r="E821" s="21">
        <f>Table1[[#This Row],[Current mortgage rate]]*G820</f>
        <v>-75625.279570669707</v>
      </c>
      <c r="F821" s="5">
        <f>Table1[[#This Row],[Payment amount]]-Table1[[#This Row],[Interest paid]]</f>
        <v>80003.277288083176</v>
      </c>
      <c r="G821" s="20">
        <f>G820-Table1[[#This Row],[Principal repaid]]-Table1[[#This Row],[Annual paym]]</f>
        <v>-15501627.250967855</v>
      </c>
      <c r="H821" s="20">
        <f>H820-(Table1[[#This Row],[Payment amount]]-Table1[[#This Row],[Interest Paid W/O LSP]])</f>
        <v>-10165999.772535997</v>
      </c>
      <c r="I821">
        <f>H820*Table1[[#This Row],[Current mortgage rate]]</f>
        <v>-49587.863952751351</v>
      </c>
      <c r="J821" s="25">
        <f>IF(Table1[[#This Row],[Month]]&gt;Table7[Amortization period (yrs)]*12,0,IF(Table1[[#This Row],[Month]]&lt;Table7[mortgage term (yrs)]*12,0,IF(Table1[[#This Row],[Month]]=Table7[mortgage term (yrs)]*12,-H$5,Table1[[#This Row],[Payment amount]]+B821)))</f>
        <v>0</v>
      </c>
      <c r="K821">
        <v>810</v>
      </c>
      <c r="L821">
        <f>Table7[Initial Monthly Deposit]*Table9[[#This Row],[Inflation Modifier]]</f>
        <v>1507.5492166845456</v>
      </c>
      <c r="M821">
        <f xml:space="preserve"> (1+Table7[Inflation])^(QUOTIENT(Table9[[#This Row],[Month]]-1,12))</f>
        <v>3.7688730417113643</v>
      </c>
      <c r="N821">
        <f>N820*(1+Table7[Monthly SF Inter])+Table9[[#This Row],[Monthly Payment]]-O820*(1+Table7[Monthly SF Inter])</f>
        <v>425416.35394731245</v>
      </c>
      <c r="O821">
        <f>IF(MOD(Table9[[#This Row],[Month]],12)=0,(IF(Table9[[#This Row],[Current Balance]]&lt;Table9[[#This Row],[Max Lump Sum ]],Table9[[#This Row],[Current Balance]],Table9[[#This Row],[Max Lump Sum ]])),0)</f>
        <v>0</v>
      </c>
      <c r="P821" s="21">
        <f>Table7[Max annual lump sum repayment]*SUM(C822:C833)</f>
        <v>7880.3958913442566</v>
      </c>
      <c r="Q821" s="25">
        <f>Q820*(1+Table7[Monthly SF Inter])+Table9[[#This Row],[Inflation Modifier]]-R820*(1+Table7[Monthly SF Inter])</f>
        <v>22.847661849316751</v>
      </c>
      <c r="R821" s="25">
        <f>IF(MOD(Table9[[#This Row],[Month]],12)=0,Table9[[#This Row],[Q2 ACC FACTOR]],0)</f>
        <v>0</v>
      </c>
      <c r="S821" s="25">
        <f>S820*(1+D820)+Table9[[#This Row],[ACC FACTOR PAYMENTS]]</f>
        <v>14636.431381061135</v>
      </c>
    </row>
    <row r="822" spans="1:19" x14ac:dyDescent="0.25">
      <c r="A822" s="1">
        <v>810</v>
      </c>
      <c r="B822" s="1">
        <f t="shared" si="12"/>
        <v>0</v>
      </c>
      <c r="C822" s="7">
        <f>G$12/-PV(Table7[Monthly mortgage rate], (12*Table7[Amortization period (yrs)]),1 )</f>
        <v>4377.9977174134756</v>
      </c>
      <c r="D822" s="11">
        <f>IF(Table1[[#This Row],[Month]]&lt;=(12*Table7[mortgage term (yrs)]),Table7[Monthly mortgage rate],Table7[Monthly Exp Renewal Rate])</f>
        <v>4.9038466830562122E-3</v>
      </c>
      <c r="E822" s="21">
        <f>Table1[[#This Row],[Current mortgage rate]]*G821</f>
        <v>-76017.603376632498</v>
      </c>
      <c r="F822" s="5">
        <f>Table1[[#This Row],[Payment amount]]-Table1[[#This Row],[Interest paid]]</f>
        <v>80395.601094045967</v>
      </c>
      <c r="G822" s="20">
        <f>G821-Table1[[#This Row],[Principal repaid]]-Table1[[#This Row],[Annual paym]]</f>
        <v>-15582022.852061901</v>
      </c>
      <c r="H822" s="20">
        <f>H821-(Table1[[#This Row],[Payment amount]]-Table1[[#This Row],[Interest Paid W/O LSP]])</f>
        <v>-10220230.274517911</v>
      </c>
      <c r="I822">
        <f>H821*Table1[[#This Row],[Current mortgage rate]]</f>
        <v>-49852.504264500851</v>
      </c>
      <c r="J822" s="25">
        <f>IF(Table1[[#This Row],[Month]]&gt;Table7[Amortization period (yrs)]*12,0,IF(Table1[[#This Row],[Month]]&lt;Table7[mortgage term (yrs)]*12,0,IF(Table1[[#This Row],[Month]]=Table7[mortgage term (yrs)]*12,-H$5,Table1[[#This Row],[Payment amount]]+B822)))</f>
        <v>0</v>
      </c>
      <c r="K822">
        <v>811</v>
      </c>
      <c r="L822">
        <f>Table7[Initial Monthly Deposit]*Table9[[#This Row],[Inflation Modifier]]</f>
        <v>1507.5492166845456</v>
      </c>
      <c r="M822">
        <f xml:space="preserve"> (1+Table7[Inflation])^(QUOTIENT(Table9[[#This Row],[Month]]-1,12))</f>
        <v>3.7688730417113643</v>
      </c>
      <c r="N822">
        <f>N821*(1+Table7[Monthly SF Inter])+Table9[[#This Row],[Monthly Payment]]-O821*(1+Table7[Monthly SF Inter])</f>
        <v>428678.28424516559</v>
      </c>
      <c r="O822">
        <f>IF(MOD(Table9[[#This Row],[Month]],12)=0,(IF(Table9[[#This Row],[Current Balance]]&lt;Table9[[#This Row],[Max Lump Sum ]],Table9[[#This Row],[Current Balance]],Table9[[#This Row],[Max Lump Sum ]])),0)</f>
        <v>0</v>
      </c>
      <c r="P822" s="21">
        <f>Table7[Max annual lump sum repayment]*SUM(C823:C834)</f>
        <v>7880.3958913442566</v>
      </c>
      <c r="Q822" s="25">
        <f>Q821*(1+Table7[Monthly SF Inter])+Table9[[#This Row],[Inflation Modifier]]-R821*(1+Table7[Monthly SF Inter])</f>
        <v>26.7107567170709</v>
      </c>
      <c r="R822" s="25">
        <f>IF(MOD(Table9[[#This Row],[Month]],12)=0,Table9[[#This Row],[Q2 ACC FACTOR]],0)</f>
        <v>0</v>
      </c>
      <c r="S822" s="25">
        <f>S821*(1+D821)+Table9[[#This Row],[ACC FACTOR PAYMENTS]]</f>
        <v>14708.206196540932</v>
      </c>
    </row>
    <row r="823" spans="1:19" x14ac:dyDescent="0.25">
      <c r="A823" s="1">
        <v>811</v>
      </c>
      <c r="B823" s="1">
        <f t="shared" si="12"/>
        <v>0</v>
      </c>
      <c r="C823" s="7">
        <f>G$12/-PV(Table7[Monthly mortgage rate], (12*Table7[Amortization period (yrs)]),1 )</f>
        <v>4377.9977174134756</v>
      </c>
      <c r="D823" s="11">
        <f>IF(Table1[[#This Row],[Month]]&lt;=(12*Table7[mortgage term (yrs)]),Table7[Monthly mortgage rate],Table7[Monthly Exp Renewal Rate])</f>
        <v>4.9038466830562122E-3</v>
      </c>
      <c r="E823" s="21">
        <f>Table1[[#This Row],[Current mortgage rate]]*G822</f>
        <v>-76411.851078389853</v>
      </c>
      <c r="F823" s="5">
        <f>Table1[[#This Row],[Payment amount]]-Table1[[#This Row],[Interest paid]]</f>
        <v>80789.848795803322</v>
      </c>
      <c r="G823" s="20">
        <f>G822-Table1[[#This Row],[Principal repaid]]-Table1[[#This Row],[Annual paym]]</f>
        <v>-15662812.700857705</v>
      </c>
      <c r="H823" s="20">
        <f>H822-(Table1[[#This Row],[Payment amount]]-Table1[[#This Row],[Interest Paid W/O LSP]])</f>
        <v>-10274726.714567089</v>
      </c>
      <c r="I823">
        <f>H822*Table1[[#This Row],[Current mortgage rate]]</f>
        <v>-50118.442331765335</v>
      </c>
      <c r="J823" s="25">
        <f>IF(Table1[[#This Row],[Month]]&gt;Table7[Amortization period (yrs)]*12,0,IF(Table1[[#This Row],[Month]]&lt;Table7[mortgage term (yrs)]*12,0,IF(Table1[[#This Row],[Month]]=Table7[mortgage term (yrs)]*12,-H$5,Table1[[#This Row],[Payment amount]]+B823)))</f>
        <v>0</v>
      </c>
      <c r="K823">
        <v>812</v>
      </c>
      <c r="L823">
        <f>Table7[Initial Monthly Deposit]*Table9[[#This Row],[Inflation Modifier]]</f>
        <v>1507.5492166845456</v>
      </c>
      <c r="M823">
        <f xml:space="preserve"> (1+Table7[Inflation])^(QUOTIENT(Table9[[#This Row],[Month]]-1,12))</f>
        <v>3.7688730417113643</v>
      </c>
      <c r="N823">
        <f>N822*(1+Table7[Monthly SF Inter])+Table9[[#This Row],[Monthly Payment]]-O822*(1+Table7[Monthly SF Inter])</f>
        <v>431953.66646782024</v>
      </c>
      <c r="O823">
        <f>IF(MOD(Table9[[#This Row],[Month]],12)=0,(IF(Table9[[#This Row],[Current Balance]]&lt;Table9[[#This Row],[Max Lump Sum ]],Table9[[#This Row],[Current Balance]],Table9[[#This Row],[Max Lump Sum ]])),0)</f>
        <v>0</v>
      </c>
      <c r="P823" s="21">
        <f>Table7[Max annual lump sum repayment]*SUM(C824:C835)</f>
        <v>7880.3958913442566</v>
      </c>
      <c r="Q823" s="25">
        <f>Q822*(1+Table7[Monthly SF Inter])+Table9[[#This Row],[Inflation Modifier]]-R822*(1+Table7[Monthly SF Inter])</f>
        <v>30.589782661493501</v>
      </c>
      <c r="R823" s="25">
        <f>IF(MOD(Table9[[#This Row],[Month]],12)=0,Table9[[#This Row],[Q2 ACC FACTOR]],0)</f>
        <v>0</v>
      </c>
      <c r="S823" s="25">
        <f>S822*(1+D822)+Table9[[#This Row],[ACC FACTOR PAYMENTS]]</f>
        <v>14780.332984711546</v>
      </c>
    </row>
    <row r="824" spans="1:19" x14ac:dyDescent="0.25">
      <c r="A824" s="1">
        <v>812</v>
      </c>
      <c r="B824" s="1">
        <f t="shared" si="12"/>
        <v>0</v>
      </c>
      <c r="C824" s="7">
        <f>G$12/-PV(Table7[Monthly mortgage rate], (12*Table7[Amortization period (yrs)]),1 )</f>
        <v>4377.9977174134756</v>
      </c>
      <c r="D824" s="11">
        <f>IF(Table1[[#This Row],[Month]]&lt;=(12*Table7[mortgage term (yrs)]),Table7[Monthly mortgage rate],Table7[Monthly Exp Renewal Rate])</f>
        <v>4.9038466830562122E-3</v>
      </c>
      <c r="E824" s="21">
        <f>Table1[[#This Row],[Current mortgage rate]]*G823</f>
        <v>-76808.03211043177</v>
      </c>
      <c r="F824" s="5">
        <f>Table1[[#This Row],[Payment amount]]-Table1[[#This Row],[Interest paid]]</f>
        <v>81186.029827845239</v>
      </c>
      <c r="G824" s="20">
        <f>G823-Table1[[#This Row],[Principal repaid]]-Table1[[#This Row],[Annual paym]]</f>
        <v>-15743998.730685549</v>
      </c>
      <c r="H824" s="20">
        <f>H823-(Table1[[#This Row],[Payment amount]]-Table1[[#This Row],[Interest Paid W/O LSP]])</f>
        <v>-10329490.396803042</v>
      </c>
      <c r="I824">
        <f>H823*Table1[[#This Row],[Current mortgage rate]]</f>
        <v>-50385.684518538874</v>
      </c>
      <c r="J824" s="25">
        <f>IF(Table1[[#This Row],[Month]]&gt;Table7[Amortization period (yrs)]*12,0,IF(Table1[[#This Row],[Month]]&lt;Table7[mortgage term (yrs)]*12,0,IF(Table1[[#This Row],[Month]]=Table7[mortgage term (yrs)]*12,-H$5,Table1[[#This Row],[Payment amount]]+B824)))</f>
        <v>0</v>
      </c>
      <c r="K824">
        <v>813</v>
      </c>
      <c r="L824">
        <f>Table7[Initial Monthly Deposit]*Table9[[#This Row],[Inflation Modifier]]</f>
        <v>1507.5492166845456</v>
      </c>
      <c r="M824">
        <f xml:space="preserve"> (1+Table7[Inflation])^(QUOTIENT(Table9[[#This Row],[Month]]-1,12))</f>
        <v>3.7688730417113643</v>
      </c>
      <c r="N824">
        <f>N823*(1+Table7[Monthly SF Inter])+Table9[[#This Row],[Monthly Payment]]-O823*(1+Table7[Monthly SF Inter])</f>
        <v>435242.55608987715</v>
      </c>
      <c r="O824">
        <f>IF(MOD(Table9[[#This Row],[Month]],12)=0,(IF(Table9[[#This Row],[Current Balance]]&lt;Table9[[#This Row],[Max Lump Sum ]],Table9[[#This Row],[Current Balance]],Table9[[#This Row],[Max Lump Sum ]])),0)</f>
        <v>0</v>
      </c>
      <c r="P824" s="21">
        <f>Table7[Max annual lump sum repayment]*SUM(C825:C836)</f>
        <v>7880.3958913442566</v>
      </c>
      <c r="Q824" s="25">
        <f>Q823*(1+Table7[Monthly SF Inter])+Table9[[#This Row],[Inflation Modifier]]-R823*(1+Table7[Monthly SF Inter])</f>
        <v>34.484805380997997</v>
      </c>
      <c r="R824" s="25">
        <f>IF(MOD(Table9[[#This Row],[Month]],12)=0,Table9[[#This Row],[Q2 ACC FACTOR]],0)</f>
        <v>0</v>
      </c>
      <c r="S824" s="25">
        <f>S823*(1+D823)+Table9[[#This Row],[ACC FACTOR PAYMENTS]]</f>
        <v>14852.81347159309</v>
      </c>
    </row>
    <row r="825" spans="1:19" x14ac:dyDescent="0.25">
      <c r="A825" s="1">
        <v>813</v>
      </c>
      <c r="B825" s="1">
        <f t="shared" si="12"/>
        <v>0</v>
      </c>
      <c r="C825" s="7">
        <f>G$12/-PV(Table7[Monthly mortgage rate], (12*Table7[Amortization period (yrs)]),1 )</f>
        <v>4377.9977174134756</v>
      </c>
      <c r="D825" s="11">
        <f>IF(Table1[[#This Row],[Month]]&lt;=(12*Table7[mortgage term (yrs)]),Table7[Monthly mortgage rate],Table7[Monthly Exp Renewal Rate])</f>
        <v>4.9038466830562122E-3</v>
      </c>
      <c r="E825" s="21">
        <f>Table1[[#This Row],[Current mortgage rate]]*G824</f>
        <v>-77206.155953513546</v>
      </c>
      <c r="F825" s="5">
        <f>Table1[[#This Row],[Payment amount]]-Table1[[#This Row],[Interest paid]]</f>
        <v>81584.153670927015</v>
      </c>
      <c r="G825" s="20">
        <f>G824-Table1[[#This Row],[Principal repaid]]-Table1[[#This Row],[Annual paym]]</f>
        <v>-15825582.884356476</v>
      </c>
      <c r="H825" s="20">
        <f>H824-(Table1[[#This Row],[Payment amount]]-Table1[[#This Row],[Interest Paid W/O LSP]])</f>
        <v>-10384522.631740479</v>
      </c>
      <c r="I825">
        <f>H824*Table1[[#This Row],[Current mortgage rate]]</f>
        <v>-50654.237220023591</v>
      </c>
      <c r="J825" s="25">
        <f>IF(Table1[[#This Row],[Month]]&gt;Table7[Amortization period (yrs)]*12,0,IF(Table1[[#This Row],[Month]]&lt;Table7[mortgage term (yrs)]*12,0,IF(Table1[[#This Row],[Month]]=Table7[mortgage term (yrs)]*12,-H$5,Table1[[#This Row],[Payment amount]]+B825)))</f>
        <v>0</v>
      </c>
      <c r="K825">
        <v>814</v>
      </c>
      <c r="L825">
        <f>Table7[Initial Monthly Deposit]*Table9[[#This Row],[Inflation Modifier]]</f>
        <v>1507.5492166845456</v>
      </c>
      <c r="M825">
        <f xml:space="preserve"> (1+Table7[Inflation])^(QUOTIENT(Table9[[#This Row],[Month]]-1,12))</f>
        <v>3.7688730417113643</v>
      </c>
      <c r="N825">
        <f>N824*(1+Table7[Monthly SF Inter])+Table9[[#This Row],[Monthly Payment]]-O824*(1+Table7[Monthly SF Inter])</f>
        <v>438545.00881470961</v>
      </c>
      <c r="O825">
        <f>IF(MOD(Table9[[#This Row],[Month]],12)=0,(IF(Table9[[#This Row],[Current Balance]]&lt;Table9[[#This Row],[Max Lump Sum ]],Table9[[#This Row],[Current Balance]],Table9[[#This Row],[Max Lump Sum ]])),0)</f>
        <v>0</v>
      </c>
      <c r="P825" s="21">
        <f>Table7[Max annual lump sum repayment]*SUM(C826:C837)</f>
        <v>7880.3958913442566</v>
      </c>
      <c r="Q825" s="25">
        <f>Q824*(1+Table7[Monthly SF Inter])+Table9[[#This Row],[Inflation Modifier]]-R824*(1+Table7[Monthly SF Inter])</f>
        <v>38.395890844932552</v>
      </c>
      <c r="R825" s="25">
        <f>IF(MOD(Table9[[#This Row],[Month]],12)=0,Table9[[#This Row],[Q2 ACC FACTOR]],0)</f>
        <v>0</v>
      </c>
      <c r="S825" s="25">
        <f>S824*(1+D824)+Table9[[#This Row],[ACC FACTOR PAYMENTS]]</f>
        <v>14925.649391669815</v>
      </c>
    </row>
    <row r="826" spans="1:19" x14ac:dyDescent="0.25">
      <c r="A826" s="1">
        <v>814</v>
      </c>
      <c r="B826" s="1">
        <f t="shared" si="12"/>
        <v>0</v>
      </c>
      <c r="C826" s="7">
        <f>G$12/-PV(Table7[Monthly mortgage rate], (12*Table7[Amortization period (yrs)]),1 )</f>
        <v>4377.9977174134756</v>
      </c>
      <c r="D826" s="11">
        <f>IF(Table1[[#This Row],[Month]]&lt;=(12*Table7[mortgage term (yrs)]),Table7[Monthly mortgage rate],Table7[Monthly Exp Renewal Rate])</f>
        <v>4.9038466830562122E-3</v>
      </c>
      <c r="E826" s="21">
        <f>Table1[[#This Row],[Current mortgage rate]]*G825</f>
        <v>-77606.232134882666</v>
      </c>
      <c r="F826" s="5">
        <f>Table1[[#This Row],[Payment amount]]-Table1[[#This Row],[Interest paid]]</f>
        <v>81984.229852296136</v>
      </c>
      <c r="G826" s="20">
        <f>G825-Table1[[#This Row],[Principal repaid]]-Table1[[#This Row],[Annual paym]]</f>
        <v>-15907567.114208773</v>
      </c>
      <c r="H826" s="20">
        <f>H825-(Table1[[#This Row],[Payment amount]]-Table1[[#This Row],[Interest Paid W/O LSP]])</f>
        <v>-10439824.736320674</v>
      </c>
      <c r="I826">
        <f>H825*Table1[[#This Row],[Current mortgage rate]]</f>
        <v>-50924.106862782712</v>
      </c>
      <c r="J826" s="25">
        <f>IF(Table1[[#This Row],[Month]]&gt;Table7[Amortization period (yrs)]*12,0,IF(Table1[[#This Row],[Month]]&lt;Table7[mortgage term (yrs)]*12,0,IF(Table1[[#This Row],[Month]]=Table7[mortgage term (yrs)]*12,-H$5,Table1[[#This Row],[Payment amount]]+B826)))</f>
        <v>0</v>
      </c>
      <c r="K826">
        <v>815</v>
      </c>
      <c r="L826">
        <f>Table7[Initial Monthly Deposit]*Table9[[#This Row],[Inflation Modifier]]</f>
        <v>1507.5492166845456</v>
      </c>
      <c r="M826">
        <f xml:space="preserve"> (1+Table7[Inflation])^(QUOTIENT(Table9[[#This Row],[Month]]-1,12))</f>
        <v>3.7688730417113643</v>
      </c>
      <c r="N826">
        <f>N825*(1+Table7[Monthly SF Inter])+Table9[[#This Row],[Monthly Payment]]-O825*(1+Table7[Monthly SF Inter])</f>
        <v>441861.08057540696</v>
      </c>
      <c r="O826">
        <f>IF(MOD(Table9[[#This Row],[Month]],12)=0,(IF(Table9[[#This Row],[Current Balance]]&lt;Table9[[#This Row],[Max Lump Sum ]],Table9[[#This Row],[Current Balance]],Table9[[#This Row],[Max Lump Sum ]])),0)</f>
        <v>0</v>
      </c>
      <c r="P826" s="21">
        <f>Table7[Max annual lump sum repayment]*SUM(C827:C838)</f>
        <v>7880.3958913442566</v>
      </c>
      <c r="Q826" s="25">
        <f>Q825*(1+Table7[Monthly SF Inter])+Table9[[#This Row],[Inflation Modifier]]-R825*(1+Table7[Monthly SF Inter])</f>
        <v>42.323105294697328</v>
      </c>
      <c r="R826" s="25">
        <f>IF(MOD(Table9[[#This Row],[Month]],12)=0,Table9[[#This Row],[Q2 ACC FACTOR]],0)</f>
        <v>0</v>
      </c>
      <c r="S826" s="25">
        <f>S825*(1+D825)+Table9[[#This Row],[ACC FACTOR PAYMENTS]]</f>
        <v>14998.842487931615</v>
      </c>
    </row>
    <row r="827" spans="1:19" x14ac:dyDescent="0.25">
      <c r="A827" s="1">
        <v>815</v>
      </c>
      <c r="B827" s="1">
        <f t="shared" si="12"/>
        <v>0</v>
      </c>
      <c r="C827" s="7">
        <f>G$12/-PV(Table7[Monthly mortgage rate], (12*Table7[Amortization period (yrs)]),1 )</f>
        <v>4377.9977174134756</v>
      </c>
      <c r="D827" s="11">
        <f>IF(Table1[[#This Row],[Month]]&lt;=(12*Table7[mortgage term (yrs)]),Table7[Monthly mortgage rate],Table7[Monthly Exp Renewal Rate])</f>
        <v>4.9038466830562122E-3</v>
      </c>
      <c r="E827" s="21">
        <f>Table1[[#This Row],[Current mortgage rate]]*G826</f>
        <v>-78008.270228506764</v>
      </c>
      <c r="F827" s="5">
        <f>Table1[[#This Row],[Payment amount]]-Table1[[#This Row],[Interest paid]]</f>
        <v>82386.267945920234</v>
      </c>
      <c r="G827" s="20">
        <f>G826-Table1[[#This Row],[Principal repaid]]-Table1[[#This Row],[Annual paym]]</f>
        <v>-15989953.382154694</v>
      </c>
      <c r="H827" s="20">
        <f>H826-(Table1[[#This Row],[Payment amount]]-Table1[[#This Row],[Interest Paid W/O LSP]])</f>
        <v>-10495398.033942983</v>
      </c>
      <c r="I827">
        <f>H826*Table1[[#This Row],[Current mortgage rate]]</f>
        <v>-51195.299904894331</v>
      </c>
      <c r="J827" s="25">
        <f>IF(Table1[[#This Row],[Month]]&gt;Table7[Amortization period (yrs)]*12,0,IF(Table1[[#This Row],[Month]]&lt;Table7[mortgage term (yrs)]*12,0,IF(Table1[[#This Row],[Month]]=Table7[mortgage term (yrs)]*12,-H$5,Table1[[#This Row],[Payment amount]]+B827)))</f>
        <v>0</v>
      </c>
      <c r="K827">
        <v>816</v>
      </c>
      <c r="L827">
        <f>Table7[Initial Monthly Deposit]*Table9[[#This Row],[Inflation Modifier]]</f>
        <v>1507.5492166845456</v>
      </c>
      <c r="M827">
        <f xml:space="preserve"> (1+Table7[Inflation])^(QUOTIENT(Table9[[#This Row],[Month]]-1,12))</f>
        <v>3.7688730417113643</v>
      </c>
      <c r="N827">
        <f>N826*(1+Table7[Monthly SF Inter])+Table9[[#This Row],[Monthly Payment]]-O826*(1+Table7[Monthly SF Inter])</f>
        <v>445190.82753572176</v>
      </c>
      <c r="O827">
        <f>IF(MOD(Table9[[#This Row],[Month]],12)=0,(IF(Table9[[#This Row],[Current Balance]]&lt;Table9[[#This Row],[Max Lump Sum ]],Table9[[#This Row],[Current Balance]],Table9[[#This Row],[Max Lump Sum ]])),0)</f>
        <v>7880.3958913442566</v>
      </c>
      <c r="P827" s="21">
        <f>Table7[Max annual lump sum repayment]*SUM(C828:C839)</f>
        <v>7880.3958913442566</v>
      </c>
      <c r="Q827" s="25">
        <f>Q826*(1+Table7[Monthly SF Inter])+Table9[[#This Row],[Inflation Modifier]]-R826*(1+Table7[Monthly SF Inter])</f>
        <v>46.266515244866426</v>
      </c>
      <c r="R827" s="25">
        <f>IF(MOD(Table9[[#This Row],[Month]],12)=0,Table9[[#This Row],[Q2 ACC FACTOR]],0)</f>
        <v>46.266515244866426</v>
      </c>
      <c r="S827" s="25">
        <f>S826*(1+D826)+Table9[[#This Row],[ACC FACTOR PAYMENTS]]</f>
        <v>15118.661027160608</v>
      </c>
    </row>
    <row r="828" spans="1:19" x14ac:dyDescent="0.25">
      <c r="A828" s="1">
        <v>816</v>
      </c>
      <c r="B828" s="1">
        <f t="shared" si="12"/>
        <v>7880.3958913442566</v>
      </c>
      <c r="C828" s="7">
        <f>G$12/-PV(Table7[Monthly mortgage rate], (12*Table7[Amortization period (yrs)]),1 )</f>
        <v>4377.9977174134756</v>
      </c>
      <c r="D828" s="11">
        <f>IF(Table1[[#This Row],[Month]]&lt;=(12*Table7[mortgage term (yrs)]),Table7[Monthly mortgage rate],Table7[Monthly Exp Renewal Rate])</f>
        <v>4.9038466830562122E-3</v>
      </c>
      <c r="E828" s="21">
        <f>Table1[[#This Row],[Current mortgage rate]]*G827</f>
        <v>-78412.279855302753</v>
      </c>
      <c r="F828" s="5">
        <f>Table1[[#This Row],[Payment amount]]-Table1[[#This Row],[Interest paid]]</f>
        <v>82790.277572716222</v>
      </c>
      <c r="G828" s="20">
        <f>G827-Table1[[#This Row],[Principal repaid]]-Table1[[#This Row],[Annual paym]]</f>
        <v>-16080624.055618754</v>
      </c>
      <c r="H828" s="20">
        <f>H827-(Table1[[#This Row],[Payment amount]]-Table1[[#This Row],[Interest Paid W/O LSP]])</f>
        <v>-10551243.854496501</v>
      </c>
      <c r="I828">
        <f>H827*Table1[[#This Row],[Current mortgage rate]]</f>
        <v>-51467.822836105988</v>
      </c>
      <c r="J828" s="25">
        <f>IF(Table1[[#This Row],[Month]]&gt;Table7[Amortization period (yrs)]*12,0,IF(Table1[[#This Row],[Month]]&lt;Table7[mortgage term (yrs)]*12,0,IF(Table1[[#This Row],[Month]]=Table7[mortgage term (yrs)]*12,-H$5,Table1[[#This Row],[Payment amount]]+B828)))</f>
        <v>0</v>
      </c>
      <c r="K828">
        <v>817</v>
      </c>
      <c r="L828">
        <f>Table7[Initial Monthly Deposit]*Table9[[#This Row],[Inflation Modifier]]</f>
        <v>1537.7002010182366</v>
      </c>
      <c r="M828">
        <f xml:space="preserve"> (1+Table7[Inflation])^(QUOTIENT(Table9[[#This Row],[Month]]-1,12))</f>
        <v>3.8442505025455915</v>
      </c>
      <c r="N828">
        <f>N827*(1+Table7[Monthly SF Inter])+Table9[[#This Row],[Monthly Payment]]-O827*(1+Table7[Monthly SF Inter])</f>
        <v>440651.56309752289</v>
      </c>
      <c r="O828">
        <f>IF(MOD(Table9[[#This Row],[Month]],12)=0,(IF(Table9[[#This Row],[Current Balance]]&lt;Table9[[#This Row],[Max Lump Sum ]],Table9[[#This Row],[Current Balance]],Table9[[#This Row],[Max Lump Sum ]])),0)</f>
        <v>0</v>
      </c>
      <c r="P828" s="21">
        <f>Table7[Max annual lump sum repayment]*SUM(C829:C840)</f>
        <v>7880.3958913442566</v>
      </c>
      <c r="Q828" s="25">
        <f>Q827*(1+Table7[Monthly SF Inter])+Table9[[#This Row],[Inflation Modifier]]-R827*(1+Table7[Monthly SF Inter])</f>
        <v>3.8442505025455915</v>
      </c>
      <c r="R828" s="25">
        <f>IF(MOD(Table9[[#This Row],[Month]],12)=0,Table9[[#This Row],[Q2 ACC FACTOR]],0)</f>
        <v>0</v>
      </c>
      <c r="S828" s="25">
        <f>S827*(1+D827)+Table9[[#This Row],[ACC FACTOR PAYMENTS]]</f>
        <v>15192.8006228909</v>
      </c>
    </row>
    <row r="829" spans="1:19" x14ac:dyDescent="0.25">
      <c r="A829" s="1">
        <v>817</v>
      </c>
      <c r="B829" s="1">
        <f t="shared" si="12"/>
        <v>0</v>
      </c>
      <c r="C829" s="7">
        <f>G$12/-PV(Table7[Monthly mortgage rate], (12*Table7[Amortization period (yrs)]),1 )</f>
        <v>4377.9977174134756</v>
      </c>
      <c r="D829" s="11">
        <f>IF(Table1[[#This Row],[Month]]&lt;=(12*Table7[mortgage term (yrs)]),Table7[Monthly mortgage rate],Table7[Monthly Exp Renewal Rate])</f>
        <v>4.9038466830562122E-3</v>
      </c>
      <c r="E829" s="21">
        <f>Table1[[#This Row],[Current mortgage rate]]*G828</f>
        <v>-78856.914936619956</v>
      </c>
      <c r="F829" s="5">
        <f>Table1[[#This Row],[Payment amount]]-Table1[[#This Row],[Interest paid]]</f>
        <v>83234.912654033425</v>
      </c>
      <c r="G829" s="20">
        <f>G828-Table1[[#This Row],[Principal repaid]]-Table1[[#This Row],[Annual paym]]</f>
        <v>-16163858.968272787</v>
      </c>
      <c r="H829" s="20">
        <f>H828-(Table1[[#This Row],[Payment amount]]-Table1[[#This Row],[Interest Paid W/O LSP]])</f>
        <v>-10607363.534391904</v>
      </c>
      <c r="I829">
        <f>H828*Table1[[#This Row],[Current mortgage rate]]</f>
        <v>-51741.682177989911</v>
      </c>
      <c r="J829" s="25">
        <f>IF(Table1[[#This Row],[Month]]&gt;Table7[Amortization period (yrs)]*12,0,IF(Table1[[#This Row],[Month]]&lt;Table7[mortgage term (yrs)]*12,0,IF(Table1[[#This Row],[Month]]=Table7[mortgage term (yrs)]*12,-H$5,Table1[[#This Row],[Payment amount]]+B829)))</f>
        <v>0</v>
      </c>
      <c r="K829">
        <v>818</v>
      </c>
      <c r="L829">
        <f>Table7[Initial Monthly Deposit]*Table9[[#This Row],[Inflation Modifier]]</f>
        <v>1537.7002010182366</v>
      </c>
      <c r="M829">
        <f xml:space="preserve"> (1+Table7[Inflation])^(QUOTIENT(Table9[[#This Row],[Month]]-1,12))</f>
        <v>3.8442505025455915</v>
      </c>
      <c r="N829">
        <f>N828*(1+Table7[Monthly SF Inter])+Table9[[#This Row],[Monthly Payment]]-O828*(1+Table7[Monthly SF Inter])</f>
        <v>444006.47309433902</v>
      </c>
      <c r="O829">
        <f>IF(MOD(Table9[[#This Row],[Month]],12)=0,(IF(Table9[[#This Row],[Current Balance]]&lt;Table9[[#This Row],[Max Lump Sum ]],Table9[[#This Row],[Current Balance]],Table9[[#This Row],[Max Lump Sum ]])),0)</f>
        <v>0</v>
      </c>
      <c r="P829" s="21">
        <f>Table7[Max annual lump sum repayment]*SUM(C830:C841)</f>
        <v>7880.3958913442566</v>
      </c>
      <c r="Q829" s="25">
        <f>Q828*(1+Table7[Monthly SF Inter])+Table9[[#This Row],[Inflation Modifier]]-R828*(1+Table7[Monthly SF Inter])</f>
        <v>7.7043543691905194</v>
      </c>
      <c r="R829" s="25">
        <f>IF(MOD(Table9[[#This Row],[Month]],12)=0,Table9[[#This Row],[Q2 ACC FACTOR]],0)</f>
        <v>0</v>
      </c>
      <c r="S829" s="25">
        <f>S828*(1+D828)+Table9[[#This Row],[ACC FACTOR PAYMENTS]]</f>
        <v>15267.303787831797</v>
      </c>
    </row>
    <row r="830" spans="1:19" x14ac:dyDescent="0.25">
      <c r="A830" s="1">
        <v>818</v>
      </c>
      <c r="B830" s="1">
        <f t="shared" si="12"/>
        <v>0</v>
      </c>
      <c r="C830" s="7">
        <f>G$12/-PV(Table7[Monthly mortgage rate], (12*Table7[Amortization period (yrs)]),1 )</f>
        <v>4377.9977174134756</v>
      </c>
      <c r="D830" s="11">
        <f>IF(Table1[[#This Row],[Month]]&lt;=(12*Table7[mortgage term (yrs)]),Table7[Monthly mortgage rate],Table7[Monthly Exp Renewal Rate])</f>
        <v>4.9038466830562122E-3</v>
      </c>
      <c r="E830" s="21">
        <f>Table1[[#This Row],[Current mortgage rate]]*G829</f>
        <v>-79265.086186952918</v>
      </c>
      <c r="F830" s="5">
        <f>Table1[[#This Row],[Payment amount]]-Table1[[#This Row],[Interest paid]]</f>
        <v>83643.083904366387</v>
      </c>
      <c r="G830" s="20">
        <f>G829-Table1[[#This Row],[Principal repaid]]-Table1[[#This Row],[Annual paym]]</f>
        <v>-16247502.052177154</v>
      </c>
      <c r="H830" s="20">
        <f>H829-(Table1[[#This Row],[Payment amount]]-Table1[[#This Row],[Interest Paid W/O LSP]])</f>
        <v>-10663758.416593418</v>
      </c>
      <c r="I830">
        <f>H829*Table1[[#This Row],[Current mortgage rate]]</f>
        <v>-52016.884484099159</v>
      </c>
      <c r="J830" s="25">
        <f>IF(Table1[[#This Row],[Month]]&gt;Table7[Amortization period (yrs)]*12,0,IF(Table1[[#This Row],[Month]]&lt;Table7[mortgage term (yrs)]*12,0,IF(Table1[[#This Row],[Month]]=Table7[mortgage term (yrs)]*12,-H$5,Table1[[#This Row],[Payment amount]]+B830)))</f>
        <v>0</v>
      </c>
      <c r="K830">
        <v>819</v>
      </c>
      <c r="L830">
        <f>Table7[Initial Monthly Deposit]*Table9[[#This Row],[Inflation Modifier]]</f>
        <v>1537.7002010182366</v>
      </c>
      <c r="M830">
        <f xml:space="preserve"> (1+Table7[Inflation])^(QUOTIENT(Table9[[#This Row],[Month]]-1,12))</f>
        <v>3.8442505025455915</v>
      </c>
      <c r="N830">
        <f>N829*(1+Table7[Monthly SF Inter])+Table9[[#This Row],[Monthly Payment]]-O829*(1+Table7[Monthly SF Inter])</f>
        <v>447375.21845637518</v>
      </c>
      <c r="O830">
        <f>IF(MOD(Table9[[#This Row],[Month]],12)=0,(IF(Table9[[#This Row],[Current Balance]]&lt;Table9[[#This Row],[Max Lump Sum ]],Table9[[#This Row],[Current Balance]],Table9[[#This Row],[Max Lump Sum ]])),0)</f>
        <v>0</v>
      </c>
      <c r="P830" s="21">
        <f>Table7[Max annual lump sum repayment]*SUM(C831:C842)</f>
        <v>7880.3958913442566</v>
      </c>
      <c r="Q830" s="25">
        <f>Q829*(1+Table7[Monthly SF Inter])+Table9[[#This Row],[Inflation Modifier]]-R829*(1+Table7[Monthly SF Inter])</f>
        <v>11.580376977868166</v>
      </c>
      <c r="R830" s="25">
        <f>IF(MOD(Table9[[#This Row],[Month]],12)=0,Table9[[#This Row],[Q2 ACC FACTOR]],0)</f>
        <v>0</v>
      </c>
      <c r="S830" s="25">
        <f>S829*(1+D829)+Table9[[#This Row],[ACC FACTOR PAYMENTS]]</f>
        <v>15342.172304870968</v>
      </c>
    </row>
    <row r="831" spans="1:19" x14ac:dyDescent="0.25">
      <c r="A831" s="1">
        <v>819</v>
      </c>
      <c r="B831" s="1">
        <f t="shared" si="12"/>
        <v>0</v>
      </c>
      <c r="C831" s="7">
        <f>G$12/-PV(Table7[Monthly mortgage rate], (12*Table7[Amortization period (yrs)]),1 )</f>
        <v>4377.9977174134756</v>
      </c>
      <c r="D831" s="11">
        <f>IF(Table1[[#This Row],[Month]]&lt;=(12*Table7[mortgage term (yrs)]),Table7[Monthly mortgage rate],Table7[Monthly Exp Renewal Rate])</f>
        <v>4.9038466830562122E-3</v>
      </c>
      <c r="E831" s="21">
        <f>Table1[[#This Row],[Current mortgage rate]]*G830</f>
        <v>-79675.259046517938</v>
      </c>
      <c r="F831" s="5">
        <f>Table1[[#This Row],[Payment amount]]-Table1[[#This Row],[Interest paid]]</f>
        <v>84053.256763931407</v>
      </c>
      <c r="G831" s="20">
        <f>G830-Table1[[#This Row],[Principal repaid]]-Table1[[#This Row],[Annual paym]]</f>
        <v>-16331555.308941085</v>
      </c>
      <c r="H831" s="20">
        <f>H830-(Table1[[#This Row],[Payment amount]]-Table1[[#This Row],[Interest Paid W/O LSP]])</f>
        <v>-10720429.850650955</v>
      </c>
      <c r="I831">
        <f>H830*Table1[[#This Row],[Current mortgage rate]]</f>
        <v>-52293.436340124397</v>
      </c>
      <c r="J831" s="25">
        <f>IF(Table1[[#This Row],[Month]]&gt;Table7[Amortization period (yrs)]*12,0,IF(Table1[[#This Row],[Month]]&lt;Table7[mortgage term (yrs)]*12,0,IF(Table1[[#This Row],[Month]]=Table7[mortgage term (yrs)]*12,-H$5,Table1[[#This Row],[Payment amount]]+B831)))</f>
        <v>0</v>
      </c>
      <c r="K831">
        <v>820</v>
      </c>
      <c r="L831">
        <f>Table7[Initial Monthly Deposit]*Table9[[#This Row],[Inflation Modifier]]</f>
        <v>1537.7002010182366</v>
      </c>
      <c r="M831">
        <f xml:space="preserve"> (1+Table7[Inflation])^(QUOTIENT(Table9[[#This Row],[Month]]-1,12))</f>
        <v>3.8442505025455915</v>
      </c>
      <c r="N831">
        <f>N830*(1+Table7[Monthly SF Inter])+Table9[[#This Row],[Monthly Payment]]-O830*(1+Table7[Monthly SF Inter])</f>
        <v>450757.85623950796</v>
      </c>
      <c r="O831">
        <f>IF(MOD(Table9[[#This Row],[Month]],12)=0,(IF(Table9[[#This Row],[Current Balance]]&lt;Table9[[#This Row],[Max Lump Sum ]],Table9[[#This Row],[Current Balance]],Table9[[#This Row],[Max Lump Sum ]])),0)</f>
        <v>0</v>
      </c>
      <c r="P831" s="21">
        <f>Table7[Max annual lump sum repayment]*SUM(C832:C843)</f>
        <v>7880.3958913442566</v>
      </c>
      <c r="Q831" s="25">
        <f>Q830*(1+Table7[Monthly SF Inter])+Table9[[#This Row],[Inflation Modifier]]-R830*(1+Table7[Monthly SF Inter])</f>
        <v>15.472383976124988</v>
      </c>
      <c r="R831" s="25">
        <f>IF(MOD(Table9[[#This Row],[Month]],12)=0,Table9[[#This Row],[Q2 ACC FACTOR]],0)</f>
        <v>0</v>
      </c>
      <c r="S831" s="25">
        <f>S830*(1+D830)+Table9[[#This Row],[ACC FACTOR PAYMENTS]]</f>
        <v>15417.407965639086</v>
      </c>
    </row>
    <row r="832" spans="1:19" x14ac:dyDescent="0.25">
      <c r="A832" s="1">
        <v>820</v>
      </c>
      <c r="B832" s="1">
        <f t="shared" si="12"/>
        <v>0</v>
      </c>
      <c r="C832" s="7">
        <f>G$12/-PV(Table7[Monthly mortgage rate], (12*Table7[Amortization period (yrs)]),1 )</f>
        <v>4377.9977174134756</v>
      </c>
      <c r="D832" s="11">
        <f>IF(Table1[[#This Row],[Month]]&lt;=(12*Table7[mortgage term (yrs)]),Table7[Monthly mortgage rate],Table7[Monthly Exp Renewal Rate])</f>
        <v>4.9038466830562122E-3</v>
      </c>
      <c r="E832" s="21">
        <f>Table1[[#This Row],[Current mortgage rate]]*G831</f>
        <v>-80087.443330899812</v>
      </c>
      <c r="F832" s="5">
        <f>Table1[[#This Row],[Payment amount]]-Table1[[#This Row],[Interest paid]]</f>
        <v>84465.441048313281</v>
      </c>
      <c r="G832" s="20">
        <f>G831-Table1[[#This Row],[Principal repaid]]-Table1[[#This Row],[Annual paym]]</f>
        <v>-16416020.749989398</v>
      </c>
      <c r="H832" s="20">
        <f>H831-(Table1[[#This Row],[Payment amount]]-Table1[[#This Row],[Interest Paid W/O LSP]])</f>
        <v>-10777379.19273242</v>
      </c>
      <c r="I832">
        <f>H831*Table1[[#This Row],[Current mortgage rate]]</f>
        <v>-52571.344364051489</v>
      </c>
      <c r="J832" s="25">
        <f>IF(Table1[[#This Row],[Month]]&gt;Table7[Amortization period (yrs)]*12,0,IF(Table1[[#This Row],[Month]]&lt;Table7[mortgage term (yrs)]*12,0,IF(Table1[[#This Row],[Month]]=Table7[mortgage term (yrs)]*12,-H$5,Table1[[#This Row],[Payment amount]]+B832)))</f>
        <v>0</v>
      </c>
      <c r="K832">
        <v>821</v>
      </c>
      <c r="L832">
        <f>Table7[Initial Monthly Deposit]*Table9[[#This Row],[Inflation Modifier]]</f>
        <v>1537.7002010182366</v>
      </c>
      <c r="M832">
        <f xml:space="preserve"> (1+Table7[Inflation])^(QUOTIENT(Table9[[#This Row],[Month]]-1,12))</f>
        <v>3.8442505025455915</v>
      </c>
      <c r="N832">
        <f>N831*(1+Table7[Monthly SF Inter])+Table9[[#This Row],[Monthly Payment]]-O831*(1+Table7[Monthly SF Inter])</f>
        <v>454154.4437349076</v>
      </c>
      <c r="O832">
        <f>IF(MOD(Table9[[#This Row],[Month]],12)=0,(IF(Table9[[#This Row],[Current Balance]]&lt;Table9[[#This Row],[Max Lump Sum ]],Table9[[#This Row],[Current Balance]],Table9[[#This Row],[Max Lump Sum ]])),0)</f>
        <v>0</v>
      </c>
      <c r="P832" s="21">
        <f>Table7[Max annual lump sum repayment]*SUM(C833:C844)</f>
        <v>7880.3958913442566</v>
      </c>
      <c r="Q832" s="25">
        <f>Q831*(1+Table7[Monthly SF Inter])+Table9[[#This Row],[Inflation Modifier]]-R831*(1+Table7[Monthly SF Inter])</f>
        <v>19.380441282232368</v>
      </c>
      <c r="R832" s="25">
        <f>IF(MOD(Table9[[#This Row],[Month]],12)=0,Table9[[#This Row],[Q2 ACC FACTOR]],0)</f>
        <v>0</v>
      </c>
      <c r="S832" s="25">
        <f>S831*(1+D831)+Table9[[#This Row],[ACC FACTOR PAYMENTS]]</f>
        <v>15493.01257055271</v>
      </c>
    </row>
    <row r="833" spans="1:19" x14ac:dyDescent="0.25">
      <c r="A833" s="1">
        <v>821</v>
      </c>
      <c r="B833" s="1">
        <f t="shared" si="12"/>
        <v>0</v>
      </c>
      <c r="C833" s="7">
        <f>G$12/-PV(Table7[Monthly mortgage rate], (12*Table7[Amortization period (yrs)]),1 )</f>
        <v>4377.9977174134756</v>
      </c>
      <c r="D833" s="11">
        <f>IF(Table1[[#This Row],[Month]]&lt;=(12*Table7[mortgage term (yrs)]),Table7[Monthly mortgage rate],Table7[Monthly Exp Renewal Rate])</f>
        <v>4.9038466830562122E-3</v>
      </c>
      <c r="E833" s="21">
        <f>Table1[[#This Row],[Current mortgage rate]]*G832</f>
        <v>-80501.648903817462</v>
      </c>
      <c r="F833" s="5">
        <f>Table1[[#This Row],[Payment amount]]-Table1[[#This Row],[Interest paid]]</f>
        <v>84879.646621230931</v>
      </c>
      <c r="G833" s="20">
        <f>G832-Table1[[#This Row],[Principal repaid]]-Table1[[#This Row],[Annual paym]]</f>
        <v>-16500900.396610629</v>
      </c>
      <c r="H833" s="20">
        <f>H832-(Table1[[#This Row],[Payment amount]]-Table1[[#This Row],[Interest Paid W/O LSP]])</f>
        <v>-10834607.805656154</v>
      </c>
      <c r="I833">
        <f>H832*Table1[[#This Row],[Current mortgage rate]]</f>
        <v>-52850.615206319912</v>
      </c>
      <c r="J833" s="25">
        <f>IF(Table1[[#This Row],[Month]]&gt;Table7[Amortization period (yrs)]*12,0,IF(Table1[[#This Row],[Month]]&lt;Table7[mortgage term (yrs)]*12,0,IF(Table1[[#This Row],[Month]]=Table7[mortgage term (yrs)]*12,-H$5,Table1[[#This Row],[Payment amount]]+B833)))</f>
        <v>0</v>
      </c>
      <c r="K833">
        <v>822</v>
      </c>
      <c r="L833">
        <f>Table7[Initial Monthly Deposit]*Table9[[#This Row],[Inflation Modifier]]</f>
        <v>1537.7002010182366</v>
      </c>
      <c r="M833">
        <f xml:space="preserve"> (1+Table7[Inflation])^(QUOTIENT(Table9[[#This Row],[Month]]-1,12))</f>
        <v>3.8442505025455915</v>
      </c>
      <c r="N833">
        <f>N832*(1+Table7[Monthly SF Inter])+Table9[[#This Row],[Monthly Payment]]-O832*(1+Table7[Monthly SF Inter])</f>
        <v>457565.03847000824</v>
      </c>
      <c r="O833">
        <f>IF(MOD(Table9[[#This Row],[Month]],12)=0,(IF(Table9[[#This Row],[Current Balance]]&lt;Table9[[#This Row],[Max Lump Sum ]],Table9[[#This Row],[Current Balance]],Table9[[#This Row],[Max Lump Sum ]])),0)</f>
        <v>0</v>
      </c>
      <c r="P833" s="21">
        <f>Table7[Max annual lump sum repayment]*SUM(C834:C845)</f>
        <v>7880.3958913442566</v>
      </c>
      <c r="Q833" s="25">
        <f>Q832*(1+Table7[Monthly SF Inter])+Table9[[#This Row],[Inflation Modifier]]-R832*(1+Table7[Monthly SF Inter])</f>
        <v>23.304615086303077</v>
      </c>
      <c r="R833" s="25">
        <f>IF(MOD(Table9[[#This Row],[Month]],12)=0,Table9[[#This Row],[Q2 ACC FACTOR]],0)</f>
        <v>0</v>
      </c>
      <c r="S833" s="25">
        <f>S832*(1+D832)+Table9[[#This Row],[ACC FACTOR PAYMENTS]]</f>
        <v>15568.987928857363</v>
      </c>
    </row>
    <row r="834" spans="1:19" x14ac:dyDescent="0.25">
      <c r="A834" s="1">
        <v>822</v>
      </c>
      <c r="B834" s="1">
        <f t="shared" si="12"/>
        <v>0</v>
      </c>
      <c r="C834" s="7">
        <f>G$12/-PV(Table7[Monthly mortgage rate], (12*Table7[Amortization period (yrs)]),1 )</f>
        <v>4377.9977174134756</v>
      </c>
      <c r="D834" s="11">
        <f>IF(Table1[[#This Row],[Month]]&lt;=(12*Table7[mortgage term (yrs)]),Table7[Monthly mortgage rate],Table7[Monthly Exp Renewal Rate])</f>
        <v>4.9038466830562122E-3</v>
      </c>
      <c r="E834" s="21">
        <f>Table1[[#This Row],[Current mortgage rate]]*G833</f>
        <v>-80917.885677359969</v>
      </c>
      <c r="F834" s="5">
        <f>Table1[[#This Row],[Payment amount]]-Table1[[#This Row],[Interest paid]]</f>
        <v>85295.883394773438</v>
      </c>
      <c r="G834" s="20">
        <f>G833-Table1[[#This Row],[Principal repaid]]-Table1[[#This Row],[Annual paym]]</f>
        <v>-16586196.280005403</v>
      </c>
      <c r="H834" s="20">
        <f>H833-(Table1[[#This Row],[Payment amount]]-Table1[[#This Row],[Interest Paid W/O LSP]])</f>
        <v>-10892117.05892355</v>
      </c>
      <c r="I834">
        <f>H833*Table1[[#This Row],[Current mortgage rate]]</f>
        <v>-53131.255549981877</v>
      </c>
      <c r="J834" s="25">
        <f>IF(Table1[[#This Row],[Month]]&gt;Table7[Amortization period (yrs)]*12,0,IF(Table1[[#This Row],[Month]]&lt;Table7[mortgage term (yrs)]*12,0,IF(Table1[[#This Row],[Month]]=Table7[mortgage term (yrs)]*12,-H$5,Table1[[#This Row],[Payment amount]]+B834)))</f>
        <v>0</v>
      </c>
      <c r="K834">
        <v>823</v>
      </c>
      <c r="L834">
        <f>Table7[Initial Monthly Deposit]*Table9[[#This Row],[Inflation Modifier]]</f>
        <v>1537.7002010182366</v>
      </c>
      <c r="M834">
        <f xml:space="preserve"> (1+Table7[Inflation])^(QUOTIENT(Table9[[#This Row],[Month]]-1,12))</f>
        <v>3.8442505025455915</v>
      </c>
      <c r="N834">
        <f>N833*(1+Table7[Monthly SF Inter])+Table9[[#This Row],[Monthly Payment]]-O833*(1+Table7[Monthly SF Inter])</f>
        <v>460989.69820948225</v>
      </c>
      <c r="O834">
        <f>IF(MOD(Table9[[#This Row],[Month]],12)=0,(IF(Table9[[#This Row],[Current Balance]]&lt;Table9[[#This Row],[Max Lump Sum ]],Table9[[#This Row],[Current Balance]],Table9[[#This Row],[Max Lump Sum ]])),0)</f>
        <v>0</v>
      </c>
      <c r="P834" s="21">
        <f>Table7[Max annual lump sum repayment]*SUM(C835:C846)</f>
        <v>7880.3958913442566</v>
      </c>
      <c r="Q834" s="25">
        <f>Q833*(1+Table7[Monthly SF Inter])+Table9[[#This Row],[Inflation Modifier]]-R833*(1+Table7[Monthly SF Inter])</f>
        <v>27.244971851412306</v>
      </c>
      <c r="R834" s="25">
        <f>IF(MOD(Table9[[#This Row],[Month]],12)=0,Table9[[#This Row],[Q2 ACC FACTOR]],0)</f>
        <v>0</v>
      </c>
      <c r="S834" s="25">
        <f>S833*(1+D833)+Table9[[#This Row],[ACC FACTOR PAYMENTS]]</f>
        <v>15645.335858670833</v>
      </c>
    </row>
    <row r="835" spans="1:19" x14ac:dyDescent="0.25">
      <c r="A835" s="1">
        <v>823</v>
      </c>
      <c r="B835" s="1">
        <f t="shared" si="12"/>
        <v>0</v>
      </c>
      <c r="C835" s="7">
        <f>G$12/-PV(Table7[Monthly mortgage rate], (12*Table7[Amortization period (yrs)]),1 )</f>
        <v>4377.9977174134756</v>
      </c>
      <c r="D835" s="11">
        <f>IF(Table1[[#This Row],[Month]]&lt;=(12*Table7[mortgage term (yrs)]),Table7[Monthly mortgage rate],Table7[Monthly Exp Renewal Rate])</f>
        <v>4.9038466830562122E-3</v>
      </c>
      <c r="E835" s="21">
        <f>Table1[[#This Row],[Current mortgage rate]]*G834</f>
        <v>-81336.163612223783</v>
      </c>
      <c r="F835" s="5">
        <f>Table1[[#This Row],[Payment amount]]-Table1[[#This Row],[Interest paid]]</f>
        <v>85714.161329637252</v>
      </c>
      <c r="G835" s="20">
        <f>G834-Table1[[#This Row],[Principal repaid]]-Table1[[#This Row],[Annual paym]]</f>
        <v>-16671910.441335039</v>
      </c>
      <c r="H835" s="20">
        <f>H834-(Table1[[#This Row],[Payment amount]]-Table1[[#This Row],[Interest Paid W/O LSP]])</f>
        <v>-10949908.328751825</v>
      </c>
      <c r="I835">
        <f>H834*Table1[[#This Row],[Current mortgage rate]]</f>
        <v>-53413.272110862235</v>
      </c>
      <c r="J835" s="25">
        <f>IF(Table1[[#This Row],[Month]]&gt;Table7[Amortization period (yrs)]*12,0,IF(Table1[[#This Row],[Month]]&lt;Table7[mortgage term (yrs)]*12,0,IF(Table1[[#This Row],[Month]]=Table7[mortgage term (yrs)]*12,-H$5,Table1[[#This Row],[Payment amount]]+B835)))</f>
        <v>0</v>
      </c>
      <c r="K835">
        <v>824</v>
      </c>
      <c r="L835">
        <f>Table7[Initial Monthly Deposit]*Table9[[#This Row],[Inflation Modifier]]</f>
        <v>1537.7002010182366</v>
      </c>
      <c r="M835">
        <f xml:space="preserve"> (1+Table7[Inflation])^(QUOTIENT(Table9[[#This Row],[Month]]-1,12))</f>
        <v>3.8442505025455915</v>
      </c>
      <c r="N835">
        <f>N834*(1+Table7[Monthly SF Inter])+Table9[[#This Row],[Monthly Payment]]-O834*(1+Table7[Monthly SF Inter])</f>
        <v>464428.48095621873</v>
      </c>
      <c r="O835">
        <f>IF(MOD(Table9[[#This Row],[Month]],12)=0,(IF(Table9[[#This Row],[Current Balance]]&lt;Table9[[#This Row],[Max Lump Sum ]],Table9[[#This Row],[Current Balance]],Table9[[#This Row],[Max Lump Sum ]])),0)</f>
        <v>0</v>
      </c>
      <c r="P835" s="21">
        <f>Table7[Max annual lump sum repayment]*SUM(C836:C847)</f>
        <v>7880.3958913442566</v>
      </c>
      <c r="Q835" s="25">
        <f>Q834*(1+Table7[Monthly SF Inter])+Table9[[#This Row],[Inflation Modifier]]-R834*(1+Table7[Monthly SF Inter])</f>
        <v>31.201578314723356</v>
      </c>
      <c r="R835" s="25">
        <f>IF(MOD(Table9[[#This Row],[Month]],12)=0,Table9[[#This Row],[Q2 ACC FACTOR]],0)</f>
        <v>0</v>
      </c>
      <c r="S835" s="25">
        <f>S834*(1+D834)+Table9[[#This Row],[ACC FACTOR PAYMENTS]]</f>
        <v>15722.058187026676</v>
      </c>
    </row>
    <row r="836" spans="1:19" x14ac:dyDescent="0.25">
      <c r="A836" s="1">
        <v>824</v>
      </c>
      <c r="B836" s="1">
        <f t="shared" si="12"/>
        <v>0</v>
      </c>
      <c r="C836" s="7">
        <f>G$12/-PV(Table7[Monthly mortgage rate], (12*Table7[Amortization period (yrs)]),1 )</f>
        <v>4377.9977174134756</v>
      </c>
      <c r="D836" s="11">
        <f>IF(Table1[[#This Row],[Month]]&lt;=(12*Table7[mortgage term (yrs)]),Table7[Monthly mortgage rate],Table7[Monthly Exp Renewal Rate])</f>
        <v>4.9038466830562122E-3</v>
      </c>
      <c r="E836" s="21">
        <f>Table1[[#This Row],[Current mortgage rate]]*G835</f>
        <v>-81756.492717951056</v>
      </c>
      <c r="F836" s="5">
        <f>Table1[[#This Row],[Payment amount]]-Table1[[#This Row],[Interest paid]]</f>
        <v>86134.490435364525</v>
      </c>
      <c r="G836" s="20">
        <f>G835-Table1[[#This Row],[Principal repaid]]-Table1[[#This Row],[Annual paym]]</f>
        <v>-16758044.931770403</v>
      </c>
      <c r="H836" s="20">
        <f>H835-(Table1[[#This Row],[Payment amount]]-Table1[[#This Row],[Interest Paid W/O LSP]])</f>
        <v>-11007982.998106958</v>
      </c>
      <c r="I836">
        <f>H835*Table1[[#This Row],[Current mortgage rate]]</f>
        <v>-53696.671637719228</v>
      </c>
      <c r="J836" s="25">
        <f>IF(Table1[[#This Row],[Month]]&gt;Table7[Amortization period (yrs)]*12,0,IF(Table1[[#This Row],[Month]]&lt;Table7[mortgage term (yrs)]*12,0,IF(Table1[[#This Row],[Month]]=Table7[mortgage term (yrs)]*12,-H$5,Table1[[#This Row],[Payment amount]]+B836)))</f>
        <v>0</v>
      </c>
      <c r="K836">
        <v>825</v>
      </c>
      <c r="L836">
        <f>Table7[Initial Monthly Deposit]*Table9[[#This Row],[Inflation Modifier]]</f>
        <v>1537.7002010182366</v>
      </c>
      <c r="M836">
        <f xml:space="preserve"> (1+Table7[Inflation])^(QUOTIENT(Table9[[#This Row],[Month]]-1,12))</f>
        <v>3.8442505025455915</v>
      </c>
      <c r="N836">
        <f>N835*(1+Table7[Monthly SF Inter])+Table9[[#This Row],[Monthly Payment]]-O835*(1+Table7[Monthly SF Inter])</f>
        <v>467881.44495230576</v>
      </c>
      <c r="O836">
        <f>IF(MOD(Table9[[#This Row],[Month]],12)=0,(IF(Table9[[#This Row],[Current Balance]]&lt;Table9[[#This Row],[Max Lump Sum ]],Table9[[#This Row],[Current Balance]],Table9[[#This Row],[Max Lump Sum ]])),0)</f>
        <v>0</v>
      </c>
      <c r="P836" s="21">
        <f>Table7[Max annual lump sum repayment]*SUM(C837:C848)</f>
        <v>7880.3958913442566</v>
      </c>
      <c r="Q836" s="25">
        <f>Q835*(1+Table7[Monthly SF Inter])+Table9[[#This Row],[Inflation Modifier]]-R835*(1+Table7[Monthly SF Inter])</f>
        <v>35.174501488617949</v>
      </c>
      <c r="R836" s="25">
        <f>IF(MOD(Table9[[#This Row],[Month]],12)=0,Table9[[#This Row],[Q2 ACC FACTOR]],0)</f>
        <v>0</v>
      </c>
      <c r="S836" s="25">
        <f>S835*(1+D835)+Table9[[#This Row],[ACC FACTOR PAYMENTS]]</f>
        <v>15799.156749917944</v>
      </c>
    </row>
    <row r="837" spans="1:19" x14ac:dyDescent="0.25">
      <c r="A837" s="1">
        <v>825</v>
      </c>
      <c r="B837" s="1">
        <f t="shared" si="12"/>
        <v>0</v>
      </c>
      <c r="C837" s="7">
        <f>G$12/-PV(Table7[Monthly mortgage rate], (12*Table7[Amortization period (yrs)]),1 )</f>
        <v>4377.9977174134756</v>
      </c>
      <c r="D837" s="11">
        <f>IF(Table1[[#This Row],[Month]]&lt;=(12*Table7[mortgage term (yrs)]),Table7[Monthly mortgage rate],Table7[Monthly Exp Renewal Rate])</f>
        <v>4.9038466830562122E-3</v>
      </c>
      <c r="E837" s="21">
        <f>Table1[[#This Row],[Current mortgage rate]]*G836</f>
        <v>-82178.883053169251</v>
      </c>
      <c r="F837" s="5">
        <f>Table1[[#This Row],[Payment amount]]-Table1[[#This Row],[Interest paid]]</f>
        <v>86556.88077058272</v>
      </c>
      <c r="G837" s="20">
        <f>G836-Table1[[#This Row],[Principal repaid]]-Table1[[#This Row],[Annual paym]]</f>
        <v>-16844601.812540986</v>
      </c>
      <c r="H837" s="20">
        <f>H836-(Table1[[#This Row],[Payment amount]]-Table1[[#This Row],[Interest Paid W/O LSP]])</f>
        <v>-11066342.456736777</v>
      </c>
      <c r="I837">
        <f>H836*Table1[[#This Row],[Current mortgage rate]]</f>
        <v>-53981.460912405986</v>
      </c>
      <c r="J837" s="25">
        <f>IF(Table1[[#This Row],[Month]]&gt;Table7[Amortization period (yrs)]*12,0,IF(Table1[[#This Row],[Month]]&lt;Table7[mortgage term (yrs)]*12,0,IF(Table1[[#This Row],[Month]]=Table7[mortgage term (yrs)]*12,-H$5,Table1[[#This Row],[Payment amount]]+B837)))</f>
        <v>0</v>
      </c>
      <c r="K837">
        <v>826</v>
      </c>
      <c r="L837">
        <f>Table7[Initial Monthly Deposit]*Table9[[#This Row],[Inflation Modifier]]</f>
        <v>1537.7002010182366</v>
      </c>
      <c r="M837">
        <f xml:space="preserve"> (1+Table7[Inflation])^(QUOTIENT(Table9[[#This Row],[Month]]-1,12))</f>
        <v>3.8442505025455915</v>
      </c>
      <c r="N837">
        <f>N836*(1+Table7[Monthly SF Inter])+Table9[[#This Row],[Monthly Payment]]-O836*(1+Table7[Monthly SF Inter])</f>
        <v>471348.64868001686</v>
      </c>
      <c r="O837">
        <f>IF(MOD(Table9[[#This Row],[Month]],12)=0,(IF(Table9[[#This Row],[Current Balance]]&lt;Table9[[#This Row],[Max Lump Sum ]],Table9[[#This Row],[Current Balance]],Table9[[#This Row],[Max Lump Sum ]])),0)</f>
        <v>0</v>
      </c>
      <c r="P837" s="21">
        <f>Table7[Max annual lump sum repayment]*SUM(C838:C849)</f>
        <v>7880.3958913442566</v>
      </c>
      <c r="Q837" s="25">
        <f>Q836*(1+Table7[Monthly SF Inter])+Table9[[#This Row],[Inflation Modifier]]-R836*(1+Table7[Monthly SF Inter])</f>
        <v>39.16380866183119</v>
      </c>
      <c r="R837" s="25">
        <f>IF(MOD(Table9[[#This Row],[Month]],12)=0,Table9[[#This Row],[Q2 ACC FACTOR]],0)</f>
        <v>0</v>
      </c>
      <c r="S837" s="25">
        <f>S836*(1+D836)+Table9[[#This Row],[ACC FACTOR PAYMENTS]]</f>
        <v>15876.633392341115</v>
      </c>
    </row>
    <row r="838" spans="1:19" x14ac:dyDescent="0.25">
      <c r="A838" s="1">
        <v>826</v>
      </c>
      <c r="B838" s="1">
        <f t="shared" si="12"/>
        <v>0</v>
      </c>
      <c r="C838" s="7">
        <f>G$12/-PV(Table7[Monthly mortgage rate], (12*Table7[Amortization period (yrs)]),1 )</f>
        <v>4377.9977174134756</v>
      </c>
      <c r="D838" s="11">
        <f>IF(Table1[[#This Row],[Month]]&lt;=(12*Table7[mortgage term (yrs)]),Table7[Monthly mortgage rate],Table7[Monthly Exp Renewal Rate])</f>
        <v>4.9038466830562122E-3</v>
      </c>
      <c r="E838" s="21">
        <f>Table1[[#This Row],[Current mortgage rate]]*G837</f>
        <v>-82603.344725831776</v>
      </c>
      <c r="F838" s="5">
        <f>Table1[[#This Row],[Payment amount]]-Table1[[#This Row],[Interest paid]]</f>
        <v>86981.342443245245</v>
      </c>
      <c r="G838" s="20">
        <f>G837-Table1[[#This Row],[Principal repaid]]-Table1[[#This Row],[Annual paym]]</f>
        <v>-16931583.154984232</v>
      </c>
      <c r="H838" s="20">
        <f>H837-(Table1[[#This Row],[Payment amount]]-Table1[[#This Row],[Interest Paid W/O LSP]])</f>
        <v>-11124988.101204224</v>
      </c>
      <c r="I838">
        <f>H837*Table1[[#This Row],[Current mortgage rate]]</f>
        <v>-54267.646750032778</v>
      </c>
      <c r="J838" s="25">
        <f>IF(Table1[[#This Row],[Month]]&gt;Table7[Amortization period (yrs)]*12,0,IF(Table1[[#This Row],[Month]]&lt;Table7[mortgage term (yrs)]*12,0,IF(Table1[[#This Row],[Month]]=Table7[mortgage term (yrs)]*12,-H$5,Table1[[#This Row],[Payment amount]]+B838)))</f>
        <v>0</v>
      </c>
      <c r="K838">
        <v>827</v>
      </c>
      <c r="L838">
        <f>Table7[Initial Monthly Deposit]*Table9[[#This Row],[Inflation Modifier]]</f>
        <v>1537.7002010182366</v>
      </c>
      <c r="M838">
        <f xml:space="preserve"> (1+Table7[Inflation])^(QUOTIENT(Table9[[#This Row],[Month]]-1,12))</f>
        <v>3.8442505025455915</v>
      </c>
      <c r="N838">
        <f>N837*(1+Table7[Monthly SF Inter])+Table9[[#This Row],[Monthly Payment]]-O837*(1+Table7[Monthly SF Inter])</f>
        <v>474830.15086280147</v>
      </c>
      <c r="O838">
        <f>IF(MOD(Table9[[#This Row],[Month]],12)=0,(IF(Table9[[#This Row],[Current Balance]]&lt;Table9[[#This Row],[Max Lump Sum ]],Table9[[#This Row],[Current Balance]],Table9[[#This Row],[Max Lump Sum ]])),0)</f>
        <v>0</v>
      </c>
      <c r="P838" s="21">
        <f>Table7[Max annual lump sum repayment]*SUM(C839:C850)</f>
        <v>7880.3958913442566</v>
      </c>
      <c r="Q838" s="25">
        <f>Q837*(1+Table7[Monthly SF Inter])+Table9[[#This Row],[Inflation Modifier]]-R837*(1+Table7[Monthly SF Inter])</f>
        <v>43.169567400591255</v>
      </c>
      <c r="R838" s="25">
        <f>IF(MOD(Table9[[#This Row],[Month]],12)=0,Table9[[#This Row],[Q2 ACC FACTOR]],0)</f>
        <v>0</v>
      </c>
      <c r="S838" s="25">
        <f>S837*(1+D837)+Table9[[#This Row],[ACC FACTOR PAYMENTS]]</f>
        <v>15954.489968340245</v>
      </c>
    </row>
    <row r="839" spans="1:19" x14ac:dyDescent="0.25">
      <c r="A839" s="1">
        <v>827</v>
      </c>
      <c r="B839" s="1">
        <f t="shared" si="12"/>
        <v>0</v>
      </c>
      <c r="C839" s="7">
        <f>G$12/-PV(Table7[Monthly mortgage rate], (12*Table7[Amortization period (yrs)]),1 )</f>
        <v>4377.9977174134756</v>
      </c>
      <c r="D839" s="11">
        <f>IF(Table1[[#This Row],[Month]]&lt;=(12*Table7[mortgage term (yrs)]),Table7[Monthly mortgage rate],Table7[Monthly Exp Renewal Rate])</f>
        <v>4.9038466830562122E-3</v>
      </c>
      <c r="E839" s="21">
        <f>Table1[[#This Row],[Current mortgage rate]]*G838</f>
        <v>-83029.887893459862</v>
      </c>
      <c r="F839" s="5">
        <f>Table1[[#This Row],[Payment amount]]-Table1[[#This Row],[Interest paid]]</f>
        <v>87407.885610873331</v>
      </c>
      <c r="G839" s="20">
        <f>G838-Table1[[#This Row],[Principal repaid]]-Table1[[#This Row],[Annual paym]]</f>
        <v>-17018991.040595107</v>
      </c>
      <c r="H839" s="20">
        <f>H838-(Table1[[#This Row],[Payment amount]]-Table1[[#This Row],[Interest Paid W/O LSP]])</f>
        <v>-11183921.334920768</v>
      </c>
      <c r="I839">
        <f>H838*Table1[[#This Row],[Current mortgage rate]]</f>
        <v>-54555.235999130164</v>
      </c>
      <c r="J839" s="25">
        <f>IF(Table1[[#This Row],[Month]]&gt;Table7[Amortization period (yrs)]*12,0,IF(Table1[[#This Row],[Month]]&lt;Table7[mortgage term (yrs)]*12,0,IF(Table1[[#This Row],[Month]]=Table7[mortgage term (yrs)]*12,-H$5,Table1[[#This Row],[Payment amount]]+B839)))</f>
        <v>0</v>
      </c>
      <c r="K839">
        <v>828</v>
      </c>
      <c r="L839">
        <f>Table7[Initial Monthly Deposit]*Table9[[#This Row],[Inflation Modifier]]</f>
        <v>1537.7002010182366</v>
      </c>
      <c r="M839">
        <f xml:space="preserve"> (1+Table7[Inflation])^(QUOTIENT(Table9[[#This Row],[Month]]-1,12))</f>
        <v>3.8442505025455915</v>
      </c>
      <c r="N839">
        <f>N838*(1+Table7[Monthly SF Inter])+Table9[[#This Row],[Monthly Payment]]-O838*(1+Table7[Monthly SF Inter])</f>
        <v>478326.01046627958</v>
      </c>
      <c r="O839">
        <f>IF(MOD(Table9[[#This Row],[Month]],12)=0,(IF(Table9[[#This Row],[Current Balance]]&lt;Table9[[#This Row],[Max Lump Sum ]],Table9[[#This Row],[Current Balance]],Table9[[#This Row],[Max Lump Sum ]])),0)</f>
        <v>7880.3958913442566</v>
      </c>
      <c r="P839" s="21">
        <f>Table7[Max annual lump sum repayment]*SUM(C840:C851)</f>
        <v>7880.3958913442566</v>
      </c>
      <c r="Q839" s="25">
        <f>Q838*(1+Table7[Monthly SF Inter])+Table9[[#This Row],[Inflation Modifier]]-R838*(1+Table7[Monthly SF Inter])</f>
        <v>47.191845549763734</v>
      </c>
      <c r="R839" s="25">
        <f>IF(MOD(Table9[[#This Row],[Month]],12)=0,Table9[[#This Row],[Q2 ACC FACTOR]],0)</f>
        <v>47.191845549763734</v>
      </c>
      <c r="S839" s="25">
        <f>S838*(1+D838)+Table9[[#This Row],[ACC FACTOR PAYMENTS]]</f>
        <v>16079.920186601108</v>
      </c>
    </row>
    <row r="840" spans="1:19" x14ac:dyDescent="0.25">
      <c r="A840" s="1">
        <v>828</v>
      </c>
      <c r="B840" s="1">
        <f t="shared" si="12"/>
        <v>7880.3958913442566</v>
      </c>
      <c r="C840" s="7">
        <f>G$12/-PV(Table7[Monthly mortgage rate], (12*Table7[Amortization period (yrs)]),1 )</f>
        <v>4377.9977174134756</v>
      </c>
      <c r="D840" s="11">
        <f>IF(Table1[[#This Row],[Month]]&lt;=(12*Table7[mortgage term (yrs)]),Table7[Monthly mortgage rate],Table7[Monthly Exp Renewal Rate])</f>
        <v>4.9038466830562122E-3</v>
      </c>
      <c r="E840" s="21">
        <f>Table1[[#This Row],[Current mortgage rate]]*G839</f>
        <v>-83458.522763385714</v>
      </c>
      <c r="F840" s="5">
        <f>Table1[[#This Row],[Payment amount]]-Table1[[#This Row],[Interest paid]]</f>
        <v>87836.520480799183</v>
      </c>
      <c r="G840" s="20">
        <f>G839-Table1[[#This Row],[Principal repaid]]-Table1[[#This Row],[Annual paym]]</f>
        <v>-17114707.956967253</v>
      </c>
      <c r="H840" s="20">
        <f>H839-(Table1[[#This Row],[Payment amount]]-Table1[[#This Row],[Interest Paid W/O LSP]])</f>
        <v>-11243143.568179995</v>
      </c>
      <c r="I840">
        <f>H839*Table1[[#This Row],[Current mortgage rate]]</f>
        <v>-54844.235541812814</v>
      </c>
      <c r="J840" s="25">
        <f>IF(Table1[[#This Row],[Month]]&gt;Table7[Amortization period (yrs)]*12,0,IF(Table1[[#This Row],[Month]]&lt;Table7[mortgage term (yrs)]*12,0,IF(Table1[[#This Row],[Month]]=Table7[mortgage term (yrs)]*12,-H$5,Table1[[#This Row],[Payment amount]]+B840)))</f>
        <v>0</v>
      </c>
      <c r="K840">
        <v>829</v>
      </c>
      <c r="L840">
        <f>Table7[Initial Monthly Deposit]*Table9[[#This Row],[Inflation Modifier]]</f>
        <v>1568.4542050386015</v>
      </c>
      <c r="M840">
        <f xml:space="preserve"> (1+Table7[Inflation])^(QUOTIENT(Table9[[#This Row],[Month]]-1,12))</f>
        <v>3.9211355125965035</v>
      </c>
      <c r="N840">
        <f>N839*(1+Table7[Monthly SF Inter])+Table9[[#This Row],[Monthly Payment]]-O839*(1+Table7[Monthly SF Inter])</f>
        <v>473954.14672542876</v>
      </c>
      <c r="O840">
        <f>IF(MOD(Table9[[#This Row],[Month]],12)=0,(IF(Table9[[#This Row],[Current Balance]]&lt;Table9[[#This Row],[Max Lump Sum ]],Table9[[#This Row],[Current Balance]],Table9[[#This Row],[Max Lump Sum ]])),0)</f>
        <v>0</v>
      </c>
      <c r="P840" s="21">
        <f>Table7[Max annual lump sum repayment]*SUM(C841:C852)</f>
        <v>7880.3958913442566</v>
      </c>
      <c r="Q840" s="25">
        <f>Q839*(1+Table7[Monthly SF Inter])+Table9[[#This Row],[Inflation Modifier]]-R839*(1+Table7[Monthly SF Inter])</f>
        <v>3.9211355125965071</v>
      </c>
      <c r="R840" s="25">
        <f>IF(MOD(Table9[[#This Row],[Month]],12)=0,Table9[[#This Row],[Q2 ACC FACTOR]],0)</f>
        <v>0</v>
      </c>
      <c r="S840" s="25">
        <f>S839*(1+D839)+Table9[[#This Row],[ACC FACTOR PAYMENTS]]</f>
        <v>16158.773649871981</v>
      </c>
    </row>
    <row r="841" spans="1:19" x14ac:dyDescent="0.25">
      <c r="A841" s="1">
        <v>829</v>
      </c>
      <c r="B841" s="1">
        <f t="shared" si="12"/>
        <v>0</v>
      </c>
      <c r="C841" s="7">
        <f>G$12/-PV(Table7[Monthly mortgage rate], (12*Table7[Amortization period (yrs)]),1 )</f>
        <v>4377.9977174134756</v>
      </c>
      <c r="D841" s="11">
        <f>IF(Table1[[#This Row],[Month]]&lt;=(12*Table7[mortgage term (yrs)]),Table7[Monthly mortgage rate],Table7[Monthly Exp Renewal Rate])</f>
        <v>4.9038466830562122E-3</v>
      </c>
      <c r="E841" s="21">
        <f>Table1[[#This Row],[Current mortgage rate]]*G840</f>
        <v>-83927.903846249625</v>
      </c>
      <c r="F841" s="5">
        <f>Table1[[#This Row],[Payment amount]]-Table1[[#This Row],[Interest paid]]</f>
        <v>88305.901563663094</v>
      </c>
      <c r="G841" s="20">
        <f>G840-Table1[[#This Row],[Principal repaid]]-Table1[[#This Row],[Annual paym]]</f>
        <v>-17203013.858530916</v>
      </c>
      <c r="H841" s="20">
        <f>H840-(Table1[[#This Row],[Payment amount]]-Table1[[#This Row],[Interest Paid W/O LSP]])</f>
        <v>-11302656.218191352</v>
      </c>
      <c r="I841">
        <f>H840*Table1[[#This Row],[Current mortgage rate]]</f>
        <v>-55134.652293944251</v>
      </c>
      <c r="J841" s="25">
        <f>IF(Table1[[#This Row],[Month]]&gt;Table7[Amortization period (yrs)]*12,0,IF(Table1[[#This Row],[Month]]&lt;Table7[mortgage term (yrs)]*12,0,IF(Table1[[#This Row],[Month]]=Table7[mortgage term (yrs)]*12,-H$5,Table1[[#This Row],[Payment amount]]+B841)))</f>
        <v>0</v>
      </c>
      <c r="K841">
        <v>830</v>
      </c>
      <c r="L841">
        <f>Table7[Initial Monthly Deposit]*Table9[[#This Row],[Inflation Modifier]]</f>
        <v>1568.4542050386015</v>
      </c>
      <c r="M841">
        <f xml:space="preserve"> (1+Table7[Inflation])^(QUOTIENT(Table9[[#This Row],[Month]]-1,12))</f>
        <v>3.9211355125965035</v>
      </c>
      <c r="N841">
        <f>N840*(1+Table7[Monthly SF Inter])+Table9[[#This Row],[Monthly Payment]]-O840*(1+Table7[Monthly SF Inter])</f>
        <v>477477.14776591759</v>
      </c>
      <c r="O841">
        <f>IF(MOD(Table9[[#This Row],[Month]],12)=0,(IF(Table9[[#This Row],[Current Balance]]&lt;Table9[[#This Row],[Max Lump Sum ]],Table9[[#This Row],[Current Balance]],Table9[[#This Row],[Max Lump Sum ]])),0)</f>
        <v>0</v>
      </c>
      <c r="P841" s="21">
        <f>Table7[Max annual lump sum repayment]*SUM(C842:C853)</f>
        <v>7880.3958913442566</v>
      </c>
      <c r="Q841" s="25">
        <f>Q840*(1+Table7[Monthly SF Inter])+Table9[[#This Row],[Inflation Modifier]]-R840*(1+Table7[Monthly SF Inter])</f>
        <v>7.858441456574333</v>
      </c>
      <c r="R841" s="25">
        <f>IF(MOD(Table9[[#This Row],[Month]],12)=0,Table9[[#This Row],[Q2 ACC FACTOR]],0)</f>
        <v>0</v>
      </c>
      <c r="S841" s="25">
        <f>S840*(1+D840)+Table9[[#This Row],[ACC FACTOR PAYMENTS]]</f>
        <v>16238.013798437161</v>
      </c>
    </row>
    <row r="842" spans="1:19" x14ac:dyDescent="0.25">
      <c r="A842" s="1">
        <v>830</v>
      </c>
      <c r="B842" s="1">
        <f t="shared" si="12"/>
        <v>0</v>
      </c>
      <c r="C842" s="7">
        <f>G$12/-PV(Table7[Monthly mortgage rate], (12*Table7[Amortization period (yrs)]),1 )</f>
        <v>4377.9977174134756</v>
      </c>
      <c r="D842" s="11">
        <f>IF(Table1[[#This Row],[Month]]&lt;=(12*Table7[mortgage term (yrs)]),Table7[Monthly mortgage rate],Table7[Monthly Exp Renewal Rate])</f>
        <v>4.9038466830562122E-3</v>
      </c>
      <c r="E842" s="21">
        <f>Table1[[#This Row],[Current mortgage rate]]*G841</f>
        <v>-84360.942448726884</v>
      </c>
      <c r="F842" s="5">
        <f>Table1[[#This Row],[Payment amount]]-Table1[[#This Row],[Interest paid]]</f>
        <v>88738.940166140354</v>
      </c>
      <c r="G842" s="20">
        <f>G841-Table1[[#This Row],[Principal repaid]]-Table1[[#This Row],[Annual paym]]</f>
        <v>-17291752.798697058</v>
      </c>
      <c r="H842" s="20">
        <f>H841-(Table1[[#This Row],[Payment amount]]-Table1[[#This Row],[Interest Paid W/O LSP]])</f>
        <v>-11362460.709114067</v>
      </c>
      <c r="I842">
        <f>H841*Table1[[#This Row],[Current mortgage rate]]</f>
        <v>-55426.493205302329</v>
      </c>
      <c r="J842" s="25">
        <f>IF(Table1[[#This Row],[Month]]&gt;Table7[Amortization period (yrs)]*12,0,IF(Table1[[#This Row],[Month]]&lt;Table7[mortgage term (yrs)]*12,0,IF(Table1[[#This Row],[Month]]=Table7[mortgage term (yrs)]*12,-H$5,Table1[[#This Row],[Payment amount]]+B842)))</f>
        <v>0</v>
      </c>
      <c r="K842">
        <v>831</v>
      </c>
      <c r="L842">
        <f>Table7[Initial Monthly Deposit]*Table9[[#This Row],[Inflation Modifier]]</f>
        <v>1568.4542050386015</v>
      </c>
      <c r="M842">
        <f xml:space="preserve"> (1+Table7[Inflation])^(QUOTIENT(Table9[[#This Row],[Month]]-1,12))</f>
        <v>3.9211355125965035</v>
      </c>
      <c r="N842">
        <f>N841*(1+Table7[Monthly SF Inter])+Table9[[#This Row],[Monthly Payment]]-O841*(1+Table7[Monthly SF Inter])</f>
        <v>481014.67736488103</v>
      </c>
      <c r="O842">
        <f>IF(MOD(Table9[[#This Row],[Month]],12)=0,(IF(Table9[[#This Row],[Current Balance]]&lt;Table9[[#This Row],[Max Lump Sum ]],Table9[[#This Row],[Current Balance]],Table9[[#This Row],[Max Lump Sum ]])),0)</f>
        <v>0</v>
      </c>
      <c r="P842" s="21">
        <f>Table7[Max annual lump sum repayment]*SUM(C843:C854)</f>
        <v>7880.3958913442566</v>
      </c>
      <c r="Q842" s="25">
        <f>Q841*(1+Table7[Monthly SF Inter])+Table9[[#This Row],[Inflation Modifier]]-R841*(1+Table7[Monthly SF Inter])</f>
        <v>11.811984517425534</v>
      </c>
      <c r="R842" s="25">
        <f>IF(MOD(Table9[[#This Row],[Month]],12)=0,Table9[[#This Row],[Q2 ACC FACTOR]],0)</f>
        <v>0</v>
      </c>
      <c r="S842" s="25">
        <f>S841*(1+D841)+Table9[[#This Row],[ACC FACTOR PAYMENTS]]</f>
        <v>16317.642528542048</v>
      </c>
    </row>
    <row r="843" spans="1:19" x14ac:dyDescent="0.25">
      <c r="A843" s="1">
        <v>831</v>
      </c>
      <c r="B843" s="1">
        <f t="shared" si="12"/>
        <v>0</v>
      </c>
      <c r="C843" s="7">
        <f>G$12/-PV(Table7[Monthly mortgage rate], (12*Table7[Amortization period (yrs)]),1 )</f>
        <v>4377.9977174134756</v>
      </c>
      <c r="D843" s="11">
        <f>IF(Table1[[#This Row],[Month]]&lt;=(12*Table7[mortgage term (yrs)]),Table7[Monthly mortgage rate],Table7[Monthly Exp Renewal Rate])</f>
        <v>4.9038466830562122E-3</v>
      </c>
      <c r="E843" s="21">
        <f>Table1[[#This Row],[Current mortgage rate]]*G842</f>
        <v>-84796.104606118548</v>
      </c>
      <c r="F843" s="5">
        <f>Table1[[#This Row],[Payment amount]]-Table1[[#This Row],[Interest paid]]</f>
        <v>89174.102323532017</v>
      </c>
      <c r="G843" s="20">
        <f>G842-Table1[[#This Row],[Principal repaid]]-Table1[[#This Row],[Annual paym]]</f>
        <v>-17380926.90102059</v>
      </c>
      <c r="H843" s="20">
        <f>H842-(Table1[[#This Row],[Payment amount]]-Table1[[#This Row],[Interest Paid W/O LSP]])</f>
        <v>-11422558.472091226</v>
      </c>
      <c r="I843">
        <f>H842*Table1[[#This Row],[Current mortgage rate]]</f>
        <v>-55719.765259745553</v>
      </c>
      <c r="J843" s="25">
        <f>IF(Table1[[#This Row],[Month]]&gt;Table7[Amortization period (yrs)]*12,0,IF(Table1[[#This Row],[Month]]&lt;Table7[mortgage term (yrs)]*12,0,IF(Table1[[#This Row],[Month]]=Table7[mortgage term (yrs)]*12,-H$5,Table1[[#This Row],[Payment amount]]+B843)))</f>
        <v>0</v>
      </c>
      <c r="K843">
        <v>832</v>
      </c>
      <c r="L843">
        <f>Table7[Initial Monthly Deposit]*Table9[[#This Row],[Inflation Modifier]]</f>
        <v>1568.4542050386015</v>
      </c>
      <c r="M843">
        <f xml:space="preserve"> (1+Table7[Inflation])^(QUOTIENT(Table9[[#This Row],[Month]]-1,12))</f>
        <v>3.9211355125965035</v>
      </c>
      <c r="N843">
        <f>N842*(1+Table7[Monthly SF Inter])+Table9[[#This Row],[Monthly Payment]]-O842*(1+Table7[Monthly SF Inter])</f>
        <v>484566.79543686606</v>
      </c>
      <c r="O843">
        <f>IF(MOD(Table9[[#This Row],[Month]],12)=0,(IF(Table9[[#This Row],[Current Balance]]&lt;Table9[[#This Row],[Max Lump Sum ]],Table9[[#This Row],[Current Balance]],Table9[[#This Row],[Max Lump Sum ]])),0)</f>
        <v>0</v>
      </c>
      <c r="P843" s="21">
        <f>Table7[Max annual lump sum repayment]*SUM(C844:C855)</f>
        <v>7880.3958913442566</v>
      </c>
      <c r="Q843" s="25">
        <f>Q842*(1+Table7[Monthly SF Inter])+Table9[[#This Row],[Inflation Modifier]]-R842*(1+Table7[Monthly SF Inter])</f>
        <v>15.781831655647494</v>
      </c>
      <c r="R843" s="25">
        <f>IF(MOD(Table9[[#This Row],[Month]],12)=0,Table9[[#This Row],[Q2 ACC FACTOR]],0)</f>
        <v>0</v>
      </c>
      <c r="S843" s="25">
        <f>S842*(1+D842)+Table9[[#This Row],[ACC FACTOR PAYMENTS]]</f>
        <v>16397.661745730937</v>
      </c>
    </row>
    <row r="844" spans="1:19" x14ac:dyDescent="0.25">
      <c r="A844" s="1">
        <v>832</v>
      </c>
      <c r="B844" s="1">
        <f t="shared" si="12"/>
        <v>0</v>
      </c>
      <c r="C844" s="7">
        <f>G$12/-PV(Table7[Monthly mortgage rate], (12*Table7[Amortization period (yrs)]),1 )</f>
        <v>4377.9977174134756</v>
      </c>
      <c r="D844" s="11">
        <f>IF(Table1[[#This Row],[Month]]&lt;=(12*Table7[mortgage term (yrs)]),Table7[Monthly mortgage rate],Table7[Monthly Exp Renewal Rate])</f>
        <v>4.9038466830562122E-3</v>
      </c>
      <c r="E844" s="21">
        <f>Table1[[#This Row],[Current mortgage rate]]*G843</f>
        <v>-85233.400732012306</v>
      </c>
      <c r="F844" s="5">
        <f>Table1[[#This Row],[Payment amount]]-Table1[[#This Row],[Interest paid]]</f>
        <v>89611.398449425775</v>
      </c>
      <c r="G844" s="20">
        <f>G843-Table1[[#This Row],[Principal repaid]]-Table1[[#This Row],[Annual paym]]</f>
        <v>-17470538.299470015</v>
      </c>
      <c r="H844" s="20">
        <f>H843-(Table1[[#This Row],[Payment amount]]-Table1[[#This Row],[Interest Paid W/O LSP]])</f>
        <v>-11482950.94528402</v>
      </c>
      <c r="I844">
        <f>H843*Table1[[#This Row],[Current mortgage rate]]</f>
        <v>-56014.47547538019</v>
      </c>
      <c r="J844" s="25">
        <f>IF(Table1[[#This Row],[Month]]&gt;Table7[Amortization period (yrs)]*12,0,IF(Table1[[#This Row],[Month]]&lt;Table7[mortgage term (yrs)]*12,0,IF(Table1[[#This Row],[Month]]=Table7[mortgage term (yrs)]*12,-H$5,Table1[[#This Row],[Payment amount]]+B844)))</f>
        <v>0</v>
      </c>
      <c r="K844">
        <v>833</v>
      </c>
      <c r="L844">
        <f>Table7[Initial Monthly Deposit]*Table9[[#This Row],[Inflation Modifier]]</f>
        <v>1568.4542050386015</v>
      </c>
      <c r="M844">
        <f xml:space="preserve"> (1+Table7[Inflation])^(QUOTIENT(Table9[[#This Row],[Month]]-1,12))</f>
        <v>3.9211355125965035</v>
      </c>
      <c r="N844">
        <f>N843*(1+Table7[Monthly SF Inter])+Table9[[#This Row],[Monthly Payment]]-O843*(1+Table7[Monthly SF Inter])</f>
        <v>488133.56214350212</v>
      </c>
      <c r="O844">
        <f>IF(MOD(Table9[[#This Row],[Month]],12)=0,(IF(Table9[[#This Row],[Current Balance]]&lt;Table9[[#This Row],[Max Lump Sum ]],Table9[[#This Row],[Current Balance]],Table9[[#This Row],[Max Lump Sum ]])),0)</f>
        <v>0</v>
      </c>
      <c r="P844" s="21">
        <f>Table7[Max annual lump sum repayment]*SUM(C845:C856)</f>
        <v>7880.3958913442566</v>
      </c>
      <c r="Q844" s="25">
        <f>Q843*(1+Table7[Monthly SF Inter])+Table9[[#This Row],[Inflation Modifier]]-R843*(1+Table7[Monthly SF Inter])</f>
        <v>19.768050107877023</v>
      </c>
      <c r="R844" s="25">
        <f>IF(MOD(Table9[[#This Row],[Month]],12)=0,Table9[[#This Row],[Q2 ACC FACTOR]],0)</f>
        <v>0</v>
      </c>
      <c r="S844" s="25">
        <f>S843*(1+D843)+Table9[[#This Row],[ACC FACTOR PAYMENTS]]</f>
        <v>16478.073364892618</v>
      </c>
    </row>
    <row r="845" spans="1:19" x14ac:dyDescent="0.25">
      <c r="A845" s="1">
        <v>833</v>
      </c>
      <c r="B845" s="1">
        <f t="shared" ref="B845:B908" si="13">O844</f>
        <v>0</v>
      </c>
      <c r="C845" s="7">
        <f>G$12/-PV(Table7[Monthly mortgage rate], (12*Table7[Amortization period (yrs)]),1 )</f>
        <v>4377.9977174134756</v>
      </c>
      <c r="D845" s="11">
        <f>IF(Table1[[#This Row],[Month]]&lt;=(12*Table7[mortgage term (yrs)]),Table7[Monthly mortgage rate],Table7[Monthly Exp Renewal Rate])</f>
        <v>4.9038466830562122E-3</v>
      </c>
      <c r="E845" s="21">
        <f>Table1[[#This Row],[Current mortgage rate]]*G844</f>
        <v>-85672.841291062548</v>
      </c>
      <c r="F845" s="5">
        <f>Table1[[#This Row],[Payment amount]]-Table1[[#This Row],[Interest paid]]</f>
        <v>90050.839008476018</v>
      </c>
      <c r="G845" s="20">
        <f>G844-Table1[[#This Row],[Principal repaid]]-Table1[[#This Row],[Annual paym]]</f>
        <v>-17560589.138478491</v>
      </c>
      <c r="H845" s="20">
        <f>H844-(Table1[[#This Row],[Payment amount]]-Table1[[#This Row],[Interest Paid W/O LSP]])</f>
        <v>-11543639.573906163</v>
      </c>
      <c r="I845">
        <f>H844*Table1[[#This Row],[Current mortgage rate]]</f>
        <v>-56310.630904728241</v>
      </c>
      <c r="J845" s="25">
        <f>IF(Table1[[#This Row],[Month]]&gt;Table7[Amortization period (yrs)]*12,0,IF(Table1[[#This Row],[Month]]&lt;Table7[mortgage term (yrs)]*12,0,IF(Table1[[#This Row],[Month]]=Table7[mortgage term (yrs)]*12,-H$5,Table1[[#This Row],[Payment amount]]+B845)))</f>
        <v>0</v>
      </c>
      <c r="K845">
        <v>834</v>
      </c>
      <c r="L845">
        <f>Table7[Initial Monthly Deposit]*Table9[[#This Row],[Inflation Modifier]]</f>
        <v>1568.4542050386015</v>
      </c>
      <c r="M845">
        <f xml:space="preserve"> (1+Table7[Inflation])^(QUOTIENT(Table9[[#This Row],[Month]]-1,12))</f>
        <v>3.9211355125965035</v>
      </c>
      <c r="N845">
        <f>N844*(1+Table7[Monthly SF Inter])+Table9[[#This Row],[Monthly Payment]]-O844*(1+Table7[Monthly SF Inter])</f>
        <v>491715.03789452027</v>
      </c>
      <c r="O845">
        <f>IF(MOD(Table9[[#This Row],[Month]],12)=0,(IF(Table9[[#This Row],[Current Balance]]&lt;Table9[[#This Row],[Max Lump Sum ]],Table9[[#This Row],[Current Balance]],Table9[[#This Row],[Max Lump Sum ]])),0)</f>
        <v>0</v>
      </c>
      <c r="P845" s="21">
        <f>Table7[Max annual lump sum repayment]*SUM(C846:C857)</f>
        <v>7880.3958913442566</v>
      </c>
      <c r="Q845" s="25">
        <f>Q844*(1+Table7[Monthly SF Inter])+Table9[[#This Row],[Inflation Modifier]]-R844*(1+Table7[Monthly SF Inter])</f>
        <v>23.770707388029148</v>
      </c>
      <c r="R845" s="25">
        <f>IF(MOD(Table9[[#This Row],[Month]],12)=0,Table9[[#This Row],[Q2 ACC FACTOR]],0)</f>
        <v>0</v>
      </c>
      <c r="S845" s="25">
        <f>S844*(1+D844)+Table9[[#This Row],[ACC FACTOR PAYMENTS]]</f>
        <v>16558.879310306205</v>
      </c>
    </row>
    <row r="846" spans="1:19" x14ac:dyDescent="0.25">
      <c r="A846" s="1">
        <v>834</v>
      </c>
      <c r="B846" s="1">
        <f t="shared" si="13"/>
        <v>0</v>
      </c>
      <c r="C846" s="7">
        <f>G$12/-PV(Table7[Monthly mortgage rate], (12*Table7[Amortization period (yrs)]),1 )</f>
        <v>4377.9977174134756</v>
      </c>
      <c r="D846" s="11">
        <f>IF(Table1[[#This Row],[Month]]&lt;=(12*Table7[mortgage term (yrs)]),Table7[Monthly mortgage rate],Table7[Monthly Exp Renewal Rate])</f>
        <v>4.9038466830562122E-3</v>
      </c>
      <c r="E846" s="21">
        <f>Table1[[#This Row],[Current mortgage rate]]*G845</f>
        <v>-86114.436799240691</v>
      </c>
      <c r="F846" s="5">
        <f>Table1[[#This Row],[Payment amount]]-Table1[[#This Row],[Interest paid]]</f>
        <v>90492.434516654161</v>
      </c>
      <c r="G846" s="20">
        <f>G845-Table1[[#This Row],[Principal repaid]]-Table1[[#This Row],[Annual paym]]</f>
        <v>-17651081.572995145</v>
      </c>
      <c r="H846" s="20">
        <f>H845-(Table1[[#This Row],[Payment amount]]-Table1[[#This Row],[Interest Paid W/O LSP]])</f>
        <v>-11604625.810258472</v>
      </c>
      <c r="I846">
        <f>H845*Table1[[#This Row],[Current mortgage rate]]</f>
        <v>-56608.238634896166</v>
      </c>
      <c r="J846" s="25">
        <f>IF(Table1[[#This Row],[Month]]&gt;Table7[Amortization period (yrs)]*12,0,IF(Table1[[#This Row],[Month]]&lt;Table7[mortgage term (yrs)]*12,0,IF(Table1[[#This Row],[Month]]=Table7[mortgage term (yrs)]*12,-H$5,Table1[[#This Row],[Payment amount]]+B846)))</f>
        <v>0</v>
      </c>
      <c r="K846">
        <v>835</v>
      </c>
      <c r="L846">
        <f>Table7[Initial Monthly Deposit]*Table9[[#This Row],[Inflation Modifier]]</f>
        <v>1568.4542050386015</v>
      </c>
      <c r="M846">
        <f xml:space="preserve"> (1+Table7[Inflation])^(QUOTIENT(Table9[[#This Row],[Month]]-1,12))</f>
        <v>3.9211355125965035</v>
      </c>
      <c r="N846">
        <f>N845*(1+Table7[Monthly SF Inter])+Table9[[#This Row],[Monthly Payment]]-O845*(1+Table7[Monthly SF Inter])</f>
        <v>495311.28334877605</v>
      </c>
      <c r="O846">
        <f>IF(MOD(Table9[[#This Row],[Month]],12)=0,(IF(Table9[[#This Row],[Current Balance]]&lt;Table9[[#This Row],[Max Lump Sum ]],Table9[[#This Row],[Current Balance]],Table9[[#This Row],[Max Lump Sum ]])),0)</f>
        <v>0</v>
      </c>
      <c r="P846" s="21">
        <f>Table7[Max annual lump sum repayment]*SUM(C847:C858)</f>
        <v>7880.3958913442566</v>
      </c>
      <c r="Q846" s="25">
        <f>Q845*(1+Table7[Monthly SF Inter])+Table9[[#This Row],[Inflation Modifier]]-R845*(1+Table7[Monthly SF Inter])</f>
        <v>27.789871288440562</v>
      </c>
      <c r="R846" s="25">
        <f>IF(MOD(Table9[[#This Row],[Month]],12)=0,Table9[[#This Row],[Q2 ACC FACTOR]],0)</f>
        <v>0</v>
      </c>
      <c r="S846" s="25">
        <f>S845*(1+D845)+Table9[[#This Row],[ACC FACTOR PAYMENTS]]</f>
        <v>16640.081515687179</v>
      </c>
    </row>
    <row r="847" spans="1:19" x14ac:dyDescent="0.25">
      <c r="A847" s="1">
        <v>835</v>
      </c>
      <c r="B847" s="1">
        <f t="shared" si="13"/>
        <v>0</v>
      </c>
      <c r="C847" s="7">
        <f>G$12/-PV(Table7[Monthly mortgage rate], (12*Table7[Amortization period (yrs)]),1 )</f>
        <v>4377.9977174134756</v>
      </c>
      <c r="D847" s="11">
        <f>IF(Table1[[#This Row],[Month]]&lt;=(12*Table7[mortgage term (yrs)]),Table7[Monthly mortgage rate],Table7[Monthly Exp Renewal Rate])</f>
        <v>4.9038466830562122E-3</v>
      </c>
      <c r="E847" s="21">
        <f>Table1[[#This Row],[Current mortgage rate]]*G846</f>
        <v>-86558.197824086863</v>
      </c>
      <c r="F847" s="5">
        <f>Table1[[#This Row],[Payment amount]]-Table1[[#This Row],[Interest paid]]</f>
        <v>90936.195541500332</v>
      </c>
      <c r="G847" s="20">
        <f>G846-Table1[[#This Row],[Principal repaid]]-Table1[[#This Row],[Annual paym]]</f>
        <v>-17742017.768536646</v>
      </c>
      <c r="H847" s="20">
        <f>H846-(Table1[[#This Row],[Payment amount]]-Table1[[#This Row],[Interest Paid W/O LSP]])</f>
        <v>-11665911.11376363</v>
      </c>
      <c r="I847">
        <f>H846*Table1[[#This Row],[Current mortgage rate]]</f>
        <v>-56907.305787744517</v>
      </c>
      <c r="J847" s="25">
        <f>IF(Table1[[#This Row],[Month]]&gt;Table7[Amortization period (yrs)]*12,0,IF(Table1[[#This Row],[Month]]&lt;Table7[mortgage term (yrs)]*12,0,IF(Table1[[#This Row],[Month]]=Table7[mortgage term (yrs)]*12,-H$5,Table1[[#This Row],[Payment amount]]+B847)))</f>
        <v>0</v>
      </c>
      <c r="K847">
        <v>836</v>
      </c>
      <c r="L847">
        <f>Table7[Initial Monthly Deposit]*Table9[[#This Row],[Inflation Modifier]]</f>
        <v>1568.4542050386015</v>
      </c>
      <c r="M847">
        <f xml:space="preserve"> (1+Table7[Inflation])^(QUOTIENT(Table9[[#This Row],[Month]]-1,12))</f>
        <v>3.9211355125965035</v>
      </c>
      <c r="N847">
        <f>N846*(1+Table7[Monthly SF Inter])+Table9[[#This Row],[Monthly Payment]]-O846*(1+Table7[Monthly SF Inter])</f>
        <v>498922.35941527714</v>
      </c>
      <c r="O847">
        <f>IF(MOD(Table9[[#This Row],[Month]],12)=0,(IF(Table9[[#This Row],[Current Balance]]&lt;Table9[[#This Row],[Max Lump Sum ]],Table9[[#This Row],[Current Balance]],Table9[[#This Row],[Max Lump Sum ]])),0)</f>
        <v>0</v>
      </c>
      <c r="P847" s="21">
        <f>Table7[Max annual lump sum repayment]*SUM(C848:C859)</f>
        <v>7880.3958913442566</v>
      </c>
      <c r="Q847" s="25">
        <f>Q846*(1+Table7[Monthly SF Inter])+Table9[[#This Row],[Inflation Modifier]]-R846*(1+Table7[Monthly SF Inter])</f>
        <v>31.825609881017833</v>
      </c>
      <c r="R847" s="25">
        <f>IF(MOD(Table9[[#This Row],[Month]],12)=0,Table9[[#This Row],[Q2 ACC FACTOR]],0)</f>
        <v>0</v>
      </c>
      <c r="S847" s="25">
        <f>S846*(1+D846)+Table9[[#This Row],[ACC FACTOR PAYMENTS]]</f>
        <v>16721.681924233668</v>
      </c>
    </row>
    <row r="848" spans="1:19" x14ac:dyDescent="0.25">
      <c r="A848" s="1">
        <v>836</v>
      </c>
      <c r="B848" s="1">
        <f t="shared" si="13"/>
        <v>0</v>
      </c>
      <c r="C848" s="7">
        <f>G$12/-PV(Table7[Monthly mortgage rate], (12*Table7[Amortization period (yrs)]),1 )</f>
        <v>4377.9977174134756</v>
      </c>
      <c r="D848" s="11">
        <f>IF(Table1[[#This Row],[Month]]&lt;=(12*Table7[mortgage term (yrs)]),Table7[Monthly mortgage rate],Table7[Monthly Exp Renewal Rate])</f>
        <v>4.9038466830562122E-3</v>
      </c>
      <c r="E848" s="21">
        <f>Table1[[#This Row],[Current mortgage rate]]*G847</f>
        <v>-87004.134984962817</v>
      </c>
      <c r="F848" s="5">
        <f>Table1[[#This Row],[Payment amount]]-Table1[[#This Row],[Interest paid]]</f>
        <v>91382.132702376286</v>
      </c>
      <c r="G848" s="20">
        <f>G847-Table1[[#This Row],[Principal repaid]]-Table1[[#This Row],[Annual paym]]</f>
        <v>-17833399.901239023</v>
      </c>
      <c r="H848" s="20">
        <f>H847-(Table1[[#This Row],[Payment amount]]-Table1[[#This Row],[Interest Paid W/O LSP]])</f>
        <v>-11727496.951001102</v>
      </c>
      <c r="I848">
        <f>H847*Table1[[#This Row],[Current mortgage rate]]</f>
        <v>-57207.839520058384</v>
      </c>
      <c r="J848" s="25">
        <f>IF(Table1[[#This Row],[Month]]&gt;Table7[Amortization period (yrs)]*12,0,IF(Table1[[#This Row],[Month]]&lt;Table7[mortgage term (yrs)]*12,0,IF(Table1[[#This Row],[Month]]=Table7[mortgage term (yrs)]*12,-H$5,Table1[[#This Row],[Payment amount]]+B848)))</f>
        <v>0</v>
      </c>
      <c r="K848">
        <v>837</v>
      </c>
      <c r="L848">
        <f>Table7[Initial Monthly Deposit]*Table9[[#This Row],[Inflation Modifier]]</f>
        <v>1568.4542050386015</v>
      </c>
      <c r="M848">
        <f xml:space="preserve"> (1+Table7[Inflation])^(QUOTIENT(Table9[[#This Row],[Month]]-1,12))</f>
        <v>3.9211355125965035</v>
      </c>
      <c r="N848">
        <f>N847*(1+Table7[Monthly SF Inter])+Table9[[#This Row],[Monthly Payment]]-O847*(1+Table7[Monthly SF Inter])</f>
        <v>502548.32725421467</v>
      </c>
      <c r="O848">
        <f>IF(MOD(Table9[[#This Row],[Month]],12)=0,(IF(Table9[[#This Row],[Current Balance]]&lt;Table9[[#This Row],[Max Lump Sum ]],Table9[[#This Row],[Current Balance]],Table9[[#This Row],[Max Lump Sum ]])),0)</f>
        <v>0</v>
      </c>
      <c r="P848" s="21">
        <f>Table7[Max annual lump sum repayment]*SUM(C849:C860)</f>
        <v>7880.3958913442566</v>
      </c>
      <c r="Q848" s="25">
        <f>Q847*(1+Table7[Monthly SF Inter])+Table9[[#This Row],[Inflation Modifier]]-R847*(1+Table7[Monthly SF Inter])</f>
        <v>35.877991518390317</v>
      </c>
      <c r="R848" s="25">
        <f>IF(MOD(Table9[[#This Row],[Month]],12)=0,Table9[[#This Row],[Q2 ACC FACTOR]],0)</f>
        <v>0</v>
      </c>
      <c r="S848" s="25">
        <f>S847*(1+D847)+Table9[[#This Row],[ACC FACTOR PAYMENTS]]</f>
        <v>16803.682488672941</v>
      </c>
    </row>
    <row r="849" spans="1:19" x14ac:dyDescent="0.25">
      <c r="A849" s="1">
        <v>837</v>
      </c>
      <c r="B849" s="1">
        <f t="shared" si="13"/>
        <v>0</v>
      </c>
      <c r="C849" s="7">
        <f>G$12/-PV(Table7[Monthly mortgage rate], (12*Table7[Amortization period (yrs)]),1 )</f>
        <v>4377.9977174134756</v>
      </c>
      <c r="D849" s="11">
        <f>IF(Table1[[#This Row],[Month]]&lt;=(12*Table7[mortgage term (yrs)]),Table7[Monthly mortgage rate],Table7[Monthly Exp Renewal Rate])</f>
        <v>4.9038466830562122E-3</v>
      </c>
      <c r="E849" s="21">
        <f>Table1[[#This Row],[Current mortgage rate]]*G848</f>
        <v>-87452.258953305965</v>
      </c>
      <c r="F849" s="5">
        <f>Table1[[#This Row],[Payment amount]]-Table1[[#This Row],[Interest paid]]</f>
        <v>91830.256670719435</v>
      </c>
      <c r="G849" s="20">
        <f>G848-Table1[[#This Row],[Principal repaid]]-Table1[[#This Row],[Annual paym]]</f>
        <v>-17925230.157909743</v>
      </c>
      <c r="H849" s="20">
        <f>H848-(Table1[[#This Row],[Payment amount]]-Table1[[#This Row],[Interest Paid W/O LSP]])</f>
        <v>-11789384.795742234</v>
      </c>
      <c r="I849">
        <f>H848*Table1[[#This Row],[Current mortgage rate]]</f>
        <v>-57509.847023718597</v>
      </c>
      <c r="J849" s="25">
        <f>IF(Table1[[#This Row],[Month]]&gt;Table7[Amortization period (yrs)]*12,0,IF(Table1[[#This Row],[Month]]&lt;Table7[mortgage term (yrs)]*12,0,IF(Table1[[#This Row],[Month]]=Table7[mortgage term (yrs)]*12,-H$5,Table1[[#This Row],[Payment amount]]+B849)))</f>
        <v>0</v>
      </c>
      <c r="K849">
        <v>838</v>
      </c>
      <c r="L849">
        <f>Table7[Initial Monthly Deposit]*Table9[[#This Row],[Inflation Modifier]]</f>
        <v>1568.4542050386015</v>
      </c>
      <c r="M849">
        <f xml:space="preserve"> (1+Table7[Inflation])^(QUOTIENT(Table9[[#This Row],[Month]]-1,12))</f>
        <v>3.9211355125965035</v>
      </c>
      <c r="N849">
        <f>N848*(1+Table7[Monthly SF Inter])+Table9[[#This Row],[Monthly Payment]]-O848*(1+Table7[Monthly SF Inter])</f>
        <v>506189.24827799929</v>
      </c>
      <c r="O849">
        <f>IF(MOD(Table9[[#This Row],[Month]],12)=0,(IF(Table9[[#This Row],[Current Balance]]&lt;Table9[[#This Row],[Max Lump Sum ]],Table9[[#This Row],[Current Balance]],Table9[[#This Row],[Max Lump Sum ]])),0)</f>
        <v>0</v>
      </c>
      <c r="P849" s="21">
        <f>Table7[Max annual lump sum repayment]*SUM(C850:C861)</f>
        <v>7880.3958913442566</v>
      </c>
      <c r="Q849" s="25">
        <f>Q848*(1+Table7[Monthly SF Inter])+Table9[[#This Row],[Inflation Modifier]]-R848*(1+Table7[Monthly SF Inter])</f>
        <v>39.947084835067827</v>
      </c>
      <c r="R849" s="25">
        <f>IF(MOD(Table9[[#This Row],[Month]],12)=0,Table9[[#This Row],[Q2 ACC FACTOR]],0)</f>
        <v>0</v>
      </c>
      <c r="S849" s="25">
        <f>S848*(1+D848)+Table9[[#This Row],[ACC FACTOR PAYMENTS]]</f>
        <v>16886.08517130815</v>
      </c>
    </row>
    <row r="850" spans="1:19" x14ac:dyDescent="0.25">
      <c r="A850" s="1">
        <v>838</v>
      </c>
      <c r="B850" s="1">
        <f t="shared" si="13"/>
        <v>0</v>
      </c>
      <c r="C850" s="7">
        <f>G$12/-PV(Table7[Monthly mortgage rate], (12*Table7[Amortization period (yrs)]),1 )</f>
        <v>4377.9977174134756</v>
      </c>
      <c r="D850" s="11">
        <f>IF(Table1[[#This Row],[Month]]&lt;=(12*Table7[mortgage term (yrs)]),Table7[Monthly mortgage rate],Table7[Monthly Exp Renewal Rate])</f>
        <v>4.9038466830562122E-3</v>
      </c>
      <c r="E850" s="21">
        <f>Table1[[#This Row],[Current mortgage rate]]*G849</f>
        <v>-87902.580452884882</v>
      </c>
      <c r="F850" s="5">
        <f>Table1[[#This Row],[Payment amount]]-Table1[[#This Row],[Interest paid]]</f>
        <v>92280.578170298351</v>
      </c>
      <c r="G850" s="20">
        <f>G849-Table1[[#This Row],[Principal repaid]]-Table1[[#This Row],[Annual paym]]</f>
        <v>-18017510.736080043</v>
      </c>
      <c r="H850" s="20">
        <f>H849-(Table1[[#This Row],[Payment amount]]-Table1[[#This Row],[Interest Paid W/O LSP]])</f>
        <v>-11851576.128985522</v>
      </c>
      <c r="I850">
        <f>H849*Table1[[#This Row],[Current mortgage rate]]</f>
        <v>-57813.335525873896</v>
      </c>
      <c r="J850" s="25">
        <f>IF(Table1[[#This Row],[Month]]&gt;Table7[Amortization period (yrs)]*12,0,IF(Table1[[#This Row],[Month]]&lt;Table7[mortgage term (yrs)]*12,0,IF(Table1[[#This Row],[Month]]=Table7[mortgage term (yrs)]*12,-H$5,Table1[[#This Row],[Payment amount]]+B850)))</f>
        <v>0</v>
      </c>
      <c r="K850">
        <v>839</v>
      </c>
      <c r="L850">
        <f>Table7[Initial Monthly Deposit]*Table9[[#This Row],[Inflation Modifier]]</f>
        <v>1568.4542050386015</v>
      </c>
      <c r="M850">
        <f xml:space="preserve"> (1+Table7[Inflation])^(QUOTIENT(Table9[[#This Row],[Month]]-1,12))</f>
        <v>3.9211355125965035</v>
      </c>
      <c r="N850">
        <f>N849*(1+Table7[Monthly SF Inter])+Table9[[#This Row],[Monthly Payment]]-O849*(1+Table7[Monthly SF Inter])</f>
        <v>509845.18415230128</v>
      </c>
      <c r="O850">
        <f>IF(MOD(Table9[[#This Row],[Month]],12)=0,(IF(Table9[[#This Row],[Current Balance]]&lt;Table9[[#This Row],[Max Lump Sum ]],Table9[[#This Row],[Current Balance]],Table9[[#This Row],[Max Lump Sum ]])),0)</f>
        <v>0</v>
      </c>
      <c r="P850" s="21">
        <f>Table7[Max annual lump sum repayment]*SUM(C851:C862)</f>
        <v>7880.3958913442566</v>
      </c>
      <c r="Q850" s="25">
        <f>Q849*(1+Table7[Monthly SF Inter])+Table9[[#This Row],[Inflation Modifier]]-R849*(1+Table7[Monthly SF Inter])</f>
        <v>44.032958748603093</v>
      </c>
      <c r="R850" s="25">
        <f>IF(MOD(Table9[[#This Row],[Month]],12)=0,Table9[[#This Row],[Q2 ACC FACTOR]],0)</f>
        <v>0</v>
      </c>
      <c r="S850" s="25">
        <f>S849*(1+D849)+Table9[[#This Row],[ACC FACTOR PAYMENTS]]</f>
        <v>16968.891944065275</v>
      </c>
    </row>
    <row r="851" spans="1:19" x14ac:dyDescent="0.25">
      <c r="A851" s="1">
        <v>839</v>
      </c>
      <c r="B851" s="1">
        <f t="shared" si="13"/>
        <v>0</v>
      </c>
      <c r="C851" s="7">
        <f>G$12/-PV(Table7[Monthly mortgage rate], (12*Table7[Amortization period (yrs)]),1 )</f>
        <v>4377.9977174134756</v>
      </c>
      <c r="D851" s="11">
        <f>IF(Table1[[#This Row],[Month]]&lt;=(12*Table7[mortgage term (yrs)]),Table7[Monthly mortgage rate],Table7[Monthly Exp Renewal Rate])</f>
        <v>4.9038466830562122E-3</v>
      </c>
      <c r="E851" s="21">
        <f>Table1[[#This Row],[Current mortgage rate]]*G850</f>
        <v>-88355.110260055808</v>
      </c>
      <c r="F851" s="5">
        <f>Table1[[#This Row],[Payment amount]]-Table1[[#This Row],[Interest paid]]</f>
        <v>92733.107977469277</v>
      </c>
      <c r="G851" s="20">
        <f>G850-Table1[[#This Row],[Principal repaid]]-Table1[[#This Row],[Annual paym]]</f>
        <v>-18110243.844057512</v>
      </c>
      <c r="H851" s="20">
        <f>H850-(Table1[[#This Row],[Payment amount]]-Table1[[#This Row],[Interest Paid W/O LSP]])</f>
        <v>-11914072.43899205</v>
      </c>
      <c r="I851">
        <f>H850*Table1[[#This Row],[Current mortgage rate]]</f>
        <v>-58118.312289113834</v>
      </c>
      <c r="J851" s="25">
        <f>IF(Table1[[#This Row],[Month]]&gt;Table7[Amortization period (yrs)]*12,0,IF(Table1[[#This Row],[Month]]&lt;Table7[mortgage term (yrs)]*12,0,IF(Table1[[#This Row],[Month]]=Table7[mortgage term (yrs)]*12,-H$5,Table1[[#This Row],[Payment amount]]+B851)))</f>
        <v>0</v>
      </c>
      <c r="K851">
        <v>840</v>
      </c>
      <c r="L851">
        <f>Table7[Initial Monthly Deposit]*Table9[[#This Row],[Inflation Modifier]]</f>
        <v>1568.4542050386015</v>
      </c>
      <c r="M851">
        <f xml:space="preserve"> (1+Table7[Inflation])^(QUOTIENT(Table9[[#This Row],[Month]]-1,12))</f>
        <v>3.9211355125965035</v>
      </c>
      <c r="N851">
        <f>N850*(1+Table7[Monthly SF Inter])+Table9[[#This Row],[Monthly Payment]]-O850*(1+Table7[Monthly SF Inter])</f>
        <v>513516.19679709489</v>
      </c>
      <c r="O851">
        <f>IF(MOD(Table9[[#This Row],[Month]],12)=0,(IF(Table9[[#This Row],[Current Balance]]&lt;Table9[[#This Row],[Max Lump Sum ]],Table9[[#This Row],[Current Balance]],Table9[[#This Row],[Max Lump Sum ]])),0)</f>
        <v>7880.3958913442566</v>
      </c>
      <c r="P851" s="21">
        <f>Table7[Max annual lump sum repayment]*SUM(C852:C863)</f>
        <v>7880.3958913442566</v>
      </c>
      <c r="Q851" s="25">
        <f>Q850*(1+Table7[Monthly SF Inter])+Table9[[#This Row],[Inflation Modifier]]-R850*(1+Table7[Monthly SF Inter])</f>
        <v>48.135682460759014</v>
      </c>
      <c r="R851" s="25">
        <f>IF(MOD(Table9[[#This Row],[Month]],12)=0,Table9[[#This Row],[Q2 ACC FACTOR]],0)</f>
        <v>48.135682460759014</v>
      </c>
      <c r="S851" s="25">
        <f>S850*(1+D850)+Table9[[#This Row],[ACC FACTOR PAYMENTS]]</f>
        <v>17100.240471001078</v>
      </c>
    </row>
    <row r="852" spans="1:19" x14ac:dyDescent="0.25">
      <c r="A852" s="1">
        <v>840</v>
      </c>
      <c r="B852" s="1">
        <f t="shared" si="13"/>
        <v>7880.3958913442566</v>
      </c>
      <c r="C852" s="7">
        <f>G$12/-PV(Table7[Monthly mortgage rate], (12*Table7[Amortization period (yrs)]),1 )</f>
        <v>4377.9977174134756</v>
      </c>
      <c r="D852" s="11">
        <f>IF(Table1[[#This Row],[Month]]&lt;=(12*Table7[mortgage term (yrs)]),Table7[Monthly mortgage rate],Table7[Monthly Exp Renewal Rate])</f>
        <v>4.9038466830562122E-3</v>
      </c>
      <c r="E852" s="21">
        <f>Table1[[#This Row],[Current mortgage rate]]*G851</f>
        <v>-88809.859204020613</v>
      </c>
      <c r="F852" s="5">
        <f>Table1[[#This Row],[Payment amount]]-Table1[[#This Row],[Interest paid]]</f>
        <v>93187.856921434082</v>
      </c>
      <c r="G852" s="20">
        <f>G851-Table1[[#This Row],[Principal repaid]]-Table1[[#This Row],[Annual paym]]</f>
        <v>-18211312.096870292</v>
      </c>
      <c r="H852" s="20">
        <f>H851-(Table1[[#This Row],[Payment amount]]-Table1[[#This Row],[Interest Paid W/O LSP]])</f>
        <v>-11976875.221321106</v>
      </c>
      <c r="I852">
        <f>H851*Table1[[#This Row],[Current mortgage rate]]</f>
        <v>-58424.784611642601</v>
      </c>
      <c r="J852" s="25">
        <f>IF(Table1[[#This Row],[Month]]&gt;Table7[Amortization period (yrs)]*12,0,IF(Table1[[#This Row],[Month]]&lt;Table7[mortgage term (yrs)]*12,0,IF(Table1[[#This Row],[Month]]=Table7[mortgage term (yrs)]*12,-H$5,Table1[[#This Row],[Payment amount]]+B852)))</f>
        <v>0</v>
      </c>
      <c r="K852">
        <v>841</v>
      </c>
      <c r="L852">
        <f>Table7[Initial Monthly Deposit]*Table9[[#This Row],[Inflation Modifier]]</f>
        <v>1599.8232891393736</v>
      </c>
      <c r="M852">
        <f xml:space="preserve"> (1+Table7[Inflation])^(QUOTIENT(Table9[[#This Row],[Month]]-1,12))</f>
        <v>3.9995582228484339</v>
      </c>
      <c r="N852">
        <f>N851*(1+Table7[Monthly SF Inter])+Table9[[#This Row],[Monthly Payment]]-O851*(1+Table7[Monthly SF Inter])</f>
        <v>509320.8234939758</v>
      </c>
      <c r="O852">
        <f>IF(MOD(Table9[[#This Row],[Month]],12)=0,(IF(Table9[[#This Row],[Current Balance]]&lt;Table9[[#This Row],[Max Lump Sum ]],Table9[[#This Row],[Current Balance]],Table9[[#This Row],[Max Lump Sum ]])),0)</f>
        <v>0</v>
      </c>
      <c r="P852" s="21">
        <f>Table7[Max annual lump sum repayment]*SUM(C853:C864)</f>
        <v>7880.3958913442566</v>
      </c>
      <c r="Q852" s="25">
        <f>Q851*(1+Table7[Monthly SF Inter])+Table9[[#This Row],[Inflation Modifier]]-R851*(1+Table7[Monthly SF Inter])</f>
        <v>3.9995582228484352</v>
      </c>
      <c r="R852" s="25">
        <f>IF(MOD(Table9[[#This Row],[Month]],12)=0,Table9[[#This Row],[Q2 ACC FACTOR]],0)</f>
        <v>0</v>
      </c>
      <c r="S852" s="25">
        <f>S851*(1+D851)+Table9[[#This Row],[ACC FACTOR PAYMENTS]]</f>
        <v>17184.097428514258</v>
      </c>
    </row>
    <row r="853" spans="1:19" x14ac:dyDescent="0.25">
      <c r="A853" s="1">
        <v>841</v>
      </c>
      <c r="B853" s="1">
        <f t="shared" si="13"/>
        <v>0</v>
      </c>
      <c r="C853" s="7">
        <f>G$12/-PV(Table7[Monthly mortgage rate], (12*Table7[Amortization period (yrs)]),1 )</f>
        <v>4377.9977174134756</v>
      </c>
      <c r="D853" s="11">
        <f>IF(Table1[[#This Row],[Month]]&lt;=(12*Table7[mortgage term (yrs)]),Table7[Monthly mortgage rate],Table7[Monthly Exp Renewal Rate])</f>
        <v>4.9038466830562122E-3</v>
      </c>
      <c r="E853" s="21">
        <f>Table1[[#This Row],[Current mortgage rate]]*G852</f>
        <v>-89305.482420338856</v>
      </c>
      <c r="F853" s="5">
        <f>Table1[[#This Row],[Payment amount]]-Table1[[#This Row],[Interest paid]]</f>
        <v>93683.480137752325</v>
      </c>
      <c r="G853" s="20">
        <f>G852-Table1[[#This Row],[Principal repaid]]-Table1[[#This Row],[Annual paym]]</f>
        <v>-18304995.577008042</v>
      </c>
      <c r="H853" s="20">
        <f>H852-(Table1[[#This Row],[Payment amount]]-Table1[[#This Row],[Interest Paid W/O LSP]])</f>
        <v>-12039985.978865974</v>
      </c>
      <c r="I853">
        <f>H852*Table1[[#This Row],[Current mortgage rate]]</f>
        <v>-58732.759827453643</v>
      </c>
      <c r="J853" s="25">
        <f>IF(Table1[[#This Row],[Month]]&gt;Table7[Amortization period (yrs)]*12,0,IF(Table1[[#This Row],[Month]]&lt;Table7[mortgage term (yrs)]*12,0,IF(Table1[[#This Row],[Month]]=Table7[mortgage term (yrs)]*12,-H$5,Table1[[#This Row],[Payment amount]]+B853)))</f>
        <v>0</v>
      </c>
      <c r="K853">
        <v>842</v>
      </c>
      <c r="L853">
        <f>Table7[Initial Monthly Deposit]*Table9[[#This Row],[Inflation Modifier]]</f>
        <v>1599.8232891393736</v>
      </c>
      <c r="M853">
        <f xml:space="preserve"> (1+Table7[Inflation])^(QUOTIENT(Table9[[#This Row],[Month]]-1,12))</f>
        <v>3.9995582228484339</v>
      </c>
      <c r="N853">
        <f>N852*(1+Table7[Monthly SF Inter])+Table9[[#This Row],[Monthly Payment]]-O852*(1+Table7[Monthly SF Inter])</f>
        <v>513021.04280384199</v>
      </c>
      <c r="O853">
        <f>IF(MOD(Table9[[#This Row],[Month]],12)=0,(IF(Table9[[#This Row],[Current Balance]]&lt;Table9[[#This Row],[Max Lump Sum ]],Table9[[#This Row],[Current Balance]],Table9[[#This Row],[Max Lump Sum ]])),0)</f>
        <v>0</v>
      </c>
      <c r="P853" s="21">
        <f>Table7[Max annual lump sum repayment]*SUM(C854:C865)</f>
        <v>7880.3958913442566</v>
      </c>
      <c r="Q853" s="25">
        <f>Q852*(1+Table7[Monthly SF Inter])+Table9[[#This Row],[Inflation Modifier]]-R852*(1+Table7[Monthly SF Inter])</f>
        <v>8.0156102857058187</v>
      </c>
      <c r="R853" s="25">
        <f>IF(MOD(Table9[[#This Row],[Month]],12)=0,Table9[[#This Row],[Q2 ACC FACTOR]],0)</f>
        <v>0</v>
      </c>
      <c r="S853" s="25">
        <f>S852*(1+D852)+Table9[[#This Row],[ACC FACTOR PAYMENTS]]</f>
        <v>17268.365607690394</v>
      </c>
    </row>
    <row r="854" spans="1:19" x14ac:dyDescent="0.25">
      <c r="A854" s="1">
        <v>842</v>
      </c>
      <c r="B854" s="1">
        <f t="shared" si="13"/>
        <v>0</v>
      </c>
      <c r="C854" s="7">
        <f>G$12/-PV(Table7[Monthly mortgage rate], (12*Table7[Amortization period (yrs)]),1 )</f>
        <v>4377.9977174134756</v>
      </c>
      <c r="D854" s="11">
        <f>IF(Table1[[#This Row],[Month]]&lt;=(12*Table7[mortgage term (yrs)]),Table7[Monthly mortgage rate],Table7[Monthly Exp Renewal Rate])</f>
        <v>4.9038466830562122E-3</v>
      </c>
      <c r="E854" s="21">
        <f>Table1[[#This Row],[Current mortgage rate]]*G853</f>
        <v>-89764.891843669524</v>
      </c>
      <c r="F854" s="5">
        <f>Table1[[#This Row],[Payment amount]]-Table1[[#This Row],[Interest paid]]</f>
        <v>94142.889561082993</v>
      </c>
      <c r="G854" s="20">
        <f>G853-Table1[[#This Row],[Principal repaid]]-Table1[[#This Row],[Annual paym]]</f>
        <v>-18399138.466569126</v>
      </c>
      <c r="H854" s="20">
        <f>H853-(Table1[[#This Row],[Payment amount]]-Table1[[#This Row],[Interest Paid W/O LSP]])</f>
        <v>-12103406.221889893</v>
      </c>
      <c r="I854">
        <f>H853*Table1[[#This Row],[Current mortgage rate]]</f>
        <v>-59042.24530650521</v>
      </c>
      <c r="J854" s="25">
        <f>IF(Table1[[#This Row],[Month]]&gt;Table7[Amortization period (yrs)]*12,0,IF(Table1[[#This Row],[Month]]&lt;Table7[mortgage term (yrs)]*12,0,IF(Table1[[#This Row],[Month]]=Table7[mortgage term (yrs)]*12,-H$5,Table1[[#This Row],[Payment amount]]+B854)))</f>
        <v>0</v>
      </c>
      <c r="K854">
        <v>843</v>
      </c>
      <c r="L854">
        <f>Table7[Initial Monthly Deposit]*Table9[[#This Row],[Inflation Modifier]]</f>
        <v>1599.8232891393736</v>
      </c>
      <c r="M854">
        <f xml:space="preserve"> (1+Table7[Inflation])^(QUOTIENT(Table9[[#This Row],[Month]]-1,12))</f>
        <v>3.9995582228484339</v>
      </c>
      <c r="N854">
        <f>N853*(1+Table7[Monthly SF Inter])+Table9[[#This Row],[Monthly Payment]]-O853*(1+Table7[Monthly SF Inter])</f>
        <v>516736.52150534454</v>
      </c>
      <c r="O854">
        <f>IF(MOD(Table9[[#This Row],[Month]],12)=0,(IF(Table9[[#This Row],[Current Balance]]&lt;Table9[[#This Row],[Max Lump Sum ]],Table9[[#This Row],[Current Balance]],Table9[[#This Row],[Max Lump Sum ]])),0)</f>
        <v>0</v>
      </c>
      <c r="P854" s="21">
        <f>Table7[Max annual lump sum repayment]*SUM(C855:C866)</f>
        <v>7880.3958913442566</v>
      </c>
      <c r="Q854" s="25">
        <f>Q853*(1+Table7[Monthly SF Inter])+Table9[[#This Row],[Inflation Modifier]]-R853*(1+Table7[Monthly SF Inter])</f>
        <v>12.048224207774043</v>
      </c>
      <c r="R854" s="25">
        <f>IF(MOD(Table9[[#This Row],[Month]],12)=0,Table9[[#This Row],[Q2 ACC FACTOR]],0)</f>
        <v>0</v>
      </c>
      <c r="S854" s="25">
        <f>S853*(1+D853)+Table9[[#This Row],[ACC FACTOR PAYMENTS]]</f>
        <v>17353.047025097469</v>
      </c>
    </row>
    <row r="855" spans="1:19" x14ac:dyDescent="0.25">
      <c r="A855" s="1">
        <v>843</v>
      </c>
      <c r="B855" s="1">
        <f t="shared" si="13"/>
        <v>0</v>
      </c>
      <c r="C855" s="7">
        <f>G$12/-PV(Table7[Monthly mortgage rate], (12*Table7[Amortization period (yrs)]),1 )</f>
        <v>4377.9977174134756</v>
      </c>
      <c r="D855" s="11">
        <f>IF(Table1[[#This Row],[Month]]&lt;=(12*Table7[mortgage term (yrs)]),Table7[Monthly mortgage rate],Table7[Monthly Exp Renewal Rate])</f>
        <v>4.9038466830562122E-3</v>
      </c>
      <c r="E855" s="21">
        <f>Table1[[#This Row],[Current mortgage rate]]*G854</f>
        <v>-90226.554140376975</v>
      </c>
      <c r="F855" s="5">
        <f>Table1[[#This Row],[Payment amount]]-Table1[[#This Row],[Interest paid]]</f>
        <v>94604.551857790444</v>
      </c>
      <c r="G855" s="20">
        <f>G854-Table1[[#This Row],[Principal repaid]]-Table1[[#This Row],[Annual paym]]</f>
        <v>-18493743.018426917</v>
      </c>
      <c r="H855" s="20">
        <f>H854-(Table1[[#This Row],[Payment amount]]-Table1[[#This Row],[Interest Paid W/O LSP]])</f>
        <v>-12167137.468062203</v>
      </c>
      <c r="I855">
        <f>H854*Table1[[#This Row],[Current mortgage rate]]</f>
        <v>-59353.248454896668</v>
      </c>
      <c r="J855" s="25">
        <f>IF(Table1[[#This Row],[Month]]&gt;Table7[Amortization period (yrs)]*12,0,IF(Table1[[#This Row],[Month]]&lt;Table7[mortgage term (yrs)]*12,0,IF(Table1[[#This Row],[Month]]=Table7[mortgage term (yrs)]*12,-H$5,Table1[[#This Row],[Payment amount]]+B855)))</f>
        <v>0</v>
      </c>
      <c r="K855">
        <v>844</v>
      </c>
      <c r="L855">
        <f>Table7[Initial Monthly Deposit]*Table9[[#This Row],[Inflation Modifier]]</f>
        <v>1599.8232891393736</v>
      </c>
      <c r="M855">
        <f xml:space="preserve"> (1+Table7[Inflation])^(QUOTIENT(Table9[[#This Row],[Month]]-1,12))</f>
        <v>3.9995582228484339</v>
      </c>
      <c r="N855">
        <f>N854*(1+Table7[Monthly SF Inter])+Table9[[#This Row],[Monthly Payment]]-O854*(1+Table7[Monthly SF Inter])</f>
        <v>520467.32252692466</v>
      </c>
      <c r="O855">
        <f>IF(MOD(Table9[[#This Row],[Month]],12)=0,(IF(Table9[[#This Row],[Current Balance]]&lt;Table9[[#This Row],[Max Lump Sum ]],Table9[[#This Row],[Current Balance]],Table9[[#This Row],[Max Lump Sum ]])),0)</f>
        <v>0</v>
      </c>
      <c r="P855" s="21">
        <f>Table7[Max annual lump sum repayment]*SUM(C856:C867)</f>
        <v>7880.3958913442566</v>
      </c>
      <c r="Q855" s="25">
        <f>Q854*(1+Table7[Monthly SF Inter])+Table9[[#This Row],[Inflation Modifier]]-R854*(1+Table7[Monthly SF Inter])</f>
        <v>16.097468288760442</v>
      </c>
      <c r="R855" s="25">
        <f>IF(MOD(Table9[[#This Row],[Month]],12)=0,Table9[[#This Row],[Q2 ACC FACTOR]],0)</f>
        <v>0</v>
      </c>
      <c r="S855" s="25">
        <f>S854*(1+D854)+Table9[[#This Row],[ACC FACTOR PAYMENTS]]</f>
        <v>17438.143707192412</v>
      </c>
    </row>
    <row r="856" spans="1:19" x14ac:dyDescent="0.25">
      <c r="A856" s="1">
        <v>844</v>
      </c>
      <c r="B856" s="1">
        <f t="shared" si="13"/>
        <v>0</v>
      </c>
      <c r="C856" s="7">
        <f>G$12/-PV(Table7[Monthly mortgage rate], (12*Table7[Amortization period (yrs)]),1 )</f>
        <v>4377.9977174134756</v>
      </c>
      <c r="D856" s="11">
        <f>IF(Table1[[#This Row],[Month]]&lt;=(12*Table7[mortgage term (yrs)]),Table7[Monthly mortgage rate],Table7[Monthly Exp Renewal Rate])</f>
        <v>4.9038466830562122E-3</v>
      </c>
      <c r="E856" s="21">
        <f>Table1[[#This Row],[Current mortgage rate]]*G855</f>
        <v>-90690.480358206827</v>
      </c>
      <c r="F856" s="5">
        <f>Table1[[#This Row],[Payment amount]]-Table1[[#This Row],[Interest paid]]</f>
        <v>95068.478075620296</v>
      </c>
      <c r="G856" s="20">
        <f>G855-Table1[[#This Row],[Principal repaid]]-Table1[[#This Row],[Annual paym]]</f>
        <v>-18588811.496502537</v>
      </c>
      <c r="H856" s="20">
        <f>H855-(Table1[[#This Row],[Payment amount]]-Table1[[#This Row],[Interest Paid W/O LSP]])</f>
        <v>-12231181.242494663</v>
      </c>
      <c r="I856">
        <f>H855*Table1[[#This Row],[Current mortgage rate]]</f>
        <v>-59665.776715045795</v>
      </c>
      <c r="J856" s="25">
        <f>IF(Table1[[#This Row],[Month]]&gt;Table7[Amortization period (yrs)]*12,0,IF(Table1[[#This Row],[Month]]&lt;Table7[mortgage term (yrs)]*12,0,IF(Table1[[#This Row],[Month]]=Table7[mortgage term (yrs)]*12,-H$5,Table1[[#This Row],[Payment amount]]+B856)))</f>
        <v>0</v>
      </c>
      <c r="K856">
        <v>845</v>
      </c>
      <c r="L856">
        <f>Table7[Initial Monthly Deposit]*Table9[[#This Row],[Inflation Modifier]]</f>
        <v>1599.8232891393736</v>
      </c>
      <c r="M856">
        <f xml:space="preserve"> (1+Table7[Inflation])^(QUOTIENT(Table9[[#This Row],[Month]]-1,12))</f>
        <v>3.9995582228484339</v>
      </c>
      <c r="N856">
        <f>N855*(1+Table7[Monthly SF Inter])+Table9[[#This Row],[Monthly Payment]]-O855*(1+Table7[Monthly SF Inter])</f>
        <v>524213.50905653503</v>
      </c>
      <c r="O856">
        <f>IF(MOD(Table9[[#This Row],[Month]],12)=0,(IF(Table9[[#This Row],[Current Balance]]&lt;Table9[[#This Row],[Max Lump Sum ]],Table9[[#This Row],[Current Balance]],Table9[[#This Row],[Max Lump Sum ]])),0)</f>
        <v>0</v>
      </c>
      <c r="P856" s="21">
        <f>Table7[Max annual lump sum repayment]*SUM(C857:C868)</f>
        <v>7880.3958913442566</v>
      </c>
      <c r="Q856" s="25">
        <f>Q855*(1+Table7[Monthly SF Inter])+Table9[[#This Row],[Inflation Modifier]]-R855*(1+Table7[Monthly SF Inter])</f>
        <v>20.163411110034566</v>
      </c>
      <c r="R856" s="25">
        <f>IF(MOD(Table9[[#This Row],[Month]],12)=0,Table9[[#This Row],[Q2 ACC FACTOR]],0)</f>
        <v>0</v>
      </c>
      <c r="S856" s="25">
        <f>S855*(1+D855)+Table9[[#This Row],[ACC FACTOR PAYMENTS]]</f>
        <v>17523.657690369586</v>
      </c>
    </row>
    <row r="857" spans="1:19" x14ac:dyDescent="0.25">
      <c r="A857" s="1">
        <v>845</v>
      </c>
      <c r="B857" s="1">
        <f t="shared" si="13"/>
        <v>0</v>
      </c>
      <c r="C857" s="7">
        <f>G$12/-PV(Table7[Monthly mortgage rate], (12*Table7[Amortization period (yrs)]),1 )</f>
        <v>4377.9977174134756</v>
      </c>
      <c r="D857" s="11">
        <f>IF(Table1[[#This Row],[Month]]&lt;=(12*Table7[mortgage term (yrs)]),Table7[Monthly mortgage rate],Table7[Monthly Exp Renewal Rate])</f>
        <v>4.9038466830562122E-3</v>
      </c>
      <c r="E857" s="21">
        <f>Table1[[#This Row],[Current mortgage rate]]*G856</f>
        <v>-91156.681599081145</v>
      </c>
      <c r="F857" s="5">
        <f>Table1[[#This Row],[Payment amount]]-Table1[[#This Row],[Interest paid]]</f>
        <v>95534.679316494614</v>
      </c>
      <c r="G857" s="20">
        <f>G856-Table1[[#This Row],[Principal repaid]]-Table1[[#This Row],[Annual paym]]</f>
        <v>-18684346.175819032</v>
      </c>
      <c r="H857" s="20">
        <f>H856-(Table1[[#This Row],[Payment amount]]-Table1[[#This Row],[Interest Paid W/O LSP]])</f>
        <v>-12295539.077777943</v>
      </c>
      <c r="I857">
        <f>H856*Table1[[#This Row],[Current mortgage rate]]</f>
        <v>-59979.837565866816</v>
      </c>
      <c r="J857" s="25">
        <f>IF(Table1[[#This Row],[Month]]&gt;Table7[Amortization period (yrs)]*12,0,IF(Table1[[#This Row],[Month]]&lt;Table7[mortgage term (yrs)]*12,0,IF(Table1[[#This Row],[Month]]=Table7[mortgage term (yrs)]*12,-H$5,Table1[[#This Row],[Payment amount]]+B857)))</f>
        <v>0</v>
      </c>
      <c r="K857">
        <v>846</v>
      </c>
      <c r="L857">
        <f>Table7[Initial Monthly Deposit]*Table9[[#This Row],[Inflation Modifier]]</f>
        <v>1599.8232891393736</v>
      </c>
      <c r="M857">
        <f xml:space="preserve"> (1+Table7[Inflation])^(QUOTIENT(Table9[[#This Row],[Month]]-1,12))</f>
        <v>3.9995582228484339</v>
      </c>
      <c r="N857">
        <f>N856*(1+Table7[Monthly SF Inter])+Table9[[#This Row],[Monthly Payment]]-O856*(1+Table7[Monthly SF Inter])</f>
        <v>527975.14454271027</v>
      </c>
      <c r="O857">
        <f>IF(MOD(Table9[[#This Row],[Month]],12)=0,(IF(Table9[[#This Row],[Current Balance]]&lt;Table9[[#This Row],[Max Lump Sum ]],Table9[[#This Row],[Current Balance]],Table9[[#This Row],[Max Lump Sum ]])),0)</f>
        <v>0</v>
      </c>
      <c r="P857" s="21">
        <f>Table7[Max annual lump sum repayment]*SUM(C858:C869)</f>
        <v>7880.3958913442566</v>
      </c>
      <c r="Q857" s="25">
        <f>Q856*(1+Table7[Monthly SF Inter])+Table9[[#This Row],[Inflation Modifier]]-R856*(1+Table7[Monthly SF Inter])</f>
        <v>24.246121535789733</v>
      </c>
      <c r="R857" s="25">
        <f>IF(MOD(Table9[[#This Row],[Month]],12)=0,Table9[[#This Row],[Q2 ACC FACTOR]],0)</f>
        <v>0</v>
      </c>
      <c r="S857" s="25">
        <f>S856*(1+D856)+Table9[[#This Row],[ACC FACTOR PAYMENTS]]</f>
        <v>17609.591021009517</v>
      </c>
    </row>
    <row r="858" spans="1:19" x14ac:dyDescent="0.25">
      <c r="A858" s="1">
        <v>846</v>
      </c>
      <c r="B858" s="1">
        <f t="shared" si="13"/>
        <v>0</v>
      </c>
      <c r="C858" s="7">
        <f>G$12/-PV(Table7[Monthly mortgage rate], (12*Table7[Amortization period (yrs)]),1 )</f>
        <v>4377.9977174134756</v>
      </c>
      <c r="D858" s="11">
        <f>IF(Table1[[#This Row],[Month]]&lt;=(12*Table7[mortgage term (yrs)]),Table7[Monthly mortgage rate],Table7[Monthly Exp Renewal Rate])</f>
        <v>4.9038466830562122E-3</v>
      </c>
      <c r="E858" s="21">
        <f>Table1[[#This Row],[Current mortgage rate]]*G857</f>
        <v>-91625.169019364184</v>
      </c>
      <c r="F858" s="5">
        <f>Table1[[#This Row],[Payment amount]]-Table1[[#This Row],[Interest paid]]</f>
        <v>96003.166736777654</v>
      </c>
      <c r="G858" s="20">
        <f>G857-Table1[[#This Row],[Principal repaid]]-Table1[[#This Row],[Annual paym]]</f>
        <v>-18780349.34255581</v>
      </c>
      <c r="H858" s="20">
        <f>H857-(Table1[[#This Row],[Payment amount]]-Table1[[#This Row],[Interest Paid W/O LSP]])</f>
        <v>-12360212.514018305</v>
      </c>
      <c r="I858">
        <f>H857*Table1[[#This Row],[Current mortgage rate]]</f>
        <v>-60295.4385229494</v>
      </c>
      <c r="J858" s="25">
        <f>IF(Table1[[#This Row],[Month]]&gt;Table7[Amortization period (yrs)]*12,0,IF(Table1[[#This Row],[Month]]&lt;Table7[mortgage term (yrs)]*12,0,IF(Table1[[#This Row],[Month]]=Table7[mortgage term (yrs)]*12,-H$5,Table1[[#This Row],[Payment amount]]+B858)))</f>
        <v>0</v>
      </c>
      <c r="K858">
        <v>847</v>
      </c>
      <c r="L858">
        <f>Table7[Initial Monthly Deposit]*Table9[[#This Row],[Inflation Modifier]]</f>
        <v>1599.8232891393736</v>
      </c>
      <c r="M858">
        <f xml:space="preserve"> (1+Table7[Inflation])^(QUOTIENT(Table9[[#This Row],[Month]]-1,12))</f>
        <v>3.9995582228484339</v>
      </c>
      <c r="N858">
        <f>N857*(1+Table7[Monthly SF Inter])+Table9[[#This Row],[Monthly Payment]]-O857*(1+Table7[Monthly SF Inter])</f>
        <v>531752.29269564117</v>
      </c>
      <c r="O858">
        <f>IF(MOD(Table9[[#This Row],[Month]],12)=0,(IF(Table9[[#This Row],[Current Balance]]&lt;Table9[[#This Row],[Max Lump Sum ]],Table9[[#This Row],[Current Balance]],Table9[[#This Row],[Max Lump Sum ]])),0)</f>
        <v>0</v>
      </c>
      <c r="P858" s="21">
        <f>Table7[Max annual lump sum repayment]*SUM(C859:C870)</f>
        <v>7880.3958913442566</v>
      </c>
      <c r="Q858" s="25">
        <f>Q857*(1+Table7[Monthly SF Inter])+Table9[[#This Row],[Inflation Modifier]]-R857*(1+Table7[Monthly SF Inter])</f>
        <v>28.345668714209378</v>
      </c>
      <c r="R858" s="25">
        <f>IF(MOD(Table9[[#This Row],[Month]],12)=0,Table9[[#This Row],[Q2 ACC FACTOR]],0)</f>
        <v>0</v>
      </c>
      <c r="S858" s="25">
        <f>S857*(1+D857)+Table9[[#This Row],[ACC FACTOR PAYMENTS]]</f>
        <v>17695.945755527871</v>
      </c>
    </row>
    <row r="859" spans="1:19" x14ac:dyDescent="0.25">
      <c r="A859" s="1">
        <v>847</v>
      </c>
      <c r="B859" s="1">
        <f t="shared" si="13"/>
        <v>0</v>
      </c>
      <c r="C859" s="7">
        <f>G$12/-PV(Table7[Monthly mortgage rate], (12*Table7[Amortization period (yrs)]),1 )</f>
        <v>4377.9977174134756</v>
      </c>
      <c r="D859" s="11">
        <f>IF(Table1[[#This Row],[Month]]&lt;=(12*Table7[mortgage term (yrs)]),Table7[Monthly mortgage rate],Table7[Monthly Exp Renewal Rate])</f>
        <v>4.9038466830562122E-3</v>
      </c>
      <c r="E859" s="21">
        <f>Table1[[#This Row],[Current mortgage rate]]*G858</f>
        <v>-92095.95383012922</v>
      </c>
      <c r="F859" s="5">
        <f>Table1[[#This Row],[Payment amount]]-Table1[[#This Row],[Interest paid]]</f>
        <v>96473.951547542689</v>
      </c>
      <c r="G859" s="20">
        <f>G858-Table1[[#This Row],[Principal repaid]]-Table1[[#This Row],[Annual paym]]</f>
        <v>-18876823.294103354</v>
      </c>
      <c r="H859" s="20">
        <f>H858-(Table1[[#This Row],[Payment amount]]-Table1[[#This Row],[Interest Paid W/O LSP]])</f>
        <v>-12425203.098874457</v>
      </c>
      <c r="I859">
        <f>H858*Table1[[#This Row],[Current mortgage rate]]</f>
        <v>-60612.587138738549</v>
      </c>
      <c r="J859" s="25">
        <f>IF(Table1[[#This Row],[Month]]&gt;Table7[Amortization period (yrs)]*12,0,IF(Table1[[#This Row],[Month]]&lt;Table7[mortgage term (yrs)]*12,0,IF(Table1[[#This Row],[Month]]=Table7[mortgage term (yrs)]*12,-H$5,Table1[[#This Row],[Payment amount]]+B859)))</f>
        <v>0</v>
      </c>
      <c r="K859">
        <v>848</v>
      </c>
      <c r="L859">
        <f>Table7[Initial Monthly Deposit]*Table9[[#This Row],[Inflation Modifier]]</f>
        <v>1599.8232891393736</v>
      </c>
      <c r="M859">
        <f xml:space="preserve"> (1+Table7[Inflation])^(QUOTIENT(Table9[[#This Row],[Month]]-1,12))</f>
        <v>3.9995582228484339</v>
      </c>
      <c r="N859">
        <f>N858*(1+Table7[Monthly SF Inter])+Table9[[#This Row],[Monthly Payment]]-O858*(1+Table7[Monthly SF Inter])</f>
        <v>535545.017488254</v>
      </c>
      <c r="O859">
        <f>IF(MOD(Table9[[#This Row],[Month]],12)=0,(IF(Table9[[#This Row],[Current Balance]]&lt;Table9[[#This Row],[Max Lump Sum ]],Table9[[#This Row],[Current Balance]],Table9[[#This Row],[Max Lump Sum ]])),0)</f>
        <v>0</v>
      </c>
      <c r="P859" s="21">
        <f>Table7[Max annual lump sum repayment]*SUM(C860:C871)</f>
        <v>7880.3958913442566</v>
      </c>
      <c r="Q859" s="25">
        <f>Q858*(1+Table7[Monthly SF Inter])+Table9[[#This Row],[Inflation Modifier]]-R858*(1+Table7[Monthly SF Inter])</f>
        <v>32.462122078638195</v>
      </c>
      <c r="R859" s="25">
        <f>IF(MOD(Table9[[#This Row],[Month]],12)=0,Table9[[#This Row],[Q2 ACC FACTOR]],0)</f>
        <v>0</v>
      </c>
      <c r="S859" s="25">
        <f>S858*(1+D858)+Table9[[#This Row],[ACC FACTOR PAYMENTS]]</f>
        <v>17782.723960424661</v>
      </c>
    </row>
    <row r="860" spans="1:19" x14ac:dyDescent="0.25">
      <c r="A860" s="1">
        <v>848</v>
      </c>
      <c r="B860" s="1">
        <f t="shared" si="13"/>
        <v>0</v>
      </c>
      <c r="C860" s="7">
        <f>G$12/-PV(Table7[Monthly mortgage rate], (12*Table7[Amortization period (yrs)]),1 )</f>
        <v>4377.9977174134756</v>
      </c>
      <c r="D860" s="11">
        <f>IF(Table1[[#This Row],[Month]]&lt;=(12*Table7[mortgage term (yrs)]),Table7[Monthly mortgage rate],Table7[Monthly Exp Renewal Rate])</f>
        <v>4.9038466830562122E-3</v>
      </c>
      <c r="E860" s="21">
        <f>Table1[[#This Row],[Current mortgage rate]]*G859</f>
        <v>-92569.04729742698</v>
      </c>
      <c r="F860" s="5">
        <f>Table1[[#This Row],[Payment amount]]-Table1[[#This Row],[Interest paid]]</f>
        <v>96947.045014840449</v>
      </c>
      <c r="G860" s="20">
        <f>G859-Table1[[#This Row],[Principal repaid]]-Table1[[#This Row],[Annual paym]]</f>
        <v>-18973770.339118194</v>
      </c>
      <c r="H860" s="20">
        <f>H859-(Table1[[#This Row],[Payment amount]]-Table1[[#This Row],[Interest Paid W/O LSP]])</f>
        <v>-12490512.387594586</v>
      </c>
      <c r="I860">
        <f>H859*Table1[[#This Row],[Current mortgage rate]]</f>
        <v>-60931.291002715276</v>
      </c>
      <c r="J860" s="25">
        <f>IF(Table1[[#This Row],[Month]]&gt;Table7[Amortization period (yrs)]*12,0,IF(Table1[[#This Row],[Month]]&lt;Table7[mortgage term (yrs)]*12,0,IF(Table1[[#This Row],[Month]]=Table7[mortgage term (yrs)]*12,-H$5,Table1[[#This Row],[Payment amount]]+B860)))</f>
        <v>0</v>
      </c>
      <c r="K860">
        <v>849</v>
      </c>
      <c r="L860">
        <f>Table7[Initial Monthly Deposit]*Table9[[#This Row],[Inflation Modifier]]</f>
        <v>1599.8232891393736</v>
      </c>
      <c r="M860">
        <f xml:space="preserve"> (1+Table7[Inflation])^(QUOTIENT(Table9[[#This Row],[Month]]-1,12))</f>
        <v>3.9995582228484339</v>
      </c>
      <c r="N860">
        <f>N859*(1+Table7[Monthly SF Inter])+Table9[[#This Row],[Monthly Payment]]-O859*(1+Table7[Monthly SF Inter])</f>
        <v>539353.38315729413</v>
      </c>
      <c r="O860">
        <f>IF(MOD(Table9[[#This Row],[Month]],12)=0,(IF(Table9[[#This Row],[Current Balance]]&lt;Table9[[#This Row],[Max Lump Sum ]],Table9[[#This Row],[Current Balance]],Table9[[#This Row],[Max Lump Sum ]])),0)</f>
        <v>0</v>
      </c>
      <c r="P860" s="21">
        <f>Table7[Max annual lump sum repayment]*SUM(C861:C872)</f>
        <v>7880.3958913442566</v>
      </c>
      <c r="Q860" s="25">
        <f>Q859*(1+Table7[Monthly SF Inter])+Table9[[#This Row],[Inflation Modifier]]-R859*(1+Table7[Monthly SF Inter])</f>
        <v>36.595551348758129</v>
      </c>
      <c r="R860" s="25">
        <f>IF(MOD(Table9[[#This Row],[Month]],12)=0,Table9[[#This Row],[Q2 ACC FACTOR]],0)</f>
        <v>0</v>
      </c>
      <c r="S860" s="25">
        <f>S859*(1+D859)+Table9[[#This Row],[ACC FACTOR PAYMENTS]]</f>
        <v>17869.927712333694</v>
      </c>
    </row>
    <row r="861" spans="1:19" x14ac:dyDescent="0.25">
      <c r="A861" s="1">
        <v>849</v>
      </c>
      <c r="B861" s="1">
        <f t="shared" si="13"/>
        <v>0</v>
      </c>
      <c r="C861" s="7">
        <f>G$12/-PV(Table7[Monthly mortgage rate], (12*Table7[Amortization period (yrs)]),1 )</f>
        <v>4377.9977174134756</v>
      </c>
      <c r="D861" s="11">
        <f>IF(Table1[[#This Row],[Month]]&lt;=(12*Table7[mortgage term (yrs)]),Table7[Monthly mortgage rate],Table7[Monthly Exp Renewal Rate])</f>
        <v>4.9038466830562122E-3</v>
      </c>
      <c r="E861" s="21">
        <f>Table1[[#This Row],[Current mortgage rate]]*G860</f>
        <v>-93044.460742555093</v>
      </c>
      <c r="F861" s="5">
        <f>Table1[[#This Row],[Payment amount]]-Table1[[#This Row],[Interest paid]]</f>
        <v>97422.458459968562</v>
      </c>
      <c r="G861" s="20">
        <f>G860-Table1[[#This Row],[Principal repaid]]-Table1[[#This Row],[Annual paym]]</f>
        <v>-19071192.797578163</v>
      </c>
      <c r="H861" s="20">
        <f>H860-(Table1[[#This Row],[Payment amount]]-Table1[[#This Row],[Interest Paid W/O LSP]])</f>
        <v>-12556141.943053577</v>
      </c>
      <c r="I861">
        <f>H860*Table1[[#This Row],[Current mortgage rate]]</f>
        <v>-61251.557741578239</v>
      </c>
      <c r="J861" s="25">
        <f>IF(Table1[[#This Row],[Month]]&gt;Table7[Amortization period (yrs)]*12,0,IF(Table1[[#This Row],[Month]]&lt;Table7[mortgage term (yrs)]*12,0,IF(Table1[[#This Row],[Month]]=Table7[mortgage term (yrs)]*12,-H$5,Table1[[#This Row],[Payment amount]]+B861)))</f>
        <v>0</v>
      </c>
      <c r="K861">
        <v>850</v>
      </c>
      <c r="L861">
        <f>Table7[Initial Monthly Deposit]*Table9[[#This Row],[Inflation Modifier]]</f>
        <v>1599.8232891393736</v>
      </c>
      <c r="M861">
        <f xml:space="preserve"> (1+Table7[Inflation])^(QUOTIENT(Table9[[#This Row],[Month]]-1,12))</f>
        <v>3.9995582228484339</v>
      </c>
      <c r="N861">
        <f>N860*(1+Table7[Monthly SF Inter])+Table9[[#This Row],[Monthly Payment]]-O860*(1+Table7[Monthly SF Inter])</f>
        <v>543177.45420441381</v>
      </c>
      <c r="O861">
        <f>IF(MOD(Table9[[#This Row],[Month]],12)=0,(IF(Table9[[#This Row],[Current Balance]]&lt;Table9[[#This Row],[Max Lump Sum ]],Table9[[#This Row],[Current Balance]],Table9[[#This Row],[Max Lump Sum ]])),0)</f>
        <v>0</v>
      </c>
      <c r="P861" s="21">
        <f>Table7[Max annual lump sum repayment]*SUM(C862:C873)</f>
        <v>7880.3958913442566</v>
      </c>
      <c r="Q861" s="25">
        <f>Q860*(1+Table7[Monthly SF Inter])+Table9[[#This Row],[Inflation Modifier]]-R860*(1+Table7[Monthly SF Inter])</f>
        <v>40.746026531769189</v>
      </c>
      <c r="R861" s="25">
        <f>IF(MOD(Table9[[#This Row],[Month]],12)=0,Table9[[#This Row],[Q2 ACC FACTOR]],0)</f>
        <v>0</v>
      </c>
      <c r="S861" s="25">
        <f>S860*(1+D860)+Table9[[#This Row],[ACC FACTOR PAYMENTS]]</f>
        <v>17957.559098072277</v>
      </c>
    </row>
    <row r="862" spans="1:19" x14ac:dyDescent="0.25">
      <c r="A862" s="1">
        <v>850</v>
      </c>
      <c r="B862" s="1">
        <f t="shared" si="13"/>
        <v>0</v>
      </c>
      <c r="C862" s="7">
        <f>G$12/-PV(Table7[Monthly mortgage rate], (12*Table7[Amortization period (yrs)]),1 )</f>
        <v>4377.9977174134756</v>
      </c>
      <c r="D862" s="11">
        <f>IF(Table1[[#This Row],[Month]]&lt;=(12*Table7[mortgage term (yrs)]),Table7[Monthly mortgage rate],Table7[Monthly Exp Renewal Rate])</f>
        <v>4.9038466830562122E-3</v>
      </c>
      <c r="E862" s="21">
        <f>Table1[[#This Row],[Current mortgage rate]]*G861</f>
        <v>-93522.205542329204</v>
      </c>
      <c r="F862" s="5">
        <f>Table1[[#This Row],[Payment amount]]-Table1[[#This Row],[Interest paid]]</f>
        <v>97900.203259742673</v>
      </c>
      <c r="G862" s="20">
        <f>G861-Table1[[#This Row],[Principal repaid]]-Table1[[#This Row],[Annual paym]]</f>
        <v>-19169093.000837907</v>
      </c>
      <c r="H862" s="20">
        <f>H861-(Table1[[#This Row],[Payment amount]]-Table1[[#This Row],[Interest Paid W/O LSP]])</f>
        <v>-12622093.335790416</v>
      </c>
      <c r="I862">
        <f>H861*Table1[[#This Row],[Current mortgage rate]]</f>
        <v>-61573.395019426265</v>
      </c>
      <c r="J862" s="25">
        <f>IF(Table1[[#This Row],[Month]]&gt;Table7[Amortization period (yrs)]*12,0,IF(Table1[[#This Row],[Month]]&lt;Table7[mortgage term (yrs)]*12,0,IF(Table1[[#This Row],[Month]]=Table7[mortgage term (yrs)]*12,-H$5,Table1[[#This Row],[Payment amount]]+B862)))</f>
        <v>0</v>
      </c>
      <c r="K862">
        <v>851</v>
      </c>
      <c r="L862">
        <f>Table7[Initial Monthly Deposit]*Table9[[#This Row],[Inflation Modifier]]</f>
        <v>1599.8232891393736</v>
      </c>
      <c r="M862">
        <f xml:space="preserve"> (1+Table7[Inflation])^(QUOTIENT(Table9[[#This Row],[Month]]-1,12))</f>
        <v>3.9995582228484339</v>
      </c>
      <c r="N862">
        <f>N861*(1+Table7[Monthly SF Inter])+Table9[[#This Row],[Monthly Payment]]-O861*(1+Table7[Monthly SF Inter])</f>
        <v>547017.29539726453</v>
      </c>
      <c r="O862">
        <f>IF(MOD(Table9[[#This Row],[Month]],12)=0,(IF(Table9[[#This Row],[Current Balance]]&lt;Table9[[#This Row],[Max Lump Sum ]],Table9[[#This Row],[Current Balance]],Table9[[#This Row],[Max Lump Sum ]])),0)</f>
        <v>0</v>
      </c>
      <c r="P862" s="21">
        <f>Table7[Max annual lump sum repayment]*SUM(C863:C874)</f>
        <v>7880.3958913442566</v>
      </c>
      <c r="Q862" s="25">
        <f>Q861*(1+Table7[Monthly SF Inter])+Table9[[#This Row],[Inflation Modifier]]-R861*(1+Table7[Monthly SF Inter])</f>
        <v>44.913617923575167</v>
      </c>
      <c r="R862" s="25">
        <f>IF(MOD(Table9[[#This Row],[Month]],12)=0,Table9[[#This Row],[Q2 ACC FACTOR]],0)</f>
        <v>0</v>
      </c>
      <c r="S862" s="25">
        <f>S861*(1+D861)+Table9[[#This Row],[ACC FACTOR PAYMENTS]]</f>
        <v>18045.620214691146</v>
      </c>
    </row>
    <row r="863" spans="1:19" x14ac:dyDescent="0.25">
      <c r="A863" s="1">
        <v>851</v>
      </c>
      <c r="B863" s="1">
        <f t="shared" si="13"/>
        <v>0</v>
      </c>
      <c r="C863" s="7">
        <f>G$12/-PV(Table7[Monthly mortgage rate], (12*Table7[Amortization period (yrs)]),1 )</f>
        <v>4377.9977174134756</v>
      </c>
      <c r="D863" s="11">
        <f>IF(Table1[[#This Row],[Month]]&lt;=(12*Table7[mortgage term (yrs)]),Table7[Monthly mortgage rate],Table7[Monthly Exp Renewal Rate])</f>
        <v>4.9038466830562122E-3</v>
      </c>
      <c r="E863" s="21">
        <f>Table1[[#This Row],[Current mortgage rate]]*G862</f>
        <v>-94002.293129355021</v>
      </c>
      <c r="F863" s="5">
        <f>Table1[[#This Row],[Payment amount]]-Table1[[#This Row],[Interest paid]]</f>
        <v>98380.29084676849</v>
      </c>
      <c r="G863" s="20">
        <f>G862-Table1[[#This Row],[Principal repaid]]-Table1[[#This Row],[Annual paym]]</f>
        <v>-19267473.291684676</v>
      </c>
      <c r="H863" s="20">
        <f>H862-(Table1[[#This Row],[Payment amount]]-Table1[[#This Row],[Interest Paid W/O LSP]])</f>
        <v>-12688368.144045772</v>
      </c>
      <c r="I863">
        <f>H862*Table1[[#This Row],[Current mortgage rate]]</f>
        <v>-61896.810537941754</v>
      </c>
      <c r="J863" s="25">
        <f>IF(Table1[[#This Row],[Month]]&gt;Table7[Amortization period (yrs)]*12,0,IF(Table1[[#This Row],[Month]]&lt;Table7[mortgage term (yrs)]*12,0,IF(Table1[[#This Row],[Month]]=Table7[mortgage term (yrs)]*12,-H$5,Table1[[#This Row],[Payment amount]]+B863)))</f>
        <v>0</v>
      </c>
      <c r="K863">
        <v>852</v>
      </c>
      <c r="L863">
        <f>Table7[Initial Monthly Deposit]*Table9[[#This Row],[Inflation Modifier]]</f>
        <v>1599.8232891393736</v>
      </c>
      <c r="M863">
        <f xml:space="preserve"> (1+Table7[Inflation])^(QUOTIENT(Table9[[#This Row],[Month]]-1,12))</f>
        <v>3.9995582228484339</v>
      </c>
      <c r="N863">
        <f>N862*(1+Table7[Monthly SF Inter])+Table9[[#This Row],[Monthly Payment]]-O862*(1+Table7[Monthly SF Inter])</f>
        <v>550872.97177059413</v>
      </c>
      <c r="O863">
        <f>IF(MOD(Table9[[#This Row],[Month]],12)=0,(IF(Table9[[#This Row],[Current Balance]]&lt;Table9[[#This Row],[Max Lump Sum ]],Table9[[#This Row],[Current Balance]],Table9[[#This Row],[Max Lump Sum ]])),0)</f>
        <v>7880.3958913442566</v>
      </c>
      <c r="P863" s="21">
        <f>Table7[Max annual lump sum repayment]*SUM(C864:C875)</f>
        <v>7880.3958913442566</v>
      </c>
      <c r="Q863" s="25">
        <f>Q862*(1+Table7[Monthly SF Inter])+Table9[[#This Row],[Inflation Modifier]]-R862*(1+Table7[Monthly SF Inter])</f>
        <v>49.09839610997421</v>
      </c>
      <c r="R863" s="25">
        <f>IF(MOD(Table9[[#This Row],[Month]],12)=0,Table9[[#This Row],[Q2 ACC FACTOR]],0)</f>
        <v>49.09839610997421</v>
      </c>
      <c r="S863" s="25">
        <f>S862*(1+D862)+Table9[[#This Row],[ACC FACTOR PAYMENTS]]</f>
        <v>18183.211565634625</v>
      </c>
    </row>
    <row r="864" spans="1:19" x14ac:dyDescent="0.25">
      <c r="A864" s="1">
        <v>852</v>
      </c>
      <c r="B864" s="1">
        <f t="shared" si="13"/>
        <v>7880.3958913442566</v>
      </c>
      <c r="C864" s="7">
        <f>G$12/-PV(Table7[Monthly mortgage rate], (12*Table7[Amortization period (yrs)]),1 )</f>
        <v>4377.9977174134756</v>
      </c>
      <c r="D864" s="11">
        <f>IF(Table1[[#This Row],[Month]]&lt;=(12*Table7[mortgage term (yrs)]),Table7[Monthly mortgage rate],Table7[Monthly Exp Renewal Rate])</f>
        <v>4.9038466830562122E-3</v>
      </c>
      <c r="E864" s="21">
        <f>Table1[[#This Row],[Current mortgage rate]]*G863</f>
        <v>-94484.734992302052</v>
      </c>
      <c r="F864" s="5">
        <f>Table1[[#This Row],[Payment amount]]-Table1[[#This Row],[Interest paid]]</f>
        <v>98862.732709715521</v>
      </c>
      <c r="G864" s="20">
        <f>G863-Table1[[#This Row],[Principal repaid]]-Table1[[#This Row],[Annual paym]]</f>
        <v>-19374216.420285739</v>
      </c>
      <c r="H864" s="20">
        <f>H863-(Table1[[#This Row],[Payment amount]]-Table1[[#This Row],[Interest Paid W/O LSP]])</f>
        <v>-12754967.95379976</v>
      </c>
      <c r="I864">
        <f>H863*Table1[[#This Row],[Current mortgage rate]]</f>
        <v>-62221.812036574964</v>
      </c>
      <c r="J864" s="25">
        <f>IF(Table1[[#This Row],[Month]]&gt;Table7[Amortization period (yrs)]*12,0,IF(Table1[[#This Row],[Month]]&lt;Table7[mortgage term (yrs)]*12,0,IF(Table1[[#This Row],[Month]]=Table7[mortgage term (yrs)]*12,-H$5,Table1[[#This Row],[Payment amount]]+B864)))</f>
        <v>0</v>
      </c>
      <c r="K864">
        <v>853</v>
      </c>
      <c r="L864">
        <f>Table7[Initial Monthly Deposit]*Table9[[#This Row],[Inflation Modifier]]</f>
        <v>1631.8197549221609</v>
      </c>
      <c r="M864">
        <f xml:space="preserve"> (1+Table7[Inflation])^(QUOTIENT(Table9[[#This Row],[Month]]-1,12))</f>
        <v>4.0795493873054021</v>
      </c>
      <c r="N864">
        <f>N863*(1+Table7[Monthly SF Inter])+Table9[[#This Row],[Monthly Payment]]-O863*(1+Table7[Monthly SF Inter])</f>
        <v>546863.65111529897</v>
      </c>
      <c r="O864">
        <f>IF(MOD(Table9[[#This Row],[Month]],12)=0,(IF(Table9[[#This Row],[Current Balance]]&lt;Table9[[#This Row],[Max Lump Sum ]],Table9[[#This Row],[Current Balance]],Table9[[#This Row],[Max Lump Sum ]])),0)</f>
        <v>0</v>
      </c>
      <c r="P864" s="21">
        <f>Table7[Max annual lump sum repayment]*SUM(C865:C876)</f>
        <v>7880.3958913442566</v>
      </c>
      <c r="Q864" s="25">
        <f>Q863*(1+Table7[Monthly SF Inter])+Table9[[#This Row],[Inflation Modifier]]-R863*(1+Table7[Monthly SF Inter])</f>
        <v>4.0795493873053985</v>
      </c>
      <c r="R864" s="25">
        <f>IF(MOD(Table9[[#This Row],[Month]],12)=0,Table9[[#This Row],[Q2 ACC FACTOR]],0)</f>
        <v>0</v>
      </c>
      <c r="S864" s="25">
        <f>S863*(1+D863)+Table9[[#This Row],[ACC FACTOR PAYMENTS]]</f>
        <v>18272.379247358072</v>
      </c>
    </row>
    <row r="865" spans="1:19" x14ac:dyDescent="0.25">
      <c r="A865" s="1">
        <v>853</v>
      </c>
      <c r="B865" s="1">
        <f t="shared" si="13"/>
        <v>0</v>
      </c>
      <c r="C865" s="7">
        <f>G$12/-PV(Table7[Monthly mortgage rate], (12*Table7[Amortization period (yrs)]),1 )</f>
        <v>4377.9977174134756</v>
      </c>
      <c r="D865" s="11">
        <f>IF(Table1[[#This Row],[Month]]&lt;=(12*Table7[mortgage term (yrs)]),Table7[Monthly mortgage rate],Table7[Monthly Exp Renewal Rate])</f>
        <v>4.9038466830562122E-3</v>
      </c>
      <c r="E865" s="21">
        <f>Table1[[#This Row],[Current mortgage rate]]*G864</f>
        <v>-95008.186929431424</v>
      </c>
      <c r="F865" s="5">
        <f>Table1[[#This Row],[Payment amount]]-Table1[[#This Row],[Interest paid]]</f>
        <v>99386.184646844893</v>
      </c>
      <c r="G865" s="20">
        <f>G864-Table1[[#This Row],[Principal repaid]]-Table1[[#This Row],[Annual paym]]</f>
        <v>-19473602.604932584</v>
      </c>
      <c r="H865" s="20">
        <f>H864-(Table1[[#This Row],[Payment amount]]-Table1[[#This Row],[Interest Paid W/O LSP]])</f>
        <v>-12821894.358809903</v>
      </c>
      <c r="I865">
        <f>H864*Table1[[#This Row],[Current mortgage rate]]</f>
        <v>-62548.407292729236</v>
      </c>
      <c r="J865" s="25">
        <f>IF(Table1[[#This Row],[Month]]&gt;Table7[Amortization period (yrs)]*12,0,IF(Table1[[#This Row],[Month]]&lt;Table7[mortgage term (yrs)]*12,0,IF(Table1[[#This Row],[Month]]=Table7[mortgage term (yrs)]*12,-H$5,Table1[[#This Row],[Payment amount]]+B865)))</f>
        <v>0</v>
      </c>
      <c r="K865">
        <v>854</v>
      </c>
      <c r="L865">
        <f>Table7[Initial Monthly Deposit]*Table9[[#This Row],[Inflation Modifier]]</f>
        <v>1631.8197549221609</v>
      </c>
      <c r="M865">
        <f xml:space="preserve"> (1+Table7[Inflation])^(QUOTIENT(Table9[[#This Row],[Month]]-1,12))</f>
        <v>4.0795493873054021</v>
      </c>
      <c r="N865">
        <f>N864*(1+Table7[Monthly SF Inter])+Table9[[#This Row],[Monthly Payment]]-O864*(1+Table7[Monthly SF Inter])</f>
        <v>550750.69033838075</v>
      </c>
      <c r="O865">
        <f>IF(MOD(Table9[[#This Row],[Month]],12)=0,(IF(Table9[[#This Row],[Current Balance]]&lt;Table9[[#This Row],[Max Lump Sum ]],Table9[[#This Row],[Current Balance]],Table9[[#This Row],[Max Lump Sum ]])),0)</f>
        <v>0</v>
      </c>
      <c r="P865" s="21">
        <f>Table7[Max annual lump sum repayment]*SUM(C866:C877)</f>
        <v>7880.3958913442566</v>
      </c>
      <c r="Q865" s="25">
        <f>Q864*(1+Table7[Monthly SF Inter])+Table9[[#This Row],[Inflation Modifier]]-R864*(1+Table7[Monthly SF Inter])</f>
        <v>8.1759224914199287</v>
      </c>
      <c r="R865" s="25">
        <f>IF(MOD(Table9[[#This Row],[Month]],12)=0,Table9[[#This Row],[Q2 ACC FACTOR]],0)</f>
        <v>0</v>
      </c>
      <c r="S865" s="25">
        <f>S864*(1+D864)+Table9[[#This Row],[ACC FACTOR PAYMENTS]]</f>
        <v>18361.984193721775</v>
      </c>
    </row>
    <row r="866" spans="1:19" x14ac:dyDescent="0.25">
      <c r="A866" s="1">
        <v>854</v>
      </c>
      <c r="B866" s="1">
        <f t="shared" si="13"/>
        <v>0</v>
      </c>
      <c r="C866" s="7">
        <f>G$12/-PV(Table7[Monthly mortgage rate], (12*Table7[Amortization period (yrs)]),1 )</f>
        <v>4377.9977174134756</v>
      </c>
      <c r="D866" s="11">
        <f>IF(Table1[[#This Row],[Month]]&lt;=(12*Table7[mortgage term (yrs)]),Table7[Monthly mortgage rate],Table7[Monthly Exp Renewal Rate])</f>
        <v>4.9038466830562122E-3</v>
      </c>
      <c r="E866" s="21">
        <f>Table1[[#This Row],[Current mortgage rate]]*G865</f>
        <v>-95495.561541353469</v>
      </c>
      <c r="F866" s="5">
        <f>Table1[[#This Row],[Payment amount]]-Table1[[#This Row],[Interest paid]]</f>
        <v>99873.559258766938</v>
      </c>
      <c r="G866" s="20">
        <f>G865-Table1[[#This Row],[Principal repaid]]-Table1[[#This Row],[Annual paym]]</f>
        <v>-19573476.16419135</v>
      </c>
      <c r="H866" s="20">
        <f>H865-(Table1[[#This Row],[Payment amount]]-Table1[[#This Row],[Interest Paid W/O LSP]])</f>
        <v>-12889148.960649263</v>
      </c>
      <c r="I866">
        <f>H865*Table1[[#This Row],[Current mortgage rate]]</f>
        <v>-62876.604121947101</v>
      </c>
      <c r="J866" s="25">
        <f>IF(Table1[[#This Row],[Month]]&gt;Table7[Amortization period (yrs)]*12,0,IF(Table1[[#This Row],[Month]]&lt;Table7[mortgage term (yrs)]*12,0,IF(Table1[[#This Row],[Month]]=Table7[mortgage term (yrs)]*12,-H$5,Table1[[#This Row],[Payment amount]]+B866)))</f>
        <v>0</v>
      </c>
      <c r="K866">
        <v>855</v>
      </c>
      <c r="L866">
        <f>Table7[Initial Monthly Deposit]*Table9[[#This Row],[Inflation Modifier]]</f>
        <v>1631.8197549221609</v>
      </c>
      <c r="M866">
        <f xml:space="preserve"> (1+Table7[Inflation])^(QUOTIENT(Table9[[#This Row],[Month]]-1,12))</f>
        <v>4.0795493873054021</v>
      </c>
      <c r="N866">
        <f>N865*(1+Table7[Monthly SF Inter])+Table9[[#This Row],[Monthly Payment]]-O865*(1+Table7[Monthly SF Inter])</f>
        <v>554653.75938262825</v>
      </c>
      <c r="O866">
        <f>IF(MOD(Table9[[#This Row],[Month]],12)=0,(IF(Table9[[#This Row],[Current Balance]]&lt;Table9[[#This Row],[Max Lump Sum ]],Table9[[#This Row],[Current Balance]],Table9[[#This Row],[Max Lump Sum ]])),0)</f>
        <v>0</v>
      </c>
      <c r="P866" s="21">
        <f>Table7[Max annual lump sum repayment]*SUM(C867:C878)</f>
        <v>7880.3958913442566</v>
      </c>
      <c r="Q866" s="25">
        <f>Q865*(1+Table7[Monthly SF Inter])+Table9[[#This Row],[Inflation Modifier]]-R865*(1+Table7[Monthly SF Inter])</f>
        <v>12.289188691929517</v>
      </c>
      <c r="R866" s="25">
        <f>IF(MOD(Table9[[#This Row],[Month]],12)=0,Table9[[#This Row],[Q2 ACC FACTOR]],0)</f>
        <v>0</v>
      </c>
      <c r="S866" s="25">
        <f>S865*(1+D865)+Table9[[#This Row],[ACC FACTOR PAYMENTS]]</f>
        <v>18452.028549004488</v>
      </c>
    </row>
    <row r="867" spans="1:19" x14ac:dyDescent="0.25">
      <c r="A867" s="1">
        <v>855</v>
      </c>
      <c r="B867" s="1">
        <f t="shared" si="13"/>
        <v>0</v>
      </c>
      <c r="C867" s="7">
        <f>G$12/-PV(Table7[Monthly mortgage rate], (12*Table7[Amortization period (yrs)]),1 )</f>
        <v>4377.9977174134756</v>
      </c>
      <c r="D867" s="11">
        <f>IF(Table1[[#This Row],[Month]]&lt;=(12*Table7[mortgage term (yrs)]),Table7[Monthly mortgage rate],Table7[Monthly Exp Renewal Rate])</f>
        <v>4.9038466830562122E-3</v>
      </c>
      <c r="E867" s="21">
        <f>Table1[[#This Row],[Current mortgage rate]]*G866</f>
        <v>-95985.326163649588</v>
      </c>
      <c r="F867" s="5">
        <f>Table1[[#This Row],[Payment amount]]-Table1[[#This Row],[Interest paid]]</f>
        <v>100363.32388106306</v>
      </c>
      <c r="G867" s="20">
        <f>G866-Table1[[#This Row],[Principal repaid]]-Table1[[#This Row],[Annual paym]]</f>
        <v>-19673839.488072414</v>
      </c>
      <c r="H867" s="20">
        <f>H866-(Table1[[#This Row],[Payment amount]]-Table1[[#This Row],[Interest Paid W/O LSP]])</f>
        <v>-12956733.368744774</v>
      </c>
      <c r="I867">
        <f>H866*Table1[[#This Row],[Current mortgage rate]]</f>
        <v>-63206.410378097316</v>
      </c>
      <c r="J867" s="25">
        <f>IF(Table1[[#This Row],[Month]]&gt;Table7[Amortization period (yrs)]*12,0,IF(Table1[[#This Row],[Month]]&lt;Table7[mortgage term (yrs)]*12,0,IF(Table1[[#This Row],[Month]]=Table7[mortgage term (yrs)]*12,-H$5,Table1[[#This Row],[Payment amount]]+B867)))</f>
        <v>0</v>
      </c>
      <c r="K867">
        <v>856</v>
      </c>
      <c r="L867">
        <f>Table7[Initial Monthly Deposit]*Table9[[#This Row],[Inflation Modifier]]</f>
        <v>1631.8197549221609</v>
      </c>
      <c r="M867">
        <f xml:space="preserve"> (1+Table7[Inflation])^(QUOTIENT(Table9[[#This Row],[Month]]-1,12))</f>
        <v>4.0795493873054021</v>
      </c>
      <c r="N867">
        <f>N866*(1+Table7[Monthly SF Inter])+Table9[[#This Row],[Monthly Payment]]-O866*(1+Table7[Monthly SF Inter])</f>
        <v>558572.92435366882</v>
      </c>
      <c r="O867">
        <f>IF(MOD(Table9[[#This Row],[Month]],12)=0,(IF(Table9[[#This Row],[Current Balance]]&lt;Table9[[#This Row],[Max Lump Sum ]],Table9[[#This Row],[Current Balance]],Table9[[#This Row],[Max Lump Sum ]])),0)</f>
        <v>0</v>
      </c>
      <c r="P867" s="21">
        <f>Table7[Max annual lump sum repayment]*SUM(C868:C879)</f>
        <v>7880.3958913442566</v>
      </c>
      <c r="Q867" s="25">
        <f>Q866*(1+Table7[Monthly SF Inter])+Table9[[#This Row],[Inflation Modifier]]-R866*(1+Table7[Monthly SF Inter])</f>
        <v>16.419417654535643</v>
      </c>
      <c r="R867" s="25">
        <f>IF(MOD(Table9[[#This Row],[Month]],12)=0,Table9[[#This Row],[Q2 ACC FACTOR]],0)</f>
        <v>0</v>
      </c>
      <c r="S867" s="25">
        <f>S866*(1+D866)+Table9[[#This Row],[ACC FACTOR PAYMENTS]]</f>
        <v>18542.514468000183</v>
      </c>
    </row>
    <row r="868" spans="1:19" x14ac:dyDescent="0.25">
      <c r="A868" s="1">
        <v>856</v>
      </c>
      <c r="B868" s="1">
        <f t="shared" si="13"/>
        <v>0</v>
      </c>
      <c r="C868" s="7">
        <f>G$12/-PV(Table7[Monthly mortgage rate], (12*Table7[Amortization period (yrs)]),1 )</f>
        <v>4377.9977174134756</v>
      </c>
      <c r="D868" s="11">
        <f>IF(Table1[[#This Row],[Month]]&lt;=(12*Table7[mortgage term (yrs)]),Table7[Monthly mortgage rate],Table7[Monthly Exp Renewal Rate])</f>
        <v>4.9038466830562122E-3</v>
      </c>
      <c r="E868" s="21">
        <f>Table1[[#This Row],[Current mortgage rate]]*G867</f>
        <v>-96477.492516564234</v>
      </c>
      <c r="F868" s="5">
        <f>Table1[[#This Row],[Payment amount]]-Table1[[#This Row],[Interest paid]]</f>
        <v>100855.4902339777</v>
      </c>
      <c r="G868" s="20">
        <f>G867-Table1[[#This Row],[Principal repaid]]-Table1[[#This Row],[Annual paym]]</f>
        <v>-19774694.97830639</v>
      </c>
      <c r="H868" s="20">
        <f>H867-(Table1[[#This Row],[Payment amount]]-Table1[[#This Row],[Interest Paid W/O LSP]])</f>
        <v>-13024649.200415751</v>
      </c>
      <c r="I868">
        <f>H867*Table1[[#This Row],[Current mortgage rate]]</f>
        <v>-63537.833953562804</v>
      </c>
      <c r="J868" s="25">
        <f>IF(Table1[[#This Row],[Month]]&gt;Table7[Amortization period (yrs)]*12,0,IF(Table1[[#This Row],[Month]]&lt;Table7[mortgage term (yrs)]*12,0,IF(Table1[[#This Row],[Month]]=Table7[mortgage term (yrs)]*12,-H$5,Table1[[#This Row],[Payment amount]]+B868)))</f>
        <v>0</v>
      </c>
      <c r="K868">
        <v>857</v>
      </c>
      <c r="L868">
        <f>Table7[Initial Monthly Deposit]*Table9[[#This Row],[Inflation Modifier]]</f>
        <v>1631.8197549221609</v>
      </c>
      <c r="M868">
        <f xml:space="preserve"> (1+Table7[Inflation])^(QUOTIENT(Table9[[#This Row],[Month]]-1,12))</f>
        <v>4.0795493873054021</v>
      </c>
      <c r="N868">
        <f>N867*(1+Table7[Monthly SF Inter])+Table9[[#This Row],[Monthly Payment]]-O867*(1+Table7[Monthly SF Inter])</f>
        <v>562508.25162974396</v>
      </c>
      <c r="O868">
        <f>IF(MOD(Table9[[#This Row],[Month]],12)=0,(IF(Table9[[#This Row],[Current Balance]]&lt;Table9[[#This Row],[Max Lump Sum ]],Table9[[#This Row],[Current Balance]],Table9[[#This Row],[Max Lump Sum ]])),0)</f>
        <v>0</v>
      </c>
      <c r="P868" s="21">
        <f>Table7[Max annual lump sum repayment]*SUM(C869:C880)</f>
        <v>7880.3958913442566</v>
      </c>
      <c r="Q868" s="25">
        <f>Q867*(1+Table7[Monthly SF Inter])+Table9[[#This Row],[Inflation Modifier]]-R867*(1+Table7[Monthly SF Inter])</f>
        <v>20.566679332235246</v>
      </c>
      <c r="R868" s="25">
        <f>IF(MOD(Table9[[#This Row],[Month]],12)=0,Table9[[#This Row],[Q2 ACC FACTOR]],0)</f>
        <v>0</v>
      </c>
      <c r="S868" s="25">
        <f>S867*(1+D867)+Table9[[#This Row],[ACC FACTOR PAYMENTS]]</f>
        <v>18633.444116069608</v>
      </c>
    </row>
    <row r="869" spans="1:19" x14ac:dyDescent="0.25">
      <c r="A869" s="1">
        <v>857</v>
      </c>
      <c r="B869" s="1">
        <f t="shared" si="13"/>
        <v>0</v>
      </c>
      <c r="C869" s="7">
        <f>G$12/-PV(Table7[Monthly mortgage rate], (12*Table7[Amortization period (yrs)]),1 )</f>
        <v>4377.9977174134756</v>
      </c>
      <c r="D869" s="11">
        <f>IF(Table1[[#This Row],[Month]]&lt;=(12*Table7[mortgage term (yrs)]),Table7[Monthly mortgage rate],Table7[Monthly Exp Renewal Rate])</f>
        <v>4.9038466830562122E-3</v>
      </c>
      <c r="E869" s="21">
        <f>Table1[[#This Row],[Current mortgage rate]]*G868</f>
        <v>-96972.072377816134</v>
      </c>
      <c r="F869" s="5">
        <f>Table1[[#This Row],[Payment amount]]-Table1[[#This Row],[Interest paid]]</f>
        <v>101350.0700952296</v>
      </c>
      <c r="G869" s="20">
        <f>G868-Table1[[#This Row],[Principal repaid]]-Table1[[#This Row],[Annual paym]]</f>
        <v>-19876045.04840162</v>
      </c>
      <c r="H869" s="20">
        <f>H868-(Table1[[#This Row],[Payment amount]]-Table1[[#This Row],[Interest Paid W/O LSP]])</f>
        <v>-13092898.080912594</v>
      </c>
      <c r="I869">
        <f>H868*Table1[[#This Row],[Current mortgage rate]]</f>
        <v>-63870.882779429528</v>
      </c>
      <c r="J869" s="25">
        <f>IF(Table1[[#This Row],[Month]]&gt;Table7[Amortization period (yrs)]*12,0,IF(Table1[[#This Row],[Month]]&lt;Table7[mortgage term (yrs)]*12,0,IF(Table1[[#This Row],[Month]]=Table7[mortgage term (yrs)]*12,-H$5,Table1[[#This Row],[Payment amount]]+B869)))</f>
        <v>0</v>
      </c>
      <c r="K869">
        <v>858</v>
      </c>
      <c r="L869">
        <f>Table7[Initial Monthly Deposit]*Table9[[#This Row],[Inflation Modifier]]</f>
        <v>1631.8197549221609</v>
      </c>
      <c r="M869">
        <f xml:space="preserve"> (1+Table7[Inflation])^(QUOTIENT(Table9[[#This Row],[Month]]-1,12))</f>
        <v>4.0795493873054021</v>
      </c>
      <c r="N869">
        <f>N868*(1+Table7[Monthly SF Inter])+Table9[[#This Row],[Monthly Payment]]-O868*(1+Table7[Monthly SF Inter])</f>
        <v>566459.80786283326</v>
      </c>
      <c r="O869">
        <f>IF(MOD(Table9[[#This Row],[Month]],12)=0,(IF(Table9[[#This Row],[Current Balance]]&lt;Table9[[#This Row],[Max Lump Sum ]],Table9[[#This Row],[Current Balance]],Table9[[#This Row],[Max Lump Sum ]])),0)</f>
        <v>0</v>
      </c>
      <c r="P869" s="21">
        <f>Table7[Max annual lump sum repayment]*SUM(C870:C881)</f>
        <v>7880.3958913442566</v>
      </c>
      <c r="Q869" s="25">
        <f>Q868*(1+Table7[Monthly SF Inter])+Table9[[#This Row],[Inflation Modifier]]-R868*(1+Table7[Monthly SF Inter])</f>
        <v>24.731043966505517</v>
      </c>
      <c r="R869" s="25">
        <f>IF(MOD(Table9[[#This Row],[Month]],12)=0,Table9[[#This Row],[Q2 ACC FACTOR]],0)</f>
        <v>0</v>
      </c>
      <c r="S869" s="25">
        <f>S868*(1+D868)+Table9[[#This Row],[ACC FACTOR PAYMENTS]]</f>
        <v>18724.819669192108</v>
      </c>
    </row>
    <row r="870" spans="1:19" x14ac:dyDescent="0.25">
      <c r="A870" s="1">
        <v>858</v>
      </c>
      <c r="B870" s="1">
        <f t="shared" si="13"/>
        <v>0</v>
      </c>
      <c r="C870" s="7">
        <f>G$12/-PV(Table7[Monthly mortgage rate], (12*Table7[Amortization period (yrs)]),1 )</f>
        <v>4377.9977174134756</v>
      </c>
      <c r="D870" s="11">
        <f>IF(Table1[[#This Row],[Month]]&lt;=(12*Table7[mortgage term (yrs)]),Table7[Monthly mortgage rate],Table7[Monthly Exp Renewal Rate])</f>
        <v>4.9038466830562122E-3</v>
      </c>
      <c r="E870" s="21">
        <f>Table1[[#This Row],[Current mortgage rate]]*G869</f>
        <v>-97469.077582880142</v>
      </c>
      <c r="F870" s="5">
        <f>Table1[[#This Row],[Payment amount]]-Table1[[#This Row],[Interest paid]]</f>
        <v>101847.07530029361</v>
      </c>
      <c r="G870" s="20">
        <f>G869-Table1[[#This Row],[Principal repaid]]-Table1[[#This Row],[Annual paym]]</f>
        <v>-19977892.123701915</v>
      </c>
      <c r="H870" s="20">
        <f>H869-(Table1[[#This Row],[Payment amount]]-Table1[[#This Row],[Interest Paid W/O LSP]])</f>
        <v>-13161481.643455684</v>
      </c>
      <c r="I870">
        <f>H869*Table1[[#This Row],[Current mortgage rate]]</f>
        <v>-64205.564825676272</v>
      </c>
      <c r="J870" s="25">
        <f>IF(Table1[[#This Row],[Month]]&gt;Table7[Amortization period (yrs)]*12,0,IF(Table1[[#This Row],[Month]]&lt;Table7[mortgage term (yrs)]*12,0,IF(Table1[[#This Row],[Month]]=Table7[mortgage term (yrs)]*12,-H$5,Table1[[#This Row],[Payment amount]]+B870)))</f>
        <v>0</v>
      </c>
      <c r="K870">
        <v>859</v>
      </c>
      <c r="L870">
        <f>Table7[Initial Monthly Deposit]*Table9[[#This Row],[Inflation Modifier]]</f>
        <v>1631.8197549221609</v>
      </c>
      <c r="M870">
        <f xml:space="preserve"> (1+Table7[Inflation])^(QUOTIENT(Table9[[#This Row],[Month]]-1,12))</f>
        <v>4.0795493873054021</v>
      </c>
      <c r="N870">
        <f>N869*(1+Table7[Monthly SF Inter])+Table9[[#This Row],[Monthly Payment]]-O869*(1+Table7[Monthly SF Inter])</f>
        <v>570427.65997978358</v>
      </c>
      <c r="O870">
        <f>IF(MOD(Table9[[#This Row],[Month]],12)=0,(IF(Table9[[#This Row],[Current Balance]]&lt;Table9[[#This Row],[Max Lump Sum ]],Table9[[#This Row],[Current Balance]],Table9[[#This Row],[Max Lump Sum ]])),0)</f>
        <v>0</v>
      </c>
      <c r="P870" s="21">
        <f>Table7[Max annual lump sum repayment]*SUM(C871:C882)</f>
        <v>7880.3958913442566</v>
      </c>
      <c r="Q870" s="25">
        <f>Q869*(1+Table7[Monthly SF Inter])+Table9[[#This Row],[Inflation Modifier]]-R869*(1+Table7[Monthly SF Inter])</f>
        <v>28.912582088493554</v>
      </c>
      <c r="R870" s="25">
        <f>IF(MOD(Table9[[#This Row],[Month]],12)=0,Table9[[#This Row],[Q2 ACC FACTOR]],0)</f>
        <v>0</v>
      </c>
      <c r="S870" s="25">
        <f>S869*(1+D869)+Table9[[#This Row],[ACC FACTOR PAYMENTS]]</f>
        <v>18816.6433140177</v>
      </c>
    </row>
    <row r="871" spans="1:19" x14ac:dyDescent="0.25">
      <c r="A871" s="1">
        <v>859</v>
      </c>
      <c r="B871" s="1">
        <f t="shared" si="13"/>
        <v>0</v>
      </c>
      <c r="C871" s="7">
        <f>G$12/-PV(Table7[Monthly mortgage rate], (12*Table7[Amortization period (yrs)]),1 )</f>
        <v>4377.9977174134756</v>
      </c>
      <c r="D871" s="11">
        <f>IF(Table1[[#This Row],[Month]]&lt;=(12*Table7[mortgage term (yrs)]),Table7[Monthly mortgage rate],Table7[Monthly Exp Renewal Rate])</f>
        <v>4.9038466830562122E-3</v>
      </c>
      <c r="E871" s="21">
        <f>Table1[[#This Row],[Current mortgage rate]]*G870</f>
        <v>-97968.520025270467</v>
      </c>
      <c r="F871" s="5">
        <f>Table1[[#This Row],[Payment amount]]-Table1[[#This Row],[Interest paid]]</f>
        <v>102346.51774268394</v>
      </c>
      <c r="G871" s="20">
        <f>G870-Table1[[#This Row],[Principal repaid]]-Table1[[#This Row],[Annual paym]]</f>
        <v>-20080238.641444597</v>
      </c>
      <c r="H871" s="20">
        <f>H870-(Table1[[#This Row],[Payment amount]]-Table1[[#This Row],[Interest Paid W/O LSP]])</f>
        <v>-13230401.529274464</v>
      </c>
      <c r="I871">
        <f>H870*Table1[[#This Row],[Current mortgage rate]]</f>
        <v>-64541.888101365381</v>
      </c>
      <c r="J871" s="25">
        <f>IF(Table1[[#This Row],[Month]]&gt;Table7[Amortization period (yrs)]*12,0,IF(Table1[[#This Row],[Month]]&lt;Table7[mortgage term (yrs)]*12,0,IF(Table1[[#This Row],[Month]]=Table7[mortgage term (yrs)]*12,-H$5,Table1[[#This Row],[Payment amount]]+B871)))</f>
        <v>0</v>
      </c>
      <c r="K871">
        <v>860</v>
      </c>
      <c r="L871">
        <f>Table7[Initial Monthly Deposit]*Table9[[#This Row],[Inflation Modifier]]</f>
        <v>1631.8197549221609</v>
      </c>
      <c r="M871">
        <f xml:space="preserve"> (1+Table7[Inflation])^(QUOTIENT(Table9[[#This Row],[Month]]-1,12))</f>
        <v>4.0795493873054021</v>
      </c>
      <c r="N871">
        <f>N870*(1+Table7[Monthly SF Inter])+Table9[[#This Row],[Monthly Payment]]-O870*(1+Table7[Monthly SF Inter])</f>
        <v>574411.87518344237</v>
      </c>
      <c r="O871">
        <f>IF(MOD(Table9[[#This Row],[Month]],12)=0,(IF(Table9[[#This Row],[Current Balance]]&lt;Table9[[#This Row],[Max Lump Sum ]],Table9[[#This Row],[Current Balance]],Table9[[#This Row],[Max Lump Sum ]])),0)</f>
        <v>0</v>
      </c>
      <c r="P871" s="21">
        <f>Table7[Max annual lump sum repayment]*SUM(C872:C883)</f>
        <v>7880.3958913442566</v>
      </c>
      <c r="Q871" s="25">
        <f>Q870*(1+Table7[Monthly SF Inter])+Table9[[#This Row],[Inflation Modifier]]-R870*(1+Table7[Monthly SF Inter])</f>
        <v>33.111364520210948</v>
      </c>
      <c r="R871" s="25">
        <f>IF(MOD(Table9[[#This Row],[Month]],12)=0,Table9[[#This Row],[Q2 ACC FACTOR]],0)</f>
        <v>0</v>
      </c>
      <c r="S871" s="25">
        <f>S870*(1+D870)+Table9[[#This Row],[ACC FACTOR PAYMENTS]]</f>
        <v>18908.917247919399</v>
      </c>
    </row>
    <row r="872" spans="1:19" x14ac:dyDescent="0.25">
      <c r="A872" s="1">
        <v>860</v>
      </c>
      <c r="B872" s="1">
        <f t="shared" si="13"/>
        <v>0</v>
      </c>
      <c r="C872" s="7">
        <f>G$12/-PV(Table7[Monthly mortgage rate], (12*Table7[Amortization period (yrs)]),1 )</f>
        <v>4377.9977174134756</v>
      </c>
      <c r="D872" s="11">
        <f>IF(Table1[[#This Row],[Month]]&lt;=(12*Table7[mortgage term (yrs)]),Table7[Monthly mortgage rate],Table7[Monthly Exp Renewal Rate])</f>
        <v>4.9038466830562122E-3</v>
      </c>
      <c r="E872" s="21">
        <f>Table1[[#This Row],[Current mortgage rate]]*G871</f>
        <v>-98470.411656825265</v>
      </c>
      <c r="F872" s="5">
        <f>Table1[[#This Row],[Payment amount]]-Table1[[#This Row],[Interest paid]]</f>
        <v>102848.40937423873</v>
      </c>
      <c r="G872" s="20">
        <f>G871-Table1[[#This Row],[Principal repaid]]-Table1[[#This Row],[Annual paym]]</f>
        <v>-20183087.050818834</v>
      </c>
      <c r="H872" s="20">
        <f>H871-(Table1[[#This Row],[Payment amount]]-Table1[[#This Row],[Interest Paid W/O LSP]])</f>
        <v>-13299659.387646712</v>
      </c>
      <c r="I872">
        <f>H871*Table1[[#This Row],[Current mortgage rate]]</f>
        <v>-64879.860654834418</v>
      </c>
      <c r="J872" s="25">
        <f>IF(Table1[[#This Row],[Month]]&gt;Table7[Amortization period (yrs)]*12,0,IF(Table1[[#This Row],[Month]]&lt;Table7[mortgage term (yrs)]*12,0,IF(Table1[[#This Row],[Month]]=Table7[mortgage term (yrs)]*12,-H$5,Table1[[#This Row],[Payment amount]]+B872)))</f>
        <v>0</v>
      </c>
      <c r="K872">
        <v>861</v>
      </c>
      <c r="L872">
        <f>Table7[Initial Monthly Deposit]*Table9[[#This Row],[Inflation Modifier]]</f>
        <v>1631.8197549221609</v>
      </c>
      <c r="M872">
        <f xml:space="preserve"> (1+Table7[Inflation])^(QUOTIENT(Table9[[#This Row],[Month]]-1,12))</f>
        <v>4.0795493873054021</v>
      </c>
      <c r="N872">
        <f>N871*(1+Table7[Monthly SF Inter])+Table9[[#This Row],[Monthly Payment]]-O871*(1+Table7[Monthly SF Inter])</f>
        <v>578412.52095379611</v>
      </c>
      <c r="O872">
        <f>IF(MOD(Table9[[#This Row],[Month]],12)=0,(IF(Table9[[#This Row],[Current Balance]]&lt;Table9[[#This Row],[Max Lump Sum ]],Table9[[#This Row],[Current Balance]],Table9[[#This Row],[Max Lump Sum ]])),0)</f>
        <v>0</v>
      </c>
      <c r="P872" s="21">
        <f>Table7[Max annual lump sum repayment]*SUM(C873:C884)</f>
        <v>7880.3958913442566</v>
      </c>
      <c r="Q872" s="25">
        <f>Q871*(1+Table7[Monthly SF Inter])+Table9[[#This Row],[Inflation Modifier]]-R871*(1+Table7[Monthly SF Inter])</f>
        <v>37.327462375733276</v>
      </c>
      <c r="R872" s="25">
        <f>IF(MOD(Table9[[#This Row],[Month]],12)=0,Table9[[#This Row],[Q2 ACC FACTOR]],0)</f>
        <v>0</v>
      </c>
      <c r="S872" s="25">
        <f>S871*(1+D871)+Table9[[#This Row],[ACC FACTOR PAYMENTS]]</f>
        <v>19001.643679045792</v>
      </c>
    </row>
    <row r="873" spans="1:19" x14ac:dyDescent="0.25">
      <c r="A873" s="1">
        <v>861</v>
      </c>
      <c r="B873" s="1">
        <f t="shared" si="13"/>
        <v>0</v>
      </c>
      <c r="C873" s="7">
        <f>G$12/-PV(Table7[Monthly mortgage rate], (12*Table7[Amortization period (yrs)]),1 )</f>
        <v>4377.9977174134756</v>
      </c>
      <c r="D873" s="11">
        <f>IF(Table1[[#This Row],[Month]]&lt;=(12*Table7[mortgage term (yrs)]),Table7[Monthly mortgage rate],Table7[Monthly Exp Renewal Rate])</f>
        <v>4.9038466830562122E-3</v>
      </c>
      <c r="E873" s="21">
        <f>Table1[[#This Row],[Current mortgage rate]]*G872</f>
        <v>-98974.764487992725</v>
      </c>
      <c r="F873" s="5">
        <f>Table1[[#This Row],[Payment amount]]-Table1[[#This Row],[Interest paid]]</f>
        <v>103352.76220540619</v>
      </c>
      <c r="G873" s="20">
        <f>G872-Table1[[#This Row],[Principal repaid]]-Table1[[#This Row],[Annual paym]]</f>
        <v>-20286439.813024241</v>
      </c>
      <c r="H873" s="20">
        <f>H872-(Table1[[#This Row],[Payment amount]]-Table1[[#This Row],[Interest Paid W/O LSP]])</f>
        <v>-13369256.875938015</v>
      </c>
      <c r="I873">
        <f>H872*Table1[[#This Row],[Current mortgage rate]]</f>
        <v>-65219.490573888746</v>
      </c>
      <c r="J873" s="25">
        <f>IF(Table1[[#This Row],[Month]]&gt;Table7[Amortization period (yrs)]*12,0,IF(Table1[[#This Row],[Month]]&lt;Table7[mortgage term (yrs)]*12,0,IF(Table1[[#This Row],[Month]]=Table7[mortgage term (yrs)]*12,-H$5,Table1[[#This Row],[Payment amount]]+B873)))</f>
        <v>0</v>
      </c>
      <c r="K873">
        <v>862</v>
      </c>
      <c r="L873">
        <f>Table7[Initial Monthly Deposit]*Table9[[#This Row],[Inflation Modifier]]</f>
        <v>1631.8197549221609</v>
      </c>
      <c r="M873">
        <f xml:space="preserve"> (1+Table7[Inflation])^(QUOTIENT(Table9[[#This Row],[Month]]-1,12))</f>
        <v>4.0795493873054021</v>
      </c>
      <c r="N873">
        <f>N872*(1+Table7[Monthly SF Inter])+Table9[[#This Row],[Monthly Payment]]-O872*(1+Table7[Monthly SF Inter])</f>
        <v>582429.66504911275</v>
      </c>
      <c r="O873">
        <f>IF(MOD(Table9[[#This Row],[Month]],12)=0,(IF(Table9[[#This Row],[Current Balance]]&lt;Table9[[#This Row],[Max Lump Sum ]],Table9[[#This Row],[Current Balance]],Table9[[#This Row],[Max Lump Sum ]])),0)</f>
        <v>0</v>
      </c>
      <c r="P873" s="21">
        <f>Table7[Max annual lump sum repayment]*SUM(C874:C885)</f>
        <v>7880.3958913442566</v>
      </c>
      <c r="Q873" s="25">
        <f>Q872*(1+Table7[Monthly SF Inter])+Table9[[#This Row],[Inflation Modifier]]-R872*(1+Table7[Monthly SF Inter])</f>
        <v>41.560947062404551</v>
      </c>
      <c r="R873" s="25">
        <f>IF(MOD(Table9[[#This Row],[Month]],12)=0,Table9[[#This Row],[Q2 ACC FACTOR]],0)</f>
        <v>0</v>
      </c>
      <c r="S873" s="25">
        <f>S872*(1+D872)+Table9[[#This Row],[ACC FACTOR PAYMENTS]]</f>
        <v>19094.824826373897</v>
      </c>
    </row>
    <row r="874" spans="1:19" x14ac:dyDescent="0.25">
      <c r="A874" s="1">
        <v>862</v>
      </c>
      <c r="B874" s="1">
        <f t="shared" si="13"/>
        <v>0</v>
      </c>
      <c r="C874" s="7">
        <f>G$12/-PV(Table7[Monthly mortgage rate], (12*Table7[Amortization period (yrs)]),1 )</f>
        <v>4377.9977174134756</v>
      </c>
      <c r="D874" s="11">
        <f>IF(Table1[[#This Row],[Month]]&lt;=(12*Table7[mortgage term (yrs)]),Table7[Monthly mortgage rate],Table7[Monthly Exp Renewal Rate])</f>
        <v>4.9038466830562122E-3</v>
      </c>
      <c r="E874" s="21">
        <f>Table1[[#This Row],[Current mortgage rate]]*G873</f>
        <v>-99481.590588118415</v>
      </c>
      <c r="F874" s="5">
        <f>Table1[[#This Row],[Payment amount]]-Table1[[#This Row],[Interest paid]]</f>
        <v>103859.58830553188</v>
      </c>
      <c r="G874" s="20">
        <f>G873-Table1[[#This Row],[Principal repaid]]-Table1[[#This Row],[Annual paym]]</f>
        <v>-20390299.401329774</v>
      </c>
      <c r="H874" s="20">
        <f>H873-(Table1[[#This Row],[Payment amount]]-Table1[[#This Row],[Interest Paid W/O LSP]])</f>
        <v>-13439195.659641424</v>
      </c>
      <c r="I874">
        <f>H873*Table1[[#This Row],[Current mortgage rate]]</f>
        <v>-65560.785985995099</v>
      </c>
      <c r="J874" s="25">
        <f>IF(Table1[[#This Row],[Month]]&gt;Table7[Amortization period (yrs)]*12,0,IF(Table1[[#This Row],[Month]]&lt;Table7[mortgage term (yrs)]*12,0,IF(Table1[[#This Row],[Month]]=Table7[mortgage term (yrs)]*12,-H$5,Table1[[#This Row],[Payment amount]]+B874)))</f>
        <v>0</v>
      </c>
      <c r="K874">
        <v>863</v>
      </c>
      <c r="L874">
        <f>Table7[Initial Monthly Deposit]*Table9[[#This Row],[Inflation Modifier]]</f>
        <v>1631.8197549221609</v>
      </c>
      <c r="M874">
        <f xml:space="preserve"> (1+Table7[Inflation])^(QUOTIENT(Table9[[#This Row],[Month]]-1,12))</f>
        <v>4.0795493873054021</v>
      </c>
      <c r="N874">
        <f>N873*(1+Table7[Monthly SF Inter])+Table9[[#This Row],[Monthly Payment]]-O873*(1+Table7[Monthly SF Inter])</f>
        <v>586463.37550708978</v>
      </c>
      <c r="O874">
        <f>IF(MOD(Table9[[#This Row],[Month]],12)=0,(IF(Table9[[#This Row],[Current Balance]]&lt;Table9[[#This Row],[Max Lump Sum ]],Table9[[#This Row],[Current Balance]],Table9[[#This Row],[Max Lump Sum ]])),0)</f>
        <v>0</v>
      </c>
      <c r="P874" s="21">
        <f>Table7[Max annual lump sum repayment]*SUM(C875:C886)</f>
        <v>7880.3958913442566</v>
      </c>
      <c r="Q874" s="25">
        <f>Q873*(1+Table7[Monthly SF Inter])+Table9[[#This Row],[Inflation Modifier]]-R873*(1+Table7[Monthly SF Inter])</f>
        <v>45.811890282046647</v>
      </c>
      <c r="R874" s="25">
        <f>IF(MOD(Table9[[#This Row],[Month]],12)=0,Table9[[#This Row],[Q2 ACC FACTOR]],0)</f>
        <v>0</v>
      </c>
      <c r="S874" s="25">
        <f>S873*(1+D873)+Table9[[#This Row],[ACC FACTOR PAYMENTS]]</f>
        <v>19188.462919762249</v>
      </c>
    </row>
    <row r="875" spans="1:19" x14ac:dyDescent="0.25">
      <c r="A875" s="1">
        <v>863</v>
      </c>
      <c r="B875" s="1">
        <f t="shared" si="13"/>
        <v>0</v>
      </c>
      <c r="C875" s="7">
        <f>G$12/-PV(Table7[Monthly mortgage rate], (12*Table7[Amortization period (yrs)]),1 )</f>
        <v>4377.9977174134756</v>
      </c>
      <c r="D875" s="11">
        <f>IF(Table1[[#This Row],[Month]]&lt;=(12*Table7[mortgage term (yrs)]),Table7[Monthly mortgage rate],Table7[Monthly Exp Renewal Rate])</f>
        <v>4.9038466830562122E-3</v>
      </c>
      <c r="E875" s="21">
        <f>Table1[[#This Row],[Current mortgage rate]]*G874</f>
        <v>-99990.90208573408</v>
      </c>
      <c r="F875" s="5">
        <f>Table1[[#This Row],[Payment amount]]-Table1[[#This Row],[Interest paid]]</f>
        <v>104368.89980314755</v>
      </c>
      <c r="G875" s="20">
        <f>G874-Table1[[#This Row],[Principal repaid]]-Table1[[#This Row],[Annual paym]]</f>
        <v>-20494668.301132921</v>
      </c>
      <c r="H875" s="20">
        <f>H874-(Table1[[#This Row],[Payment amount]]-Table1[[#This Row],[Interest Paid W/O LSP]])</f>
        <v>-13509477.412417313</v>
      </c>
      <c r="I875">
        <f>H874*Table1[[#This Row],[Current mortgage rate]]</f>
        <v>-65903.755058476047</v>
      </c>
      <c r="J875" s="25">
        <f>IF(Table1[[#This Row],[Month]]&gt;Table7[Amortization period (yrs)]*12,0,IF(Table1[[#This Row],[Month]]&lt;Table7[mortgage term (yrs)]*12,0,IF(Table1[[#This Row],[Month]]=Table7[mortgage term (yrs)]*12,-H$5,Table1[[#This Row],[Payment amount]]+B875)))</f>
        <v>0</v>
      </c>
      <c r="K875">
        <v>864</v>
      </c>
      <c r="L875">
        <f>Table7[Initial Monthly Deposit]*Table9[[#This Row],[Inflation Modifier]]</f>
        <v>1631.8197549221609</v>
      </c>
      <c r="M875">
        <f xml:space="preserve"> (1+Table7[Inflation])^(QUOTIENT(Table9[[#This Row],[Month]]-1,12))</f>
        <v>4.0795493873054021</v>
      </c>
      <c r="N875">
        <f>N874*(1+Table7[Monthly SF Inter])+Table9[[#This Row],[Monthly Payment]]-O874*(1+Table7[Monthly SF Inter])</f>
        <v>590513.72064600629</v>
      </c>
      <c r="O875">
        <f>IF(MOD(Table9[[#This Row],[Month]],12)=0,(IF(Table9[[#This Row],[Current Balance]]&lt;Table9[[#This Row],[Max Lump Sum ]],Table9[[#This Row],[Current Balance]],Table9[[#This Row],[Max Lump Sum ]])),0)</f>
        <v>7880.3958913442566</v>
      </c>
      <c r="P875" s="21">
        <f>Table7[Max annual lump sum repayment]*SUM(C876:C887)</f>
        <v>7880.3958913442566</v>
      </c>
      <c r="Q875" s="25">
        <f>Q874*(1+Table7[Monthly SF Inter])+Table9[[#This Row],[Inflation Modifier]]-R874*(1+Table7[Monthly SF Inter])</f>
        <v>50.080364032173676</v>
      </c>
      <c r="R875" s="25">
        <f>IF(MOD(Table9[[#This Row],[Month]],12)=0,Table9[[#This Row],[Q2 ACC FACTOR]],0)</f>
        <v>50.080364032173676</v>
      </c>
      <c r="S875" s="25">
        <f>S874*(1+D874)+Table9[[#This Row],[ACC FACTOR PAYMENTS]]</f>
        <v>19332.640564036443</v>
      </c>
    </row>
    <row r="876" spans="1:19" x14ac:dyDescent="0.25">
      <c r="A876" s="1">
        <v>864</v>
      </c>
      <c r="B876" s="1">
        <f t="shared" si="13"/>
        <v>7880.3958913442566</v>
      </c>
      <c r="C876" s="7">
        <f>G$12/-PV(Table7[Monthly mortgage rate], (12*Table7[Amortization period (yrs)]),1 )</f>
        <v>4377.9977174134756</v>
      </c>
      <c r="D876" s="11">
        <f>IF(Table1[[#This Row],[Month]]&lt;=(12*Table7[mortgage term (yrs)]),Table7[Monthly mortgage rate],Table7[Monthly Exp Renewal Rate])</f>
        <v>4.9038466830562122E-3</v>
      </c>
      <c r="E876" s="21">
        <f>Table1[[#This Row],[Current mortgage rate]]*G875</f>
        <v>-100502.71116884796</v>
      </c>
      <c r="F876" s="5">
        <f>Table1[[#This Row],[Payment amount]]-Table1[[#This Row],[Interest paid]]</f>
        <v>104880.70888626143</v>
      </c>
      <c r="G876" s="20">
        <f>G875-Table1[[#This Row],[Principal repaid]]-Table1[[#This Row],[Annual paym]]</f>
        <v>-20607429.405910529</v>
      </c>
      <c r="H876" s="20">
        <f>H875-(Table1[[#This Row],[Payment amount]]-Table1[[#This Row],[Interest Paid W/O LSP]])</f>
        <v>-13580103.816133432</v>
      </c>
      <c r="I876">
        <f>H875*Table1[[#This Row],[Current mortgage rate]]</f>
        <v>-66248.405998705464</v>
      </c>
      <c r="J876" s="25">
        <f>IF(Table1[[#This Row],[Month]]&gt;Table7[Amortization period (yrs)]*12,0,IF(Table1[[#This Row],[Month]]&lt;Table7[mortgage term (yrs)]*12,0,IF(Table1[[#This Row],[Month]]=Table7[mortgage term (yrs)]*12,-H$5,Table1[[#This Row],[Payment amount]]+B876)))</f>
        <v>0</v>
      </c>
      <c r="K876">
        <v>865</v>
      </c>
      <c r="L876">
        <f>Table7[Initial Monthly Deposit]*Table9[[#This Row],[Inflation Modifier]]</f>
        <v>1664.4561500206041</v>
      </c>
      <c r="M876">
        <f xml:space="preserve"> (1+Table7[Inflation])^(QUOTIENT(Table9[[#This Row],[Month]]-1,12))</f>
        <v>4.1611403750515104</v>
      </c>
      <c r="N876">
        <f>N875*(1+Table7[Monthly SF Inter])+Table9[[#This Row],[Monthly Payment]]-O875*(1+Table7[Monthly SF Inter])</f>
        <v>586700.51148314681</v>
      </c>
      <c r="O876">
        <f>IF(MOD(Table9[[#This Row],[Month]],12)=0,(IF(Table9[[#This Row],[Current Balance]]&lt;Table9[[#This Row],[Max Lump Sum ]],Table9[[#This Row],[Current Balance]],Table9[[#This Row],[Max Lump Sum ]])),0)</f>
        <v>0</v>
      </c>
      <c r="P876" s="21">
        <f>Table7[Max annual lump sum repayment]*SUM(C877:C888)</f>
        <v>7880.3958913442566</v>
      </c>
      <c r="Q876" s="25">
        <f>Q875*(1+Table7[Monthly SF Inter])+Table9[[#This Row],[Inflation Modifier]]-R875*(1+Table7[Monthly SF Inter])</f>
        <v>4.1611403750515095</v>
      </c>
      <c r="R876" s="25">
        <f>IF(MOD(Table9[[#This Row],[Month]],12)=0,Table9[[#This Row],[Q2 ACC FACTOR]],0)</f>
        <v>0</v>
      </c>
      <c r="S876" s="25">
        <f>S875*(1+D875)+Table9[[#This Row],[ACC FACTOR PAYMENTS]]</f>
        <v>19427.44486934111</v>
      </c>
    </row>
    <row r="877" spans="1:19" x14ac:dyDescent="0.25">
      <c r="A877" s="1">
        <v>865</v>
      </c>
      <c r="B877" s="1">
        <f t="shared" si="13"/>
        <v>0</v>
      </c>
      <c r="C877" s="7">
        <f>G$12/-PV(Table7[Monthly mortgage rate], (12*Table7[Amortization period (yrs)]),1 )</f>
        <v>4377.9977174134756</v>
      </c>
      <c r="D877" s="11">
        <f>IF(Table1[[#This Row],[Month]]&lt;=(12*Table7[mortgage term (yrs)]),Table7[Monthly mortgage rate],Table7[Monthly Exp Renewal Rate])</f>
        <v>4.9038466830562122E-3</v>
      </c>
      <c r="E877" s="21">
        <f>Table1[[#This Row],[Current mortgage rate]]*G876</f>
        <v>-101055.67433848939</v>
      </c>
      <c r="F877" s="5">
        <f>Table1[[#This Row],[Payment amount]]-Table1[[#This Row],[Interest paid]]</f>
        <v>105433.67205590286</v>
      </c>
      <c r="G877" s="20">
        <f>G876-Table1[[#This Row],[Principal repaid]]-Table1[[#This Row],[Annual paym]]</f>
        <v>-20712863.077966433</v>
      </c>
      <c r="H877" s="20">
        <f>H876-(Table1[[#This Row],[Payment amount]]-Table1[[#This Row],[Interest Paid W/O LSP]])</f>
        <v>-13651076.560905151</v>
      </c>
      <c r="I877">
        <f>H876*Table1[[#This Row],[Current mortgage rate]]</f>
        <v>-66594.747054304942</v>
      </c>
      <c r="J877" s="25">
        <f>IF(Table1[[#This Row],[Month]]&gt;Table7[Amortization period (yrs)]*12,0,IF(Table1[[#This Row],[Month]]&lt;Table7[mortgage term (yrs)]*12,0,IF(Table1[[#This Row],[Month]]=Table7[mortgage term (yrs)]*12,-H$5,Table1[[#This Row],[Payment amount]]+B877)))</f>
        <v>0</v>
      </c>
      <c r="K877">
        <v>866</v>
      </c>
      <c r="L877">
        <f>Table7[Initial Monthly Deposit]*Table9[[#This Row],[Inflation Modifier]]</f>
        <v>1664.4561500206041</v>
      </c>
      <c r="M877">
        <f xml:space="preserve"> (1+Table7[Inflation])^(QUOTIENT(Table9[[#This Row],[Month]]-1,12))</f>
        <v>4.1611403750515104</v>
      </c>
      <c r="N877">
        <f>N876*(1+Table7[Monthly SF Inter])+Table9[[#This Row],[Monthly Payment]]-O876*(1+Table7[Monthly SF Inter])</f>
        <v>590784.47094588075</v>
      </c>
      <c r="O877">
        <f>IF(MOD(Table9[[#This Row],[Month]],12)=0,(IF(Table9[[#This Row],[Current Balance]]&lt;Table9[[#This Row],[Max Lump Sum ]],Table9[[#This Row],[Current Balance]],Table9[[#This Row],[Max Lump Sum ]])),0)</f>
        <v>0</v>
      </c>
      <c r="P877" s="21">
        <f>Table7[Max annual lump sum repayment]*SUM(C878:C889)</f>
        <v>7880.3958913442566</v>
      </c>
      <c r="Q877" s="25">
        <f>Q876*(1+Table7[Monthly SF Inter])+Table9[[#This Row],[Inflation Modifier]]-R876*(1+Table7[Monthly SF Inter])</f>
        <v>8.3394409412483306</v>
      </c>
      <c r="R877" s="25">
        <f>IF(MOD(Table9[[#This Row],[Month]],12)=0,Table9[[#This Row],[Q2 ACC FACTOR]],0)</f>
        <v>0</v>
      </c>
      <c r="S877" s="25">
        <f>S876*(1+D876)+Table9[[#This Row],[ACC FACTOR PAYMENTS]]</f>
        <v>19522.714080423888</v>
      </c>
    </row>
    <row r="878" spans="1:19" x14ac:dyDescent="0.25">
      <c r="A878" s="1">
        <v>866</v>
      </c>
      <c r="B878" s="1">
        <f t="shared" si="13"/>
        <v>0</v>
      </c>
      <c r="C878" s="7">
        <f>G$12/-PV(Table7[Monthly mortgage rate], (12*Table7[Amortization period (yrs)]),1 )</f>
        <v>4377.9977174134756</v>
      </c>
      <c r="D878" s="11">
        <f>IF(Table1[[#This Row],[Month]]&lt;=(12*Table7[mortgage term (yrs)]),Table7[Monthly mortgage rate],Table7[Monthly Exp Renewal Rate])</f>
        <v>4.9038466830562122E-3</v>
      </c>
      <c r="E878" s="21">
        <f>Table1[[#This Row],[Current mortgage rate]]*G877</f>
        <v>-101572.70490148317</v>
      </c>
      <c r="F878" s="5">
        <f>Table1[[#This Row],[Payment amount]]-Table1[[#This Row],[Interest paid]]</f>
        <v>105950.70261889664</v>
      </c>
      <c r="G878" s="20">
        <f>G877-Table1[[#This Row],[Principal repaid]]-Table1[[#This Row],[Annual paym]]</f>
        <v>-20818813.78058533</v>
      </c>
      <c r="H878" s="20">
        <f>H877-(Table1[[#This Row],[Payment amount]]-Table1[[#This Row],[Interest Paid W/O LSP]])</f>
        <v>-13722397.345135905</v>
      </c>
      <c r="I878">
        <f>H877*Table1[[#This Row],[Current mortgage rate]]</f>
        <v>-66942.786513341125</v>
      </c>
      <c r="J878" s="25">
        <f>IF(Table1[[#This Row],[Month]]&gt;Table7[Amortization period (yrs)]*12,0,IF(Table1[[#This Row],[Month]]&lt;Table7[mortgage term (yrs)]*12,0,IF(Table1[[#This Row],[Month]]=Table7[mortgage term (yrs)]*12,-H$5,Table1[[#This Row],[Payment amount]]+B878)))</f>
        <v>0</v>
      </c>
      <c r="K878">
        <v>867</v>
      </c>
      <c r="L878">
        <f>Table7[Initial Monthly Deposit]*Table9[[#This Row],[Inflation Modifier]]</f>
        <v>1664.4561500206041</v>
      </c>
      <c r="M878">
        <f xml:space="preserve"> (1+Table7[Inflation])^(QUOTIENT(Table9[[#This Row],[Month]]-1,12))</f>
        <v>4.1611403750515104</v>
      </c>
      <c r="N878">
        <f>N877*(1+Table7[Monthly SF Inter])+Table9[[#This Row],[Monthly Payment]]-O877*(1+Table7[Monthly SF Inter])</f>
        <v>594885.27231220214</v>
      </c>
      <c r="O878">
        <f>IF(MOD(Table9[[#This Row],[Month]],12)=0,(IF(Table9[[#This Row],[Current Balance]]&lt;Table9[[#This Row],[Max Lump Sum ]],Table9[[#This Row],[Current Balance]],Table9[[#This Row],[Max Lump Sum ]])),0)</f>
        <v>0</v>
      </c>
      <c r="P878" s="21">
        <f>Table7[Max annual lump sum repayment]*SUM(C879:C890)</f>
        <v>7880.3958913442566</v>
      </c>
      <c r="Q878" s="25">
        <f>Q877*(1+Table7[Monthly SF Inter])+Table9[[#This Row],[Inflation Modifier]]-R877*(1+Table7[Monthly SF Inter])</f>
        <v>12.534972465768114</v>
      </c>
      <c r="R878" s="25">
        <f>IF(MOD(Table9[[#This Row],[Month]],12)=0,Table9[[#This Row],[Q2 ACC FACTOR]],0)</f>
        <v>0</v>
      </c>
      <c r="S878" s="25">
        <f>S877*(1+D877)+Table9[[#This Row],[ACC FACTOR PAYMENTS]]</f>
        <v>19618.45047711143</v>
      </c>
    </row>
    <row r="879" spans="1:19" x14ac:dyDescent="0.25">
      <c r="A879" s="1">
        <v>867</v>
      </c>
      <c r="B879" s="1">
        <f t="shared" si="13"/>
        <v>0</v>
      </c>
      <c r="C879" s="7">
        <f>G$12/-PV(Table7[Monthly mortgage rate], (12*Table7[Amortization period (yrs)]),1 )</f>
        <v>4377.9977174134756</v>
      </c>
      <c r="D879" s="11">
        <f>IF(Table1[[#This Row],[Month]]&lt;=(12*Table7[mortgage term (yrs)]),Table7[Monthly mortgage rate],Table7[Monthly Exp Renewal Rate])</f>
        <v>4.9038466830562122E-3</v>
      </c>
      <c r="E879" s="21">
        <f>Table1[[#This Row],[Current mortgage rate]]*G878</f>
        <v>-102092.27090308833</v>
      </c>
      <c r="F879" s="5">
        <f>Table1[[#This Row],[Payment amount]]-Table1[[#This Row],[Interest paid]]</f>
        <v>106470.2686205018</v>
      </c>
      <c r="G879" s="20">
        <f>G878-Table1[[#This Row],[Principal repaid]]-Table1[[#This Row],[Annual paym]]</f>
        <v>-20925284.049205832</v>
      </c>
      <c r="H879" s="20">
        <f>H878-(Table1[[#This Row],[Payment amount]]-Table1[[#This Row],[Interest Paid W/O LSP]])</f>
        <v>-13794067.875557842</v>
      </c>
      <c r="I879">
        <f>H878*Table1[[#This Row],[Current mortgage rate]]</f>
        <v>-67292.532704524085</v>
      </c>
      <c r="J879" s="25">
        <f>IF(Table1[[#This Row],[Month]]&gt;Table7[Amortization period (yrs)]*12,0,IF(Table1[[#This Row],[Month]]&lt;Table7[mortgage term (yrs)]*12,0,IF(Table1[[#This Row],[Month]]=Table7[mortgage term (yrs)]*12,-H$5,Table1[[#This Row],[Payment amount]]+B879)))</f>
        <v>0</v>
      </c>
      <c r="K879">
        <v>868</v>
      </c>
      <c r="L879">
        <f>Table7[Initial Monthly Deposit]*Table9[[#This Row],[Inflation Modifier]]</f>
        <v>1664.4561500206041</v>
      </c>
      <c r="M879">
        <f xml:space="preserve"> (1+Table7[Inflation])^(QUOTIENT(Table9[[#This Row],[Month]]-1,12))</f>
        <v>4.1611403750515104</v>
      </c>
      <c r="N879">
        <f>N878*(1+Table7[Monthly SF Inter])+Table9[[#This Row],[Monthly Payment]]-O878*(1+Table7[Monthly SF Inter])</f>
        <v>599002.98503669759</v>
      </c>
      <c r="O879">
        <f>IF(MOD(Table9[[#This Row],[Month]],12)=0,(IF(Table9[[#This Row],[Current Balance]]&lt;Table9[[#This Row],[Max Lump Sum ]],Table9[[#This Row],[Current Balance]],Table9[[#This Row],[Max Lump Sum ]])),0)</f>
        <v>0</v>
      </c>
      <c r="P879" s="21">
        <f>Table7[Max annual lump sum repayment]*SUM(C880:C891)</f>
        <v>7880.3958913442566</v>
      </c>
      <c r="Q879" s="25">
        <f>Q878*(1+Table7[Monthly SF Inter])+Table9[[#This Row],[Inflation Modifier]]-R878*(1+Table7[Monthly SF Inter])</f>
        <v>16.747806007626362</v>
      </c>
      <c r="R879" s="25">
        <f>IF(MOD(Table9[[#This Row],[Month]],12)=0,Table9[[#This Row],[Q2 ACC FACTOR]],0)</f>
        <v>0</v>
      </c>
      <c r="S879" s="25">
        <f>S878*(1+D878)+Table9[[#This Row],[ACC FACTOR PAYMENTS]]</f>
        <v>19714.656350410314</v>
      </c>
    </row>
    <row r="880" spans="1:19" x14ac:dyDescent="0.25">
      <c r="A880" s="1">
        <v>868</v>
      </c>
      <c r="B880" s="1">
        <f t="shared" si="13"/>
        <v>0</v>
      </c>
      <c r="C880" s="7">
        <f>G$12/-PV(Table7[Monthly mortgage rate], (12*Table7[Amortization period (yrs)]),1 )</f>
        <v>4377.9977174134756</v>
      </c>
      <c r="D880" s="11">
        <f>IF(Table1[[#This Row],[Month]]&lt;=(12*Table7[mortgage term (yrs)]),Table7[Monthly mortgage rate],Table7[Monthly Exp Renewal Rate])</f>
        <v>4.9038466830562122E-3</v>
      </c>
      <c r="E880" s="21">
        <f>Table1[[#This Row],[Current mortgage rate]]*G879</f>
        <v>-102614.38477670708</v>
      </c>
      <c r="F880" s="5">
        <f>Table1[[#This Row],[Payment amount]]-Table1[[#This Row],[Interest paid]]</f>
        <v>106992.38249412055</v>
      </c>
      <c r="G880" s="20">
        <f>G879-Table1[[#This Row],[Principal repaid]]-Table1[[#This Row],[Annual paym]]</f>
        <v>-21032276.431699954</v>
      </c>
      <c r="H880" s="20">
        <f>H879-(Table1[[#This Row],[Payment amount]]-Table1[[#This Row],[Interest Paid W/O LSP]])</f>
        <v>-13866089.867272662</v>
      </c>
      <c r="I880">
        <f>H879*Table1[[#This Row],[Current mortgage rate]]</f>
        <v>-67643.993997406578</v>
      </c>
      <c r="J880" s="25">
        <f>IF(Table1[[#This Row],[Month]]&gt;Table7[Amortization period (yrs)]*12,0,IF(Table1[[#This Row],[Month]]&lt;Table7[mortgage term (yrs)]*12,0,IF(Table1[[#This Row],[Month]]=Table7[mortgage term (yrs)]*12,-H$5,Table1[[#This Row],[Payment amount]]+B880)))</f>
        <v>0</v>
      </c>
      <c r="K880">
        <v>869</v>
      </c>
      <c r="L880">
        <f>Table7[Initial Monthly Deposit]*Table9[[#This Row],[Inflation Modifier]]</f>
        <v>1664.4561500206041</v>
      </c>
      <c r="M880">
        <f xml:space="preserve"> (1+Table7[Inflation])^(QUOTIENT(Table9[[#This Row],[Month]]-1,12))</f>
        <v>4.1611403750515104</v>
      </c>
      <c r="N880">
        <f>N879*(1+Table7[Monthly SF Inter])+Table9[[#This Row],[Monthly Payment]]-O879*(1+Table7[Monthly SF Inter])</f>
        <v>603137.67886037857</v>
      </c>
      <c r="O880">
        <f>IF(MOD(Table9[[#This Row],[Month]],12)=0,(IF(Table9[[#This Row],[Current Balance]]&lt;Table9[[#This Row],[Max Lump Sum ]],Table9[[#This Row],[Current Balance]],Table9[[#This Row],[Max Lump Sum ]])),0)</f>
        <v>0</v>
      </c>
      <c r="P880" s="21">
        <f>Table7[Max annual lump sum repayment]*SUM(C881:C892)</f>
        <v>7880.3958913442566</v>
      </c>
      <c r="Q880" s="25">
        <f>Q879*(1+Table7[Monthly SF Inter])+Table9[[#This Row],[Inflation Modifier]]-R879*(1+Table7[Monthly SF Inter])</f>
        <v>20.978012918879958</v>
      </c>
      <c r="R880" s="25">
        <f>IF(MOD(Table9[[#This Row],[Month]],12)=0,Table9[[#This Row],[Q2 ACC FACTOR]],0)</f>
        <v>0</v>
      </c>
      <c r="S880" s="25">
        <f>S879*(1+D879)+Table9[[#This Row],[ACC FACTOR PAYMENTS]]</f>
        <v>19811.334002561867</v>
      </c>
    </row>
    <row r="881" spans="1:19" x14ac:dyDescent="0.25">
      <c r="A881" s="1">
        <v>869</v>
      </c>
      <c r="B881" s="1">
        <f t="shared" si="13"/>
        <v>0</v>
      </c>
      <c r="C881" s="7">
        <f>G$12/-PV(Table7[Monthly mortgage rate], (12*Table7[Amortization period (yrs)]),1 )</f>
        <v>4377.9977174134756</v>
      </c>
      <c r="D881" s="11">
        <f>IF(Table1[[#This Row],[Month]]&lt;=(12*Table7[mortgage term (yrs)]),Table7[Monthly mortgage rate],Table7[Monthly Exp Renewal Rate])</f>
        <v>4.9038466830562122E-3</v>
      </c>
      <c r="E881" s="21">
        <f>Table1[[#This Row],[Current mortgage rate]]*G880</f>
        <v>-103139.05901671316</v>
      </c>
      <c r="F881" s="5">
        <f>Table1[[#This Row],[Payment amount]]-Table1[[#This Row],[Interest paid]]</f>
        <v>107517.05673412663</v>
      </c>
      <c r="G881" s="20">
        <f>G880-Table1[[#This Row],[Principal repaid]]-Table1[[#This Row],[Annual paym]]</f>
        <v>-21139793.48843408</v>
      </c>
      <c r="H881" s="20">
        <f>H880-(Table1[[#This Row],[Payment amount]]-Table1[[#This Row],[Interest Paid W/O LSP]])</f>
        <v>-13938465.043792659</v>
      </c>
      <c r="I881">
        <f>H880*Table1[[#This Row],[Current mortgage rate]]</f>
        <v>-67997.1788025844</v>
      </c>
      <c r="J881" s="25">
        <f>IF(Table1[[#This Row],[Month]]&gt;Table7[Amortization period (yrs)]*12,0,IF(Table1[[#This Row],[Month]]&lt;Table7[mortgage term (yrs)]*12,0,IF(Table1[[#This Row],[Month]]=Table7[mortgage term (yrs)]*12,-H$5,Table1[[#This Row],[Payment amount]]+B881)))</f>
        <v>0</v>
      </c>
      <c r="K881">
        <v>870</v>
      </c>
      <c r="L881">
        <f>Table7[Initial Monthly Deposit]*Table9[[#This Row],[Inflation Modifier]]</f>
        <v>1664.4561500206041</v>
      </c>
      <c r="M881">
        <f xml:space="preserve"> (1+Table7[Inflation])^(QUOTIENT(Table9[[#This Row],[Month]]-1,12))</f>
        <v>4.1611403750515104</v>
      </c>
      <c r="N881">
        <f>N880*(1+Table7[Monthly SF Inter])+Table9[[#This Row],[Monthly Payment]]-O880*(1+Table7[Monthly SF Inter])</f>
        <v>607289.42381186271</v>
      </c>
      <c r="O881">
        <f>IF(MOD(Table9[[#This Row],[Month]],12)=0,(IF(Table9[[#This Row],[Current Balance]]&lt;Table9[[#This Row],[Max Lump Sum ]],Table9[[#This Row],[Current Balance]],Table9[[#This Row],[Max Lump Sum ]])),0)</f>
        <v>0</v>
      </c>
      <c r="P881" s="21">
        <f>Table7[Max annual lump sum repayment]*SUM(C882:C893)</f>
        <v>7880.3958913442566</v>
      </c>
      <c r="Q881" s="25">
        <f>Q880*(1+Table7[Monthly SF Inter])+Table9[[#This Row],[Inflation Modifier]]-R880*(1+Table7[Monthly SF Inter])</f>
        <v>25.225664845835631</v>
      </c>
      <c r="R881" s="25">
        <f>IF(MOD(Table9[[#This Row],[Month]],12)=0,Table9[[#This Row],[Q2 ACC FACTOR]],0)</f>
        <v>0</v>
      </c>
      <c r="S881" s="25">
        <f>S880*(1+D880)+Table9[[#This Row],[ACC FACTOR PAYMENTS]]</f>
        <v>19908.485747097249</v>
      </c>
    </row>
    <row r="882" spans="1:19" x14ac:dyDescent="0.25">
      <c r="A882" s="1">
        <v>870</v>
      </c>
      <c r="B882" s="1">
        <f t="shared" si="13"/>
        <v>0</v>
      </c>
      <c r="C882" s="7">
        <f>G$12/-PV(Table7[Monthly mortgage rate], (12*Table7[Amortization period (yrs)]),1 )</f>
        <v>4377.9977174134756</v>
      </c>
      <c r="D882" s="11">
        <f>IF(Table1[[#This Row],[Month]]&lt;=(12*Table7[mortgage term (yrs)]),Table7[Monthly mortgage rate],Table7[Monthly Exp Renewal Rate])</f>
        <v>4.9038466830562122E-3</v>
      </c>
      <c r="E882" s="21">
        <f>Table1[[#This Row],[Current mortgage rate]]*G881</f>
        <v>-103666.30617875078</v>
      </c>
      <c r="F882" s="5">
        <f>Table1[[#This Row],[Payment amount]]-Table1[[#This Row],[Interest paid]]</f>
        <v>108044.30389616425</v>
      </c>
      <c r="G882" s="20">
        <f>G881-Table1[[#This Row],[Principal repaid]]-Table1[[#This Row],[Annual paym]]</f>
        <v>-21247837.792330243</v>
      </c>
      <c r="H882" s="20">
        <f>H881-(Table1[[#This Row],[Payment amount]]-Table1[[#This Row],[Interest Paid W/O LSP]])</f>
        <v>-14011195.137081971</v>
      </c>
      <c r="I882">
        <f>H881*Table1[[#This Row],[Current mortgage rate]]</f>
        <v>-68352.095571897589</v>
      </c>
      <c r="J882" s="25">
        <f>IF(Table1[[#This Row],[Month]]&gt;Table7[Amortization period (yrs)]*12,0,IF(Table1[[#This Row],[Month]]&lt;Table7[mortgage term (yrs)]*12,0,IF(Table1[[#This Row],[Month]]=Table7[mortgage term (yrs)]*12,-H$5,Table1[[#This Row],[Payment amount]]+B882)))</f>
        <v>0</v>
      </c>
      <c r="K882">
        <v>871</v>
      </c>
      <c r="L882">
        <f>Table7[Initial Monthly Deposit]*Table9[[#This Row],[Inflation Modifier]]</f>
        <v>1664.4561500206041</v>
      </c>
      <c r="M882">
        <f xml:space="preserve"> (1+Table7[Inflation])^(QUOTIENT(Table9[[#This Row],[Month]]-1,12))</f>
        <v>4.1611403750515104</v>
      </c>
      <c r="N882">
        <f>N881*(1+Table7[Monthly SF Inter])+Table9[[#This Row],[Monthly Payment]]-O881*(1+Table7[Monthly SF Inter])</f>
        <v>611458.2902085596</v>
      </c>
      <c r="O882">
        <f>IF(MOD(Table9[[#This Row],[Month]],12)=0,(IF(Table9[[#This Row],[Current Balance]]&lt;Table9[[#This Row],[Max Lump Sum ]],Table9[[#This Row],[Current Balance]],Table9[[#This Row],[Max Lump Sum ]])),0)</f>
        <v>0</v>
      </c>
      <c r="P882" s="21">
        <f>Table7[Max annual lump sum repayment]*SUM(C883:C894)</f>
        <v>7880.3958913442566</v>
      </c>
      <c r="Q882" s="25">
        <f>Q881*(1+Table7[Monthly SF Inter])+Table9[[#This Row],[Inflation Modifier]]-R881*(1+Table7[Monthly SF Inter])</f>
        <v>29.490833730263429</v>
      </c>
      <c r="R882" s="25">
        <f>IF(MOD(Table9[[#This Row],[Month]],12)=0,Table9[[#This Row],[Q2 ACC FACTOR]],0)</f>
        <v>0</v>
      </c>
      <c r="S882" s="25">
        <f>S881*(1+D881)+Table9[[#This Row],[ACC FACTOR PAYMENTS]]</f>
        <v>20006.113908892825</v>
      </c>
    </row>
    <row r="883" spans="1:19" x14ac:dyDescent="0.25">
      <c r="A883" s="1">
        <v>871</v>
      </c>
      <c r="B883" s="1">
        <f t="shared" si="13"/>
        <v>0</v>
      </c>
      <c r="C883" s="7">
        <f>G$12/-PV(Table7[Monthly mortgage rate], (12*Table7[Amortization period (yrs)]),1 )</f>
        <v>4377.9977174134756</v>
      </c>
      <c r="D883" s="11">
        <f>IF(Table1[[#This Row],[Month]]&lt;=(12*Table7[mortgage term (yrs)]),Table7[Monthly mortgage rate],Table7[Monthly Exp Renewal Rate])</f>
        <v>4.9038466830562122E-3</v>
      </c>
      <c r="E883" s="21">
        <f>Table1[[#This Row],[Current mortgage rate]]*G882</f>
        <v>-104196.1388800351</v>
      </c>
      <c r="F883" s="5">
        <f>Table1[[#This Row],[Payment amount]]-Table1[[#This Row],[Interest paid]]</f>
        <v>108574.13659744857</v>
      </c>
      <c r="G883" s="20">
        <f>G882-Table1[[#This Row],[Principal repaid]]-Table1[[#This Row],[Annual paym]]</f>
        <v>-21356411.92892769</v>
      </c>
      <c r="H883" s="20">
        <f>H882-(Table1[[#This Row],[Payment amount]]-Table1[[#This Row],[Interest Paid W/O LSP]])</f>
        <v>-14084281.887598017</v>
      </c>
      <c r="I883">
        <f>H882*Table1[[#This Row],[Current mortgage rate]]</f>
        <v>-68708.752798632762</v>
      </c>
      <c r="J883" s="25">
        <f>IF(Table1[[#This Row],[Month]]&gt;Table7[Amortization period (yrs)]*12,0,IF(Table1[[#This Row],[Month]]&lt;Table7[mortgage term (yrs)]*12,0,IF(Table1[[#This Row],[Month]]=Table7[mortgage term (yrs)]*12,-H$5,Table1[[#This Row],[Payment amount]]+B883)))</f>
        <v>0</v>
      </c>
      <c r="K883">
        <v>872</v>
      </c>
      <c r="L883">
        <f>Table7[Initial Monthly Deposit]*Table9[[#This Row],[Inflation Modifier]]</f>
        <v>1664.4561500206041</v>
      </c>
      <c r="M883">
        <f xml:space="preserve"> (1+Table7[Inflation])^(QUOTIENT(Table9[[#This Row],[Month]]-1,12))</f>
        <v>4.1611403750515104</v>
      </c>
      <c r="N883">
        <f>N882*(1+Table7[Monthly SF Inter])+Table9[[#This Row],[Monthly Payment]]-O882*(1+Table7[Monthly SF Inter])</f>
        <v>615644.34865786193</v>
      </c>
      <c r="O883">
        <f>IF(MOD(Table9[[#This Row],[Month]],12)=0,(IF(Table9[[#This Row],[Current Balance]]&lt;Table9[[#This Row],[Max Lump Sum ]],Table9[[#This Row],[Current Balance]],Table9[[#This Row],[Max Lump Sum ]])),0)</f>
        <v>0</v>
      </c>
      <c r="P883" s="21">
        <f>Table7[Max annual lump sum repayment]*SUM(C884:C895)</f>
        <v>7880.3958913442566</v>
      </c>
      <c r="Q883" s="25">
        <f>Q882*(1+Table7[Monthly SF Inter])+Table9[[#This Row],[Inflation Modifier]]-R882*(1+Table7[Monthly SF Inter])</f>
        <v>33.773591810615173</v>
      </c>
      <c r="R883" s="25">
        <f>IF(MOD(Table9[[#This Row],[Month]],12)=0,Table9[[#This Row],[Q2 ACC FACTOR]],0)</f>
        <v>0</v>
      </c>
      <c r="S883" s="25">
        <f>S882*(1+D882)+Table9[[#This Row],[ACC FACTOR PAYMENTS]]</f>
        <v>20104.220824225795</v>
      </c>
    </row>
    <row r="884" spans="1:19" x14ac:dyDescent="0.25">
      <c r="A884" s="1">
        <v>872</v>
      </c>
      <c r="B884" s="1">
        <f t="shared" si="13"/>
        <v>0</v>
      </c>
      <c r="C884" s="7">
        <f>G$12/-PV(Table7[Monthly mortgage rate], (12*Table7[Amortization period (yrs)]),1 )</f>
        <v>4377.9977174134756</v>
      </c>
      <c r="D884" s="11">
        <f>IF(Table1[[#This Row],[Month]]&lt;=(12*Table7[mortgage term (yrs)]),Table7[Monthly mortgage rate],Table7[Monthly Exp Renewal Rate])</f>
        <v>4.9038466830562122E-3</v>
      </c>
      <c r="E884" s="21">
        <f>Table1[[#This Row],[Current mortgage rate]]*G883</f>
        <v>-104728.56979965417</v>
      </c>
      <c r="F884" s="5">
        <f>Table1[[#This Row],[Payment amount]]-Table1[[#This Row],[Interest paid]]</f>
        <v>109106.56751706764</v>
      </c>
      <c r="G884" s="20">
        <f>G883-Table1[[#This Row],[Principal repaid]]-Table1[[#This Row],[Annual paym]]</f>
        <v>-21465518.496444758</v>
      </c>
      <c r="H884" s="20">
        <f>H883-(Table1[[#This Row],[Payment amount]]-Table1[[#This Row],[Interest Paid W/O LSP]])</f>
        <v>-14157727.044333156</v>
      </c>
      <c r="I884">
        <f>H883*Table1[[#This Row],[Current mortgage rate]]</f>
        <v>-69067.159017726226</v>
      </c>
      <c r="J884" s="25">
        <f>IF(Table1[[#This Row],[Month]]&gt;Table7[Amortization period (yrs)]*12,0,IF(Table1[[#This Row],[Month]]&lt;Table7[mortgage term (yrs)]*12,0,IF(Table1[[#This Row],[Month]]=Table7[mortgage term (yrs)]*12,-H$5,Table1[[#This Row],[Payment amount]]+B884)))</f>
        <v>0</v>
      </c>
      <c r="K884">
        <v>873</v>
      </c>
      <c r="L884">
        <f>Table7[Initial Monthly Deposit]*Table9[[#This Row],[Inflation Modifier]]</f>
        <v>1664.4561500206041</v>
      </c>
      <c r="M884">
        <f xml:space="preserve"> (1+Table7[Inflation])^(QUOTIENT(Table9[[#This Row],[Month]]-1,12))</f>
        <v>4.1611403750515104</v>
      </c>
      <c r="N884">
        <f>N883*(1+Table7[Monthly SF Inter])+Table9[[#This Row],[Monthly Payment]]-O883*(1+Table7[Monthly SF Inter])</f>
        <v>619847.67005834135</v>
      </c>
      <c r="O884">
        <f>IF(MOD(Table9[[#This Row],[Month]],12)=0,(IF(Table9[[#This Row],[Current Balance]]&lt;Table9[[#This Row],[Max Lump Sum ]],Table9[[#This Row],[Current Balance]],Table9[[#This Row],[Max Lump Sum ]])),0)</f>
        <v>0</v>
      </c>
      <c r="P884" s="21">
        <f>Table7[Max annual lump sum repayment]*SUM(C885:C896)</f>
        <v>7880.3958913442566</v>
      </c>
      <c r="Q884" s="25">
        <f>Q883*(1+Table7[Monthly SF Inter])+Table9[[#This Row],[Inflation Modifier]]-R883*(1+Table7[Monthly SF Inter])</f>
        <v>38.074011623247948</v>
      </c>
      <c r="R884" s="25">
        <f>IF(MOD(Table9[[#This Row],[Month]],12)=0,Table9[[#This Row],[Q2 ACC FACTOR]],0)</f>
        <v>0</v>
      </c>
      <c r="S884" s="25">
        <f>S883*(1+D883)+Table9[[#This Row],[ACC FACTOR PAYMENTS]]</f>
        <v>20202.808840830105</v>
      </c>
    </row>
    <row r="885" spans="1:19" x14ac:dyDescent="0.25">
      <c r="A885" s="1">
        <v>873</v>
      </c>
      <c r="B885" s="1">
        <f t="shared" si="13"/>
        <v>0</v>
      </c>
      <c r="C885" s="7">
        <f>G$12/-PV(Table7[Monthly mortgage rate], (12*Table7[Amortization period (yrs)]),1 )</f>
        <v>4377.9977174134756</v>
      </c>
      <c r="D885" s="11">
        <f>IF(Table1[[#This Row],[Month]]&lt;=(12*Table7[mortgage term (yrs)]),Table7[Monthly mortgage rate],Table7[Monthly Exp Renewal Rate])</f>
        <v>4.9038466830562122E-3</v>
      </c>
      <c r="E885" s="21">
        <f>Table1[[#This Row],[Current mortgage rate]]*G884</f>
        <v>-105263.6116788724</v>
      </c>
      <c r="F885" s="5">
        <f>Table1[[#This Row],[Payment amount]]-Table1[[#This Row],[Interest paid]]</f>
        <v>109641.60939628587</v>
      </c>
      <c r="G885" s="20">
        <f>G884-Table1[[#This Row],[Principal repaid]]-Table1[[#This Row],[Annual paym]]</f>
        <v>-21575160.105841044</v>
      </c>
      <c r="H885" s="20">
        <f>H884-(Table1[[#This Row],[Payment amount]]-Table1[[#This Row],[Interest Paid W/O LSP]])</f>
        <v>-14231532.364856537</v>
      </c>
      <c r="I885">
        <f>H884*Table1[[#This Row],[Current mortgage rate]]</f>
        <v>-69427.322805968375</v>
      </c>
      <c r="J885" s="25">
        <f>IF(Table1[[#This Row],[Month]]&gt;Table7[Amortization period (yrs)]*12,0,IF(Table1[[#This Row],[Month]]&lt;Table7[mortgage term (yrs)]*12,0,IF(Table1[[#This Row],[Month]]=Table7[mortgage term (yrs)]*12,-H$5,Table1[[#This Row],[Payment amount]]+B885)))</f>
        <v>0</v>
      </c>
      <c r="K885">
        <v>874</v>
      </c>
      <c r="L885">
        <f>Table7[Initial Monthly Deposit]*Table9[[#This Row],[Inflation Modifier]]</f>
        <v>1664.4561500206041</v>
      </c>
      <c r="M885">
        <f xml:space="preserve"> (1+Table7[Inflation])^(QUOTIENT(Table9[[#This Row],[Month]]-1,12))</f>
        <v>4.1611403750515104</v>
      </c>
      <c r="N885">
        <f>N884*(1+Table7[Monthly SF Inter])+Table9[[#This Row],[Monthly Payment]]-O884*(1+Table7[Monthly SF Inter])</f>
        <v>624068.32560094912</v>
      </c>
      <c r="O885">
        <f>IF(MOD(Table9[[#This Row],[Month]],12)=0,(IF(Table9[[#This Row],[Current Balance]]&lt;Table9[[#This Row],[Max Lump Sum ]],Table9[[#This Row],[Current Balance]],Table9[[#This Row],[Max Lump Sum ]])),0)</f>
        <v>0</v>
      </c>
      <c r="P885" s="21">
        <f>Table7[Max annual lump sum repayment]*SUM(C886:C897)</f>
        <v>7880.3958913442566</v>
      </c>
      <c r="Q885" s="25">
        <f>Q884*(1+Table7[Monthly SF Inter])+Table9[[#This Row],[Inflation Modifier]]-R884*(1+Table7[Monthly SF Inter])</f>
        <v>42.392166003652648</v>
      </c>
      <c r="R885" s="25">
        <f>IF(MOD(Table9[[#This Row],[Month]],12)=0,Table9[[#This Row],[Q2 ACC FACTOR]],0)</f>
        <v>0</v>
      </c>
      <c r="S885" s="25">
        <f>S884*(1+D884)+Table9[[#This Row],[ACC FACTOR PAYMENTS]]</f>
        <v>20301.880317952629</v>
      </c>
    </row>
    <row r="886" spans="1:19" x14ac:dyDescent="0.25">
      <c r="A886" s="1">
        <v>874</v>
      </c>
      <c r="B886" s="1">
        <f t="shared" si="13"/>
        <v>0</v>
      </c>
      <c r="C886" s="7">
        <f>G$12/-PV(Table7[Monthly mortgage rate], (12*Table7[Amortization period (yrs)]),1 )</f>
        <v>4377.9977174134756</v>
      </c>
      <c r="D886" s="11">
        <f>IF(Table1[[#This Row],[Month]]&lt;=(12*Table7[mortgage term (yrs)]),Table7[Monthly mortgage rate],Table7[Monthly Exp Renewal Rate])</f>
        <v>4.9038466830562122E-3</v>
      </c>
      <c r="E886" s="21">
        <f>Table1[[#This Row],[Current mortgage rate]]*G885</f>
        <v>-105801.27732143532</v>
      </c>
      <c r="F886" s="5">
        <f>Table1[[#This Row],[Payment amount]]-Table1[[#This Row],[Interest paid]]</f>
        <v>110179.27503884879</v>
      </c>
      <c r="G886" s="20">
        <f>G885-Table1[[#This Row],[Principal repaid]]-Table1[[#This Row],[Annual paym]]</f>
        <v>-21685339.380879894</v>
      </c>
      <c r="H886" s="20">
        <f>H885-(Table1[[#This Row],[Payment amount]]-Table1[[#This Row],[Interest Paid W/O LSP]])</f>
        <v>-14305699.61535616</v>
      </c>
      <c r="I886">
        <f>H885*Table1[[#This Row],[Current mortgage rate]]</f>
        <v>-69789.25278220886</v>
      </c>
      <c r="J886" s="25">
        <f>IF(Table1[[#This Row],[Month]]&gt;Table7[Amortization period (yrs)]*12,0,IF(Table1[[#This Row],[Month]]&lt;Table7[mortgage term (yrs)]*12,0,IF(Table1[[#This Row],[Month]]=Table7[mortgage term (yrs)]*12,-H$5,Table1[[#This Row],[Payment amount]]+B886)))</f>
        <v>0</v>
      </c>
      <c r="K886">
        <v>875</v>
      </c>
      <c r="L886" s="25">
        <f>Table7[Initial Monthly Deposit]*Table9[[#This Row],[Inflation Modifier]]</f>
        <v>1664.4561500206041</v>
      </c>
      <c r="M886" s="25">
        <f xml:space="preserve"> (1+Table7[Inflation])^(QUOTIENT(Table9[[#This Row],[Month]]-1,12))</f>
        <v>4.1611403750515104</v>
      </c>
      <c r="N886">
        <f>N885*(1+Table7[Monthly SF Inter])+Table9[[#This Row],[Monthly Payment]]-O885*(1+Table7[Monthly SF Inter])</f>
        <v>628306.3867702221</v>
      </c>
      <c r="O886">
        <f>IF(MOD(Table9[[#This Row],[Month]],12)=0,(IF(Table9[[#This Row],[Current Balance]]&lt;Table9[[#This Row],[Max Lump Sum ]],Table9[[#This Row],[Current Balance]],Table9[[#This Row],[Max Lump Sum ]])),0)</f>
        <v>0</v>
      </c>
      <c r="P886" s="21">
        <f>Table7[Max annual lump sum repayment]*SUM(C887:C898)</f>
        <v>7880.3958913442566</v>
      </c>
      <c r="Q886" s="25">
        <f>Q885*(1+Table7[Monthly SF Inter])+Table9[[#This Row],[Inflation Modifier]]-R885*(1+Table7[Monthly SF Inter])</f>
        <v>46.72812808768758</v>
      </c>
      <c r="R886" s="25">
        <f>IF(MOD(Table9[[#This Row],[Month]],12)=0,Table9[[#This Row],[Q2 ACC FACTOR]],0)</f>
        <v>0</v>
      </c>
      <c r="S886" s="25">
        <f>S885*(1+D885)+Table9[[#This Row],[ACC FACTOR PAYMENTS]]</f>
        <v>20401.437626409624</v>
      </c>
    </row>
    <row r="887" spans="1:19" x14ac:dyDescent="0.25">
      <c r="A887" s="1">
        <v>875</v>
      </c>
      <c r="B887" s="1">
        <f t="shared" si="13"/>
        <v>0</v>
      </c>
      <c r="C887" s="7">
        <f>G$12/-PV(Table7[Monthly mortgage rate], (12*Table7[Amortization period (yrs)]),1 )</f>
        <v>4377.9977174134756</v>
      </c>
      <c r="D887" s="11">
        <f>IF(Table1[[#This Row],[Month]]&lt;=(12*Table7[mortgage term (yrs)]),Table7[Monthly mortgage rate],Table7[Monthly Exp Renewal Rate])</f>
        <v>4.9038466830562122E-3</v>
      </c>
      <c r="E887" s="21">
        <f>Table1[[#This Row],[Current mortgage rate]]*G886</f>
        <v>-106341.57959387611</v>
      </c>
      <c r="F887" s="5">
        <f>Table1[[#This Row],[Payment amount]]-Table1[[#This Row],[Interest paid]]</f>
        <v>110719.57731128958</v>
      </c>
      <c r="G887" s="20">
        <f>G886-Table1[[#This Row],[Principal repaid]]-Table1[[#This Row],[Annual paym]]</f>
        <v>-21796058.958191182</v>
      </c>
      <c r="H887" s="20">
        <f>H886-(Table1[[#This Row],[Payment amount]]-Table1[[#This Row],[Interest Paid W/O LSP]])</f>
        <v>-14380230.570681136</v>
      </c>
      <c r="I887">
        <f>H886*Table1[[#This Row],[Current mortgage rate]]</f>
        <v>-70152.957607562843</v>
      </c>
      <c r="J887" s="25">
        <f>IF(Table1[[#This Row],[Month]]&gt;Table7[Amortization period (yrs)]*12,0,IF(Table1[[#This Row],[Month]]&lt;Table7[mortgage term (yrs)]*12,0,IF(Table1[[#This Row],[Month]]=Table7[mortgage term (yrs)]*12,-H$5,Table1[[#This Row],[Payment amount]]+B887)))</f>
        <v>0</v>
      </c>
      <c r="K887">
        <v>876</v>
      </c>
      <c r="L887" s="25">
        <f>Table7[Initial Monthly Deposit]*Table9[[#This Row],[Inflation Modifier]]</f>
        <v>1664.4561500206041</v>
      </c>
      <c r="M887" s="25">
        <f xml:space="preserve"> (1+Table7[Inflation])^(QUOTIENT(Table9[[#This Row],[Month]]-1,12))</f>
        <v>4.1611403750515104</v>
      </c>
      <c r="N887">
        <f>N886*(1+Table7[Monthly SF Inter])+Table9[[#This Row],[Monthly Payment]]-O886*(1+Table7[Monthly SF Inter])</f>
        <v>632561.92534549336</v>
      </c>
      <c r="O887">
        <f>IF(MOD(Table9[[#This Row],[Month]],12)=0,(IF(Table9[[#This Row],[Current Balance]]&lt;Table9[[#This Row],[Max Lump Sum ]],Table9[[#This Row],[Current Balance]],Table9[[#This Row],[Max Lump Sum ]])),0)</f>
        <v>7880.3958913442566</v>
      </c>
      <c r="P887" s="21">
        <f>Table7[Max annual lump sum repayment]*SUM(C888:C899)</f>
        <v>7880.3958913442566</v>
      </c>
      <c r="Q887" s="25">
        <f>Q886*(1+Table7[Monthly SF Inter])+Table9[[#This Row],[Inflation Modifier]]-R886*(1+Table7[Monthly SF Inter])</f>
        <v>51.081971312817146</v>
      </c>
      <c r="R887" s="25">
        <f>IF(MOD(Table9[[#This Row],[Month]],12)=0,Table9[[#This Row],[Q2 ACC FACTOR]],0)</f>
        <v>51.081971312817146</v>
      </c>
      <c r="S887" s="25">
        <f>S886*(1+D886)+Table9[[#This Row],[ACC FACTOR PAYMENTS]]</f>
        <v>20552.565119956289</v>
      </c>
    </row>
    <row r="888" spans="1:19" x14ac:dyDescent="0.25">
      <c r="A888" s="1">
        <v>876</v>
      </c>
      <c r="B888" s="1">
        <f t="shared" si="13"/>
        <v>7880.3958913442566</v>
      </c>
      <c r="C888" s="7">
        <f>G$12/-PV(Table7[Monthly mortgage rate], (12*Table7[Amortization period (yrs)]),1 )</f>
        <v>4377.9977174134756</v>
      </c>
      <c r="D888" s="11">
        <f>IF(Table1[[#This Row],[Month]]&lt;=(12*Table7[mortgage term (yrs)]),Table7[Monthly mortgage rate],Table7[Monthly Exp Renewal Rate])</f>
        <v>4.9038466830562122E-3</v>
      </c>
      <c r="E888" s="21">
        <f>Table1[[#This Row],[Current mortgage rate]]*G887</f>
        <v>-106884.53142582347</v>
      </c>
      <c r="F888" s="5">
        <f>Table1[[#This Row],[Payment amount]]-Table1[[#This Row],[Interest paid]]</f>
        <v>111262.52914323694</v>
      </c>
      <c r="G888" s="20">
        <f>G887-Table1[[#This Row],[Principal repaid]]-Table1[[#This Row],[Annual paym]]</f>
        <v>-21915201.883225765</v>
      </c>
      <c r="H888" s="20">
        <f>H887-(Table1[[#This Row],[Payment amount]]-Table1[[#This Row],[Interest Paid W/O LSP]])</f>
        <v>-14455127.014384167</v>
      </c>
      <c r="I888">
        <f>H887*Table1[[#This Row],[Current mortgage rate]]</f>
        <v>-70518.445985618237</v>
      </c>
      <c r="J888" s="25">
        <f>IF(Table1[[#This Row],[Month]]&gt;Table7[Amortization period (yrs)]*12,0,IF(Table1[[#This Row],[Month]]&lt;Table7[mortgage term (yrs)]*12,0,IF(Table1[[#This Row],[Month]]=Table7[mortgage term (yrs)]*12,-H$5,Table1[[#This Row],[Payment amount]]+B888)))</f>
        <v>0</v>
      </c>
      <c r="K888">
        <v>877</v>
      </c>
      <c r="L888" s="25">
        <f>Table7[Initial Monthly Deposit]*Table9[[#This Row],[Inflation Modifier]]</f>
        <v>1697.7452730210161</v>
      </c>
      <c r="M888" s="25">
        <f xml:space="preserve"> (1+Table7[Inflation])^(QUOTIENT(Table9[[#This Row],[Month]]-1,12))</f>
        <v>4.2443631825525401</v>
      </c>
      <c r="N888">
        <f>N887*(1+Table7[Monthly SF Inter])+Table9[[#This Row],[Monthly Payment]]-O887*(1+Table7[Monthly SF Inter])</f>
        <v>628955.40854727605</v>
      </c>
      <c r="O888">
        <f>IF(MOD(Table9[[#This Row],[Month]],12)=0,(IF(Table9[[#This Row],[Current Balance]]&lt;Table9[[#This Row],[Max Lump Sum ]],Table9[[#This Row],[Current Balance]],Table9[[#This Row],[Max Lump Sum ]])),0)</f>
        <v>0</v>
      </c>
      <c r="P888" s="21">
        <f>Table7[Max annual lump sum repayment]*SUM(C889:C900)</f>
        <v>7880.3958913442566</v>
      </c>
      <c r="Q888" s="25">
        <f>Q887*(1+Table7[Monthly SF Inter])+Table9[[#This Row],[Inflation Modifier]]-R887*(1+Table7[Monthly SF Inter])</f>
        <v>4.2443631825525401</v>
      </c>
      <c r="R888" s="25">
        <f>IF(MOD(Table9[[#This Row],[Month]],12)=0,Table9[[#This Row],[Q2 ACC FACTOR]],0)</f>
        <v>0</v>
      </c>
      <c r="S888" s="25">
        <f>S887*(1+D887)+Table9[[#This Row],[ACC FACTOR PAYMENTS]]</f>
        <v>20653.351748248082</v>
      </c>
    </row>
    <row r="889" spans="1:19" x14ac:dyDescent="0.25">
      <c r="A889" s="1">
        <v>877</v>
      </c>
      <c r="B889" s="1">
        <f t="shared" si="13"/>
        <v>0</v>
      </c>
      <c r="C889" s="7">
        <f>G$12/-PV(Table7[Monthly mortgage rate], (12*Table7[Amortization period (yrs)]),1 )</f>
        <v>4377.9977174134756</v>
      </c>
      <c r="D889" s="11">
        <f>IF(Table1[[#This Row],[Month]]&lt;=(12*Table7[mortgage term (yrs)]),Table7[Monthly mortgage rate],Table7[Monthly Exp Renewal Rate])</f>
        <v>4.9038466830562122E-3</v>
      </c>
      <c r="E889" s="21">
        <f>Table1[[#This Row],[Current mortgage rate]]*G888</f>
        <v>-107468.79006356392</v>
      </c>
      <c r="F889" s="5">
        <f>Table1[[#This Row],[Payment amount]]-Table1[[#This Row],[Interest paid]]</f>
        <v>111846.78778097739</v>
      </c>
      <c r="G889" s="20">
        <f>G888-Table1[[#This Row],[Principal repaid]]-Table1[[#This Row],[Annual paym]]</f>
        <v>-22027048.671006743</v>
      </c>
      <c r="H889" s="20">
        <f>H888-(Table1[[#This Row],[Payment amount]]-Table1[[#This Row],[Interest Paid W/O LSP]])</f>
        <v>-14530390.738764225</v>
      </c>
      <c r="I889">
        <f>H888*Table1[[#This Row],[Current mortgage rate]]</f>
        <v>-70885.72666264404</v>
      </c>
      <c r="J889" s="25">
        <f>IF(Table1[[#This Row],[Month]]&gt;Table7[Amortization period (yrs)]*12,0,IF(Table1[[#This Row],[Month]]&lt;Table7[mortgage term (yrs)]*12,0,IF(Table1[[#This Row],[Month]]=Table7[mortgage term (yrs)]*12,-H$5,Table1[[#This Row],[Payment amount]]+B889)))</f>
        <v>0</v>
      </c>
      <c r="K889">
        <v>878</v>
      </c>
      <c r="L889" s="25">
        <f>Table7[Initial Monthly Deposit]*Table9[[#This Row],[Inflation Modifier]]</f>
        <v>1697.7452730210161</v>
      </c>
      <c r="M889" s="25">
        <f xml:space="preserve"> (1+Table7[Inflation])^(QUOTIENT(Table9[[#This Row],[Month]]-1,12))</f>
        <v>4.2443631825525401</v>
      </c>
      <c r="N889">
        <f>N888*(1+Table7[Monthly SF Inter])+Table9[[#This Row],[Monthly Payment]]-O888*(1+Table7[Monthly SF Inter])</f>
        <v>633246.91275649134</v>
      </c>
      <c r="O889">
        <f>IF(MOD(Table9[[#This Row],[Month]],12)=0,(IF(Table9[[#This Row],[Current Balance]]&lt;Table9[[#This Row],[Max Lump Sum ]],Table9[[#This Row],[Current Balance]],Table9[[#This Row],[Max Lump Sum ]])),0)</f>
        <v>0</v>
      </c>
      <c r="P889" s="21">
        <f>Table7[Max annual lump sum repayment]*SUM(C890:C901)</f>
        <v>7880.3958913442566</v>
      </c>
      <c r="Q889" s="25">
        <f>Q888*(1+Table7[Monthly SF Inter])+Table9[[#This Row],[Inflation Modifier]]-R888*(1+Table7[Monthly SF Inter])</f>
        <v>8.5062297600732961</v>
      </c>
      <c r="R889" s="25">
        <f>IF(MOD(Table9[[#This Row],[Month]],12)=0,Table9[[#This Row],[Q2 ACC FACTOR]],0)</f>
        <v>0</v>
      </c>
      <c r="S889" s="25">
        <f>S888*(1+D888)+Table9[[#This Row],[ACC FACTOR PAYMENTS]]</f>
        <v>20754.632618712723</v>
      </c>
    </row>
    <row r="890" spans="1:19" x14ac:dyDescent="0.25">
      <c r="A890" s="1">
        <v>878</v>
      </c>
      <c r="B890" s="1">
        <f t="shared" si="13"/>
        <v>0</v>
      </c>
      <c r="C890" s="7">
        <f>G$12/-PV(Table7[Monthly mortgage rate], (12*Table7[Amortization period (yrs)]),1 )</f>
        <v>4377.9977174134756</v>
      </c>
      <c r="D890" s="11">
        <f>IF(Table1[[#This Row],[Month]]&lt;=(12*Table7[mortgage term (yrs)]),Table7[Monthly mortgage rate],Table7[Monthly Exp Renewal Rate])</f>
        <v>4.9038466830562122E-3</v>
      </c>
      <c r="E890" s="21">
        <f>Table1[[#This Row],[Current mortgage rate]]*G889</f>
        <v>-108017.26956283416</v>
      </c>
      <c r="F890" s="5">
        <f>Table1[[#This Row],[Payment amount]]-Table1[[#This Row],[Interest paid]]</f>
        <v>112395.26728024763</v>
      </c>
      <c r="G890" s="20">
        <f>G889-Table1[[#This Row],[Principal repaid]]-Table1[[#This Row],[Annual paym]]</f>
        <v>-22139443.93828699</v>
      </c>
      <c r="H890" s="20">
        <f>H889-(Table1[[#This Row],[Payment amount]]-Table1[[#This Row],[Interest Paid W/O LSP]])</f>
        <v>-14606023.544909438</v>
      </c>
      <c r="I890">
        <f>H889*Table1[[#This Row],[Current mortgage rate]]</f>
        <v>-71254.808427799653</v>
      </c>
      <c r="J890" s="25">
        <f>IF(Table1[[#This Row],[Month]]&gt;Table7[Amortization period (yrs)]*12,0,IF(Table1[[#This Row],[Month]]&lt;Table7[mortgage term (yrs)]*12,0,IF(Table1[[#This Row],[Month]]=Table7[mortgage term (yrs)]*12,-H$5,Table1[[#This Row],[Payment amount]]+B890)))</f>
        <v>0</v>
      </c>
      <c r="K890">
        <v>879</v>
      </c>
      <c r="L890" s="25">
        <f>Table7[Initial Monthly Deposit]*Table9[[#This Row],[Inflation Modifier]]</f>
        <v>1697.7452730210161</v>
      </c>
      <c r="M890" s="25">
        <f xml:space="preserve"> (1+Table7[Inflation])^(QUOTIENT(Table9[[#This Row],[Month]]-1,12))</f>
        <v>4.2443631825525401</v>
      </c>
      <c r="N890">
        <f>N889*(1+Table7[Monthly SF Inter])+Table9[[#This Row],[Monthly Payment]]-O889*(1+Table7[Monthly SF Inter])</f>
        <v>637556.11476628378</v>
      </c>
      <c r="O890">
        <f>IF(MOD(Table9[[#This Row],[Month]],12)=0,(IF(Table9[[#This Row],[Current Balance]]&lt;Table9[[#This Row],[Max Lump Sum ]],Table9[[#This Row],[Current Balance]],Table9[[#This Row],[Max Lump Sum ]])),0)</f>
        <v>0</v>
      </c>
      <c r="P890" s="21">
        <f>Table7[Max annual lump sum repayment]*SUM(C891:C902)</f>
        <v>7880.3958913442566</v>
      </c>
      <c r="Q890" s="25">
        <f>Q889*(1+Table7[Monthly SF Inter])+Table9[[#This Row],[Inflation Modifier]]-R889*(1+Table7[Monthly SF Inter])</f>
        <v>12.785671915083473</v>
      </c>
      <c r="R890" s="25">
        <f>IF(MOD(Table9[[#This Row],[Month]],12)=0,Table9[[#This Row],[Q2 ACC FACTOR]],0)</f>
        <v>0</v>
      </c>
      <c r="S890" s="25">
        <f>S889*(1+D889)+Table9[[#This Row],[ACC FACTOR PAYMENTS]]</f>
        <v>20856.410155038047</v>
      </c>
    </row>
    <row r="891" spans="1:19" x14ac:dyDescent="0.25">
      <c r="A891" s="1">
        <v>879</v>
      </c>
      <c r="B891" s="1">
        <f t="shared" si="13"/>
        <v>0</v>
      </c>
      <c r="C891" s="7">
        <f>G$12/-PV(Table7[Monthly mortgage rate], (12*Table7[Amortization period (yrs)]),1 )</f>
        <v>4377.9977174134756</v>
      </c>
      <c r="D891" s="11">
        <f>IF(Table1[[#This Row],[Month]]&lt;=(12*Table7[mortgage term (yrs)]),Table7[Monthly mortgage rate],Table7[Monthly Exp Renewal Rate])</f>
        <v>4.9038466830562122E-3</v>
      </c>
      <c r="E891" s="21">
        <f>Table1[[#This Row],[Current mortgage rate]]*G890</f>
        <v>-108568.43872147762</v>
      </c>
      <c r="F891" s="5">
        <f>Table1[[#This Row],[Payment amount]]-Table1[[#This Row],[Interest paid]]</f>
        <v>112946.43643889109</v>
      </c>
      <c r="G891" s="20">
        <f>G890-Table1[[#This Row],[Principal repaid]]-Table1[[#This Row],[Annual paym]]</f>
        <v>-22252390.374725882</v>
      </c>
      <c r="H891" s="20">
        <f>H890-(Table1[[#This Row],[Payment amount]]-Table1[[#This Row],[Interest Paid W/O LSP]])</f>
        <v>-14682027.242740197</v>
      </c>
      <c r="I891">
        <f>H890*Table1[[#This Row],[Current mortgage rate]]</f>
        <v>-71625.700113345083</v>
      </c>
      <c r="J891" s="25">
        <f>IF(Table1[[#This Row],[Month]]&gt;Table7[Amortization period (yrs)]*12,0,IF(Table1[[#This Row],[Month]]&lt;Table7[mortgage term (yrs)]*12,0,IF(Table1[[#This Row],[Month]]=Table7[mortgage term (yrs)]*12,-H$5,Table1[[#This Row],[Payment amount]]+B891)))</f>
        <v>0</v>
      </c>
      <c r="K891">
        <v>880</v>
      </c>
      <c r="L891" s="25">
        <f>Table7[Initial Monthly Deposit]*Table9[[#This Row],[Inflation Modifier]]</f>
        <v>1697.7452730210161</v>
      </c>
      <c r="M891" s="25">
        <f xml:space="preserve"> (1+Table7[Inflation])^(QUOTIENT(Table9[[#This Row],[Month]]-1,12))</f>
        <v>4.2443631825525401</v>
      </c>
      <c r="N891">
        <f>N890*(1+Table7[Monthly SF Inter])+Table9[[#This Row],[Monthly Payment]]-O890*(1+Table7[Monthly SF Inter])</f>
        <v>641883.08756088675</v>
      </c>
      <c r="O891">
        <f>IF(MOD(Table9[[#This Row],[Month]],12)=0,(IF(Table9[[#This Row],[Current Balance]]&lt;Table9[[#This Row],[Max Lump Sum ]],Table9[[#This Row],[Current Balance]],Table9[[#This Row],[Max Lump Sum ]])),0)</f>
        <v>0</v>
      </c>
      <c r="P891" s="21">
        <f>Table7[Max annual lump sum repayment]*SUM(C892:C903)</f>
        <v>7880.3958913442566</v>
      </c>
      <c r="Q891" s="25">
        <f>Q890*(1+Table7[Monthly SF Inter])+Table9[[#This Row],[Inflation Modifier]]-R890*(1+Table7[Monthly SF Inter])</f>
        <v>17.082762127778885</v>
      </c>
      <c r="R891" s="25">
        <f>IF(MOD(Table9[[#This Row],[Month]],12)=0,Table9[[#This Row],[Q2 ACC FACTOR]],0)</f>
        <v>0</v>
      </c>
      <c r="S891" s="25">
        <f>S890*(1+D890)+Table9[[#This Row],[ACC FACTOR PAYMENTS]]</f>
        <v>20958.686792797289</v>
      </c>
    </row>
    <row r="892" spans="1:19" x14ac:dyDescent="0.25">
      <c r="A892" s="1">
        <v>880</v>
      </c>
      <c r="B892" s="1">
        <f t="shared" si="13"/>
        <v>0</v>
      </c>
      <c r="C892" s="7">
        <f>G$12/-PV(Table7[Monthly mortgage rate], (12*Table7[Amortization period (yrs)]),1 )</f>
        <v>4377.9977174134756</v>
      </c>
      <c r="D892" s="11">
        <f>IF(Table1[[#This Row],[Month]]&lt;=(12*Table7[mortgage term (yrs)]),Table7[Monthly mortgage rate],Table7[Monthly Exp Renewal Rate])</f>
        <v>4.9038466830562122E-3</v>
      </c>
      <c r="E892" s="21">
        <f>Table1[[#This Row],[Current mortgage rate]]*G891</f>
        <v>-109122.3107291715</v>
      </c>
      <c r="F892" s="5">
        <f>Table1[[#This Row],[Payment amount]]-Table1[[#This Row],[Interest paid]]</f>
        <v>113500.30844658497</v>
      </c>
      <c r="G892" s="20">
        <f>G891-Table1[[#This Row],[Principal repaid]]-Table1[[#This Row],[Annual paym]]</f>
        <v>-22365890.683172468</v>
      </c>
      <c r="H892" s="20">
        <f>H891-(Table1[[#This Row],[Payment amount]]-Table1[[#This Row],[Interest Paid W/O LSP]])</f>
        <v>-14758403.651052464</v>
      </c>
      <c r="I892">
        <f>H891*Table1[[#This Row],[Current mortgage rate]]</f>
        <v>-71998.410594852467</v>
      </c>
      <c r="J892" s="25">
        <f>IF(Table1[[#This Row],[Month]]&gt;Table7[Amortization period (yrs)]*12,0,IF(Table1[[#This Row],[Month]]&lt;Table7[mortgage term (yrs)]*12,0,IF(Table1[[#This Row],[Month]]=Table7[mortgage term (yrs)]*12,-H$5,Table1[[#This Row],[Payment amount]]+B892)))</f>
        <v>0</v>
      </c>
      <c r="K892">
        <v>881</v>
      </c>
      <c r="L892" s="25">
        <f>Table7[Initial Monthly Deposit]*Table9[[#This Row],[Inflation Modifier]]</f>
        <v>1697.7452730210161</v>
      </c>
      <c r="M892" s="25">
        <f xml:space="preserve"> (1+Table7[Inflation])^(QUOTIENT(Table9[[#This Row],[Month]]-1,12))</f>
        <v>4.2443631825525401</v>
      </c>
      <c r="N892">
        <f>N891*(1+Table7[Monthly SF Inter])+Table9[[#This Row],[Monthly Payment]]-O891*(1+Table7[Monthly SF Inter])</f>
        <v>646227.90442551463</v>
      </c>
      <c r="O892">
        <f>IF(MOD(Table9[[#This Row],[Month]],12)=0,(IF(Table9[[#This Row],[Current Balance]]&lt;Table9[[#This Row],[Max Lump Sum ]],Table9[[#This Row],[Current Balance]],Table9[[#This Row],[Max Lump Sum ]])),0)</f>
        <v>0</v>
      </c>
      <c r="P892" s="21">
        <f>Table7[Max annual lump sum repayment]*SUM(C893:C904)</f>
        <v>7880.3958913442566</v>
      </c>
      <c r="Q892" s="25">
        <f>Q891*(1+Table7[Monthly SF Inter])+Table9[[#This Row],[Inflation Modifier]]-R891*(1+Table7[Monthly SF Inter])</f>
        <v>21.397573177257552</v>
      </c>
      <c r="R892" s="25">
        <f>IF(MOD(Table9[[#This Row],[Month]],12)=0,Table9[[#This Row],[Q2 ACC FACTOR]],0)</f>
        <v>0</v>
      </c>
      <c r="S892" s="25">
        <f>S891*(1+D891)+Table9[[#This Row],[ACC FACTOR PAYMENTS]]</f>
        <v>21061.464979507364</v>
      </c>
    </row>
    <row r="893" spans="1:19" x14ac:dyDescent="0.25">
      <c r="A893" s="1">
        <v>881</v>
      </c>
      <c r="B893" s="1">
        <f t="shared" si="13"/>
        <v>0</v>
      </c>
      <c r="C893" s="7">
        <f>G$12/-PV(Table7[Monthly mortgage rate], (12*Table7[Amortization period (yrs)]),1 )</f>
        <v>4377.9977174134756</v>
      </c>
      <c r="D893" s="11">
        <f>IF(Table1[[#This Row],[Month]]&lt;=(12*Table7[mortgage term (yrs)]),Table7[Monthly mortgage rate],Table7[Monthly Exp Renewal Rate])</f>
        <v>4.9038466830562122E-3</v>
      </c>
      <c r="E893" s="21">
        <f>Table1[[#This Row],[Current mortgage rate]]*G892</f>
        <v>-109678.89884027315</v>
      </c>
      <c r="F893" s="5">
        <f>Table1[[#This Row],[Payment amount]]-Table1[[#This Row],[Interest paid]]</f>
        <v>114056.89655768662</v>
      </c>
      <c r="G893" s="20">
        <f>G892-Table1[[#This Row],[Principal repaid]]-Table1[[#This Row],[Annual paym]]</f>
        <v>-22479947.579730153</v>
      </c>
      <c r="H893" s="20">
        <f>H892-(Table1[[#This Row],[Payment amount]]-Table1[[#This Row],[Interest Paid W/O LSP]])</f>
        <v>-14835154.597561296</v>
      </c>
      <c r="I893">
        <f>H892*Table1[[#This Row],[Current mortgage rate]]</f>
        <v>-72372.948791418312</v>
      </c>
      <c r="J893" s="25">
        <f>IF(Table1[[#This Row],[Month]]&gt;Table7[Amortization period (yrs)]*12,0,IF(Table1[[#This Row],[Month]]&lt;Table7[mortgage term (yrs)]*12,0,IF(Table1[[#This Row],[Month]]=Table7[mortgage term (yrs)]*12,-H$5,Table1[[#This Row],[Payment amount]]+B893)))</f>
        <v>0</v>
      </c>
      <c r="K893">
        <v>882</v>
      </c>
      <c r="L893" s="25">
        <f>Table7[Initial Monthly Deposit]*Table9[[#This Row],[Inflation Modifier]]</f>
        <v>1697.7452730210161</v>
      </c>
      <c r="M893" s="25">
        <f xml:space="preserve"> (1+Table7[Inflation])^(QUOTIENT(Table9[[#This Row],[Month]]-1,12))</f>
        <v>4.2443631825525401</v>
      </c>
      <c r="N893">
        <f>N892*(1+Table7[Monthly SF Inter])+Table9[[#This Row],[Monthly Payment]]-O892*(1+Table7[Monthly SF Inter])</f>
        <v>650590.63894760376</v>
      </c>
      <c r="O893">
        <f>IF(MOD(Table9[[#This Row],[Month]],12)=0,(IF(Table9[[#This Row],[Current Balance]]&lt;Table9[[#This Row],[Max Lump Sum ]],Table9[[#This Row],[Current Balance]],Table9[[#This Row],[Max Lump Sum ]])),0)</f>
        <v>0</v>
      </c>
      <c r="P893" s="21">
        <f>Table7[Max annual lump sum repayment]*SUM(C894:C905)</f>
        <v>7880.3958913442566</v>
      </c>
      <c r="Q893" s="25">
        <f>Q892*(1+Table7[Monthly SF Inter])+Table9[[#This Row],[Inflation Modifier]]-R892*(1+Table7[Monthly SF Inter])</f>
        <v>25.73017814275234</v>
      </c>
      <c r="R893" s="25">
        <f>IF(MOD(Table9[[#This Row],[Month]],12)=0,Table9[[#This Row],[Q2 ACC FACTOR]],0)</f>
        <v>0</v>
      </c>
      <c r="S893" s="25">
        <f>S892*(1+D892)+Table9[[#This Row],[ACC FACTOR PAYMENTS]]</f>
        <v>21164.747174687425</v>
      </c>
    </row>
    <row r="894" spans="1:19" x14ac:dyDescent="0.25">
      <c r="A894" s="1">
        <v>882</v>
      </c>
      <c r="B894" s="1">
        <f t="shared" si="13"/>
        <v>0</v>
      </c>
      <c r="C894" s="7">
        <f>G$12/-PV(Table7[Monthly mortgage rate], (12*Table7[Amortization period (yrs)]),1 )</f>
        <v>4377.9977174134756</v>
      </c>
      <c r="D894" s="11">
        <f>IF(Table1[[#This Row],[Month]]&lt;=(12*Table7[mortgage term (yrs)]),Table7[Monthly mortgage rate],Table7[Monthly Exp Renewal Rate])</f>
        <v>4.9038466830562122E-3</v>
      </c>
      <c r="E894" s="21">
        <f>Table1[[#This Row],[Current mortgage rate]]*G893</f>
        <v>-110238.21637413724</v>
      </c>
      <c r="F894" s="5">
        <f>Table1[[#This Row],[Payment amount]]-Table1[[#This Row],[Interest paid]]</f>
        <v>114616.2140915507</v>
      </c>
      <c r="G894" s="20">
        <f>G893-Table1[[#This Row],[Principal repaid]]-Table1[[#This Row],[Annual paym]]</f>
        <v>-22594563.793821704</v>
      </c>
      <c r="H894" s="20">
        <f>H893-(Table1[[#This Row],[Payment amount]]-Table1[[#This Row],[Interest Paid W/O LSP]])</f>
        <v>-14912281.918944586</v>
      </c>
      <c r="I894">
        <f>H893*Table1[[#This Row],[Current mortgage rate]]</f>
        <v>-72749.323665877077</v>
      </c>
      <c r="J894" s="25">
        <f>IF(Table1[[#This Row],[Month]]&gt;Table7[Amortization period (yrs)]*12,0,IF(Table1[[#This Row],[Month]]&lt;Table7[mortgage term (yrs)]*12,0,IF(Table1[[#This Row],[Month]]=Table7[mortgage term (yrs)]*12,-H$5,Table1[[#This Row],[Payment amount]]+B894)))</f>
        <v>0</v>
      </c>
      <c r="K894">
        <v>883</v>
      </c>
      <c r="L894" s="25">
        <f>Table7[Initial Monthly Deposit]*Table9[[#This Row],[Inflation Modifier]]</f>
        <v>1697.7452730210161</v>
      </c>
      <c r="M894" s="25">
        <f xml:space="preserve"> (1+Table7[Inflation])^(QUOTIENT(Table9[[#This Row],[Month]]-1,12))</f>
        <v>4.2443631825525401</v>
      </c>
      <c r="N894">
        <f>N893*(1+Table7[Monthly SF Inter])+Table9[[#This Row],[Monthly Payment]]-O893*(1+Table7[Monthly SF Inter])</f>
        <v>654971.36501805892</v>
      </c>
      <c r="O894">
        <f>IF(MOD(Table9[[#This Row],[Month]],12)=0,(IF(Table9[[#This Row],[Current Balance]]&lt;Table9[[#This Row],[Max Lump Sum ]],Table9[[#This Row],[Current Balance]],Table9[[#This Row],[Max Lump Sum ]])),0)</f>
        <v>0</v>
      </c>
      <c r="P894" s="21">
        <f>Table7[Max annual lump sum repayment]*SUM(C895:C906)</f>
        <v>7880.3958913442566</v>
      </c>
      <c r="Q894" s="25">
        <f>Q893*(1+Table7[Monthly SF Inter])+Table9[[#This Row],[Inflation Modifier]]-R893*(1+Table7[Monthly SF Inter])</f>
        <v>30.080650404868692</v>
      </c>
      <c r="R894" s="25">
        <f>IF(MOD(Table9[[#This Row],[Month]],12)=0,Table9[[#This Row],[Q2 ACC FACTOR]],0)</f>
        <v>0</v>
      </c>
      <c r="S894" s="25">
        <f>S893*(1+D893)+Table9[[#This Row],[ACC FACTOR PAYMENTS]]</f>
        <v>21268.535849917738</v>
      </c>
    </row>
    <row r="895" spans="1:19" x14ac:dyDescent="0.25">
      <c r="A895" s="1">
        <v>883</v>
      </c>
      <c r="B895" s="1">
        <f t="shared" si="13"/>
        <v>0</v>
      </c>
      <c r="C895" s="7">
        <f>G$12/-PV(Table7[Monthly mortgage rate], (12*Table7[Amortization period (yrs)]),1 )</f>
        <v>4377.9977174134756</v>
      </c>
      <c r="D895" s="11">
        <f>IF(Table1[[#This Row],[Month]]&lt;=(12*Table7[mortgage term (yrs)]),Table7[Monthly mortgage rate],Table7[Monthly Exp Renewal Rate])</f>
        <v>4.9038466830562122E-3</v>
      </c>
      <c r="E895" s="21">
        <f>Table1[[#This Row],[Current mortgage rate]]*G894</f>
        <v>-110800.27671543455</v>
      </c>
      <c r="F895" s="5">
        <f>Table1[[#This Row],[Payment amount]]-Table1[[#This Row],[Interest paid]]</f>
        <v>115178.27443284802</v>
      </c>
      <c r="G895" s="20">
        <f>G894-Table1[[#This Row],[Principal repaid]]-Table1[[#This Row],[Annual paym]]</f>
        <v>-22709742.068254553</v>
      </c>
      <c r="H895" s="20">
        <f>H894-(Table1[[#This Row],[Payment amount]]-Table1[[#This Row],[Interest Paid W/O LSP]])</f>
        <v>-14989787.460887015</v>
      </c>
      <c r="I895">
        <f>H894*Table1[[#This Row],[Current mortgage rate]]</f>
        <v>-73127.544225015532</v>
      </c>
      <c r="J895" s="25">
        <f>IF(Table1[[#This Row],[Month]]&gt;Table7[Amortization period (yrs)]*12,0,IF(Table1[[#This Row],[Month]]&lt;Table7[mortgage term (yrs)]*12,0,IF(Table1[[#This Row],[Month]]=Table7[mortgage term (yrs)]*12,-H$5,Table1[[#This Row],[Payment amount]]+B895)))</f>
        <v>0</v>
      </c>
      <c r="K895">
        <v>884</v>
      </c>
      <c r="L895" s="25">
        <f>Table7[Initial Monthly Deposit]*Table9[[#This Row],[Inflation Modifier]]</f>
        <v>1697.7452730210161</v>
      </c>
      <c r="M895" s="25">
        <f xml:space="preserve"> (1+Table7[Inflation])^(QUOTIENT(Table9[[#This Row],[Month]]-1,12))</f>
        <v>4.2443631825525401</v>
      </c>
      <c r="N895">
        <f>N894*(1+Table7[Monthly SF Inter])+Table9[[#This Row],[Monthly Payment]]-O894*(1+Table7[Monthly SF Inter])</f>
        <v>659370.15683250455</v>
      </c>
      <c r="O895">
        <f>IF(MOD(Table9[[#This Row],[Month]],12)=0,(IF(Table9[[#This Row],[Current Balance]]&lt;Table9[[#This Row],[Max Lump Sum ]],Table9[[#This Row],[Current Balance]],Table9[[#This Row],[Max Lump Sum ]])),0)</f>
        <v>0</v>
      </c>
      <c r="P895" s="21">
        <f>Table7[Max annual lump sum repayment]*SUM(C896:C907)</f>
        <v>7880.3958913442566</v>
      </c>
      <c r="Q895" s="25">
        <f>Q894*(1+Table7[Monthly SF Inter])+Table9[[#This Row],[Inflation Modifier]]-R894*(1+Table7[Monthly SF Inter])</f>
        <v>34.449063646827469</v>
      </c>
      <c r="R895" s="25">
        <f>IF(MOD(Table9[[#This Row],[Month]],12)=0,Table9[[#This Row],[Q2 ACC FACTOR]],0)</f>
        <v>0</v>
      </c>
      <c r="S895" s="25">
        <f>S894*(1+D894)+Table9[[#This Row],[ACC FACTOR PAYMENTS]]</f>
        <v>21372.833488898821</v>
      </c>
    </row>
    <row r="896" spans="1:19" x14ac:dyDescent="0.25">
      <c r="A896" s="1">
        <v>884</v>
      </c>
      <c r="B896" s="1">
        <f t="shared" si="13"/>
        <v>0</v>
      </c>
      <c r="C896" s="7">
        <f>G$12/-PV(Table7[Monthly mortgage rate], (12*Table7[Amortization period (yrs)]),1 )</f>
        <v>4377.9977174134756</v>
      </c>
      <c r="D896" s="11">
        <f>IF(Table1[[#This Row],[Month]]&lt;=(12*Table7[mortgage term (yrs)]),Table7[Monthly mortgage rate],Table7[Monthly Exp Renewal Rate])</f>
        <v>4.9038466830562122E-3</v>
      </c>
      <c r="E896" s="21">
        <f>Table1[[#This Row],[Current mortgage rate]]*G895</f>
        <v>-111365.09331447221</v>
      </c>
      <c r="F896" s="5">
        <f>Table1[[#This Row],[Payment amount]]-Table1[[#This Row],[Interest paid]]</f>
        <v>115743.09103188568</v>
      </c>
      <c r="G896" s="20">
        <f>G895-Table1[[#This Row],[Principal repaid]]-Table1[[#This Row],[Annual paym]]</f>
        <v>-22825485.159286439</v>
      </c>
      <c r="H896" s="20">
        <f>H895-(Table1[[#This Row],[Payment amount]]-Table1[[#This Row],[Interest Paid W/O LSP]])</f>
        <v>-15067673.078124216</v>
      </c>
      <c r="I896">
        <f>H895*Table1[[#This Row],[Current mortgage rate]]</f>
        <v>-73507.619519788394</v>
      </c>
      <c r="J896" s="25">
        <f>IF(Table1[[#This Row],[Month]]&gt;Table7[Amortization period (yrs)]*12,0,IF(Table1[[#This Row],[Month]]&lt;Table7[mortgage term (yrs)]*12,0,IF(Table1[[#This Row],[Month]]=Table7[mortgage term (yrs)]*12,-H$5,Table1[[#This Row],[Payment amount]]+B896)))</f>
        <v>0</v>
      </c>
      <c r="K896">
        <v>885</v>
      </c>
      <c r="L896" s="25">
        <f>Table7[Initial Monthly Deposit]*Table9[[#This Row],[Inflation Modifier]]</f>
        <v>1697.7452730210161</v>
      </c>
      <c r="M896" s="25">
        <f xml:space="preserve"> (1+Table7[Inflation])^(QUOTIENT(Table9[[#This Row],[Month]]-1,12))</f>
        <v>4.2443631825525401</v>
      </c>
      <c r="N896">
        <f>N895*(1+Table7[Monthly SF Inter])+Table9[[#This Row],[Monthly Payment]]-O895*(1+Table7[Monthly SF Inter])</f>
        <v>663787.08889254171</v>
      </c>
      <c r="O896">
        <f>IF(MOD(Table9[[#This Row],[Month]],12)=0,(IF(Table9[[#This Row],[Current Balance]]&lt;Table9[[#This Row],[Max Lump Sum ]],Table9[[#This Row],[Current Balance]],Table9[[#This Row],[Max Lump Sum ]])),0)</f>
        <v>0</v>
      </c>
      <c r="P896" s="21">
        <f>Table7[Max annual lump sum repayment]*SUM(C897:C908)</f>
        <v>7880.3958913442566</v>
      </c>
      <c r="Q896" s="25">
        <f>Q895*(1+Table7[Monthly SF Inter])+Table9[[#This Row],[Inflation Modifier]]-R895*(1+Table7[Monthly SF Inter])</f>
        <v>38.835491855712895</v>
      </c>
      <c r="R896" s="25">
        <f>IF(MOD(Table9[[#This Row],[Month]],12)=0,Table9[[#This Row],[Q2 ACC FACTOR]],0)</f>
        <v>0</v>
      </c>
      <c r="S896" s="25">
        <f>S895*(1+D895)+Table9[[#This Row],[ACC FACTOR PAYMENTS]]</f>
        <v>21477.642587510869</v>
      </c>
    </row>
    <row r="897" spans="1:19" x14ac:dyDescent="0.25">
      <c r="A897" s="1">
        <v>885</v>
      </c>
      <c r="B897" s="1">
        <f t="shared" si="13"/>
        <v>0</v>
      </c>
      <c r="C897" s="7">
        <f>G$12/-PV(Table7[Monthly mortgage rate], (12*Table7[Amortization period (yrs)]),1 )</f>
        <v>4377.9977174134756</v>
      </c>
      <c r="D897" s="11">
        <f>IF(Table1[[#This Row],[Month]]&lt;=(12*Table7[mortgage term (yrs)]),Table7[Monthly mortgage rate],Table7[Monthly Exp Renewal Rate])</f>
        <v>4.9038466830562122E-3</v>
      </c>
      <c r="E897" s="21">
        <f>Table1[[#This Row],[Current mortgage rate]]*G896</f>
        <v>-111932.6796875156</v>
      </c>
      <c r="F897" s="5">
        <f>Table1[[#This Row],[Payment amount]]-Table1[[#This Row],[Interest paid]]</f>
        <v>116310.67740492907</v>
      </c>
      <c r="G897" s="20">
        <f>G896-Table1[[#This Row],[Principal repaid]]-Table1[[#This Row],[Annual paym]]</f>
        <v>-22941795.836691368</v>
      </c>
      <c r="H897" s="20">
        <f>H896-(Table1[[#This Row],[Payment amount]]-Table1[[#This Row],[Interest Paid W/O LSP]])</f>
        <v>-15145940.634487163</v>
      </c>
      <c r="I897">
        <f>H896*Table1[[#This Row],[Current mortgage rate]]</f>
        <v>-73889.558645534824</v>
      </c>
      <c r="J897" s="25">
        <f>IF(Table1[[#This Row],[Month]]&gt;Table7[Amortization period (yrs)]*12,0,IF(Table1[[#This Row],[Month]]&lt;Table7[mortgage term (yrs)]*12,0,IF(Table1[[#This Row],[Month]]=Table7[mortgage term (yrs)]*12,-H$5,Table1[[#This Row],[Payment amount]]+B897)))</f>
        <v>0</v>
      </c>
      <c r="K897">
        <v>886</v>
      </c>
      <c r="L897" s="25">
        <f>Table7[Initial Monthly Deposit]*Table9[[#This Row],[Inflation Modifier]]</f>
        <v>1697.7452730210161</v>
      </c>
      <c r="M897" s="25">
        <f xml:space="preserve"> (1+Table7[Inflation])^(QUOTIENT(Table9[[#This Row],[Month]]-1,12))</f>
        <v>4.2443631825525401</v>
      </c>
      <c r="N897">
        <f>N896*(1+Table7[Monthly SF Inter])+Table9[[#This Row],[Monthly Payment]]-O896*(1+Table7[Monthly SF Inter])</f>
        <v>668222.23600700975</v>
      </c>
      <c r="O897">
        <f>IF(MOD(Table9[[#This Row],[Month]],12)=0,(IF(Table9[[#This Row],[Current Balance]]&lt;Table9[[#This Row],[Max Lump Sum ]],Table9[[#This Row],[Current Balance]],Table9[[#This Row],[Max Lump Sum ]])),0)</f>
        <v>0</v>
      </c>
      <c r="P897" s="21">
        <f>Table7[Max annual lump sum repayment]*SUM(C898:C909)</f>
        <v>7880.3958913442566</v>
      </c>
      <c r="Q897" s="25">
        <f>Q896*(1+Table7[Monthly SF Inter])+Table9[[#This Row],[Inflation Modifier]]-R896*(1+Table7[Monthly SF Inter])</f>
        <v>43.240009323725694</v>
      </c>
      <c r="R897" s="25">
        <f>IF(MOD(Table9[[#This Row],[Month]],12)=0,Table9[[#This Row],[Q2 ACC FACTOR]],0)</f>
        <v>0</v>
      </c>
      <c r="S897" s="25">
        <f>S896*(1+D896)+Table9[[#This Row],[ACC FACTOR PAYMENTS]]</f>
        <v>21582.9656538735</v>
      </c>
    </row>
    <row r="898" spans="1:19" x14ac:dyDescent="0.25">
      <c r="A898" s="1">
        <v>886</v>
      </c>
      <c r="B898" s="1">
        <f t="shared" si="13"/>
        <v>0</v>
      </c>
      <c r="C898" s="7">
        <f>G$12/-PV(Table7[Monthly mortgage rate], (12*Table7[Amortization period (yrs)]),1 )</f>
        <v>4377.9977174134756</v>
      </c>
      <c r="D898" s="11">
        <f>IF(Table1[[#This Row],[Month]]&lt;=(12*Table7[mortgage term (yrs)]),Table7[Monthly mortgage rate],Table7[Monthly Exp Renewal Rate])</f>
        <v>4.9038466830562122E-3</v>
      </c>
      <c r="E898" s="21">
        <f>Table1[[#This Row],[Current mortgage rate]]*G897</f>
        <v>-112503.04941711179</v>
      </c>
      <c r="F898" s="5">
        <f>Table1[[#This Row],[Payment amount]]-Table1[[#This Row],[Interest paid]]</f>
        <v>116881.04713452526</v>
      </c>
      <c r="G898" s="20">
        <f>G897-Table1[[#This Row],[Principal repaid]]-Table1[[#This Row],[Annual paym]]</f>
        <v>-23058676.883825894</v>
      </c>
      <c r="H898" s="20">
        <f>H897-(Table1[[#This Row],[Payment amount]]-Table1[[#This Row],[Interest Paid W/O LSP]])</f>
        <v>-15224592.002946774</v>
      </c>
      <c r="I898">
        <f>H897*Table1[[#This Row],[Current mortgage rate]]</f>
        <v>-74273.370742196174</v>
      </c>
      <c r="J898" s="25">
        <f>IF(Table1[[#This Row],[Month]]&gt;Table7[Amortization period (yrs)]*12,0,IF(Table1[[#This Row],[Month]]&lt;Table7[mortgage term (yrs)]*12,0,IF(Table1[[#This Row],[Month]]=Table7[mortgage term (yrs)]*12,-H$5,Table1[[#This Row],[Payment amount]]+B898)))</f>
        <v>0</v>
      </c>
      <c r="K898">
        <v>887</v>
      </c>
      <c r="L898" s="25">
        <f>Table7[Initial Monthly Deposit]*Table9[[#This Row],[Inflation Modifier]]</f>
        <v>1697.7452730210161</v>
      </c>
      <c r="M898" s="25">
        <f xml:space="preserve"> (1+Table7[Inflation])^(QUOTIENT(Table9[[#This Row],[Month]]-1,12))</f>
        <v>4.2443631825525401</v>
      </c>
      <c r="N898">
        <f>N897*(1+Table7[Monthly SF Inter])+Table9[[#This Row],[Monthly Payment]]-O897*(1+Table7[Monthly SF Inter])</f>
        <v>672675.67329325341</v>
      </c>
      <c r="O898">
        <f>IF(MOD(Table9[[#This Row],[Month]],12)=0,(IF(Table9[[#This Row],[Current Balance]]&lt;Table9[[#This Row],[Max Lump Sum ]],Table9[[#This Row],[Current Balance]],Table9[[#This Row],[Max Lump Sum ]])),0)</f>
        <v>0</v>
      </c>
      <c r="P898" s="21">
        <f>Table7[Max annual lump sum repayment]*SUM(C899:C910)</f>
        <v>7880.3958913442566</v>
      </c>
      <c r="Q898" s="25">
        <f>Q897*(1+Table7[Monthly SF Inter])+Table9[[#This Row],[Inflation Modifier]]-R897*(1+Table7[Monthly SF Inter])</f>
        <v>47.66269064944133</v>
      </c>
      <c r="R898" s="25">
        <f>IF(MOD(Table9[[#This Row],[Month]],12)=0,Table9[[#This Row],[Q2 ACC FACTOR]],0)</f>
        <v>0</v>
      </c>
      <c r="S898" s="25">
        <f>S897*(1+D897)+Table9[[#This Row],[ACC FACTOR PAYMENTS]]</f>
        <v>21688.805208405764</v>
      </c>
    </row>
    <row r="899" spans="1:19" x14ac:dyDescent="0.25">
      <c r="A899" s="1">
        <v>887</v>
      </c>
      <c r="B899" s="1">
        <f t="shared" si="13"/>
        <v>0</v>
      </c>
      <c r="C899" s="7">
        <f>G$12/-PV(Table7[Monthly mortgage rate], (12*Table7[Amortization period (yrs)]),1 )</f>
        <v>4377.9977174134756</v>
      </c>
      <c r="D899" s="11">
        <f>IF(Table1[[#This Row],[Month]]&lt;=(12*Table7[mortgage term (yrs)]),Table7[Monthly mortgage rate],Table7[Monthly Exp Renewal Rate])</f>
        <v>4.9038466830562122E-3</v>
      </c>
      <c r="E899" s="21">
        <f>Table1[[#This Row],[Current mortgage rate]]*G898</f>
        <v>-113076.21615241456</v>
      </c>
      <c r="F899" s="5">
        <f>Table1[[#This Row],[Payment amount]]-Table1[[#This Row],[Interest paid]]</f>
        <v>117454.21386982803</v>
      </c>
      <c r="G899" s="20">
        <f>G898-Table1[[#This Row],[Principal repaid]]-Table1[[#This Row],[Annual paym]]</f>
        <v>-23176131.097695723</v>
      </c>
      <c r="H899" s="20">
        <f>H898-(Table1[[#This Row],[Payment amount]]-Table1[[#This Row],[Interest Paid W/O LSP]])</f>
        <v>-15303629.065658722</v>
      </c>
      <c r="I899">
        <f>H898*Table1[[#This Row],[Current mortgage rate]]</f>
        <v>-74659.064994534667</v>
      </c>
      <c r="J899" s="25">
        <f>IF(Table1[[#This Row],[Month]]&gt;Table7[Amortization period (yrs)]*12,0,IF(Table1[[#This Row],[Month]]&lt;Table7[mortgage term (yrs)]*12,0,IF(Table1[[#This Row],[Month]]=Table7[mortgage term (yrs)]*12,-H$5,Table1[[#This Row],[Payment amount]]+B899)))</f>
        <v>0</v>
      </c>
      <c r="K899">
        <v>888</v>
      </c>
      <c r="L899" s="25">
        <f>Table7[Initial Monthly Deposit]*Table9[[#This Row],[Inflation Modifier]]</f>
        <v>1697.7452730210161</v>
      </c>
      <c r="M899" s="25">
        <f xml:space="preserve"> (1+Table7[Inflation])^(QUOTIENT(Table9[[#This Row],[Month]]-1,12))</f>
        <v>4.2443631825525401</v>
      </c>
      <c r="N899">
        <f>N898*(1+Table7[Monthly SF Inter])+Table9[[#This Row],[Monthly Payment]]-O898*(1+Table7[Monthly SF Inter])</f>
        <v>677147.47617839486</v>
      </c>
      <c r="O899">
        <f>IF(MOD(Table9[[#This Row],[Month]],12)=0,(IF(Table9[[#This Row],[Current Balance]]&lt;Table9[[#This Row],[Max Lump Sum ]],Table9[[#This Row],[Current Balance]],Table9[[#This Row],[Max Lump Sum ]])),0)</f>
        <v>7880.3958913442566</v>
      </c>
      <c r="P899" s="21">
        <f>Table7[Max annual lump sum repayment]*SUM(C900:C911)</f>
        <v>7880.3958913442566</v>
      </c>
      <c r="Q899" s="25">
        <f>Q898*(1+Table7[Monthly SF Inter])+Table9[[#This Row],[Inflation Modifier]]-R898*(1+Table7[Monthly SF Inter])</f>
        <v>52.103610739073488</v>
      </c>
      <c r="R899" s="25">
        <f>IF(MOD(Table9[[#This Row],[Month]],12)=0,Table9[[#This Row],[Q2 ACC FACTOR]],0)</f>
        <v>52.103610739073488</v>
      </c>
      <c r="S899" s="25">
        <f>S898*(1+D898)+Table9[[#This Row],[ACC FACTOR PAYMENTS]]</f>
        <v>21847.267394625527</v>
      </c>
    </row>
    <row r="900" spans="1:19" x14ac:dyDescent="0.25">
      <c r="A900" s="1">
        <v>888</v>
      </c>
      <c r="B900" s="1">
        <f t="shared" si="13"/>
        <v>7880.3958913442566</v>
      </c>
      <c r="C900" s="7">
        <f>G$12/-PV(Table7[Monthly mortgage rate], (12*Table7[Amortization period (yrs)]),1 )</f>
        <v>4377.9977174134756</v>
      </c>
      <c r="D900" s="11">
        <f>IF(Table1[[#This Row],[Month]]&lt;=(12*Table7[mortgage term (yrs)]),Table7[Monthly mortgage rate],Table7[Monthly Exp Renewal Rate])</f>
        <v>4.9038466830562122E-3</v>
      </c>
      <c r="E900" s="21">
        <f>Table1[[#This Row],[Current mortgage rate]]*G899</f>
        <v>-113652.1936095111</v>
      </c>
      <c r="F900" s="5">
        <f>Table1[[#This Row],[Payment amount]]-Table1[[#This Row],[Interest paid]]</f>
        <v>118030.19132692457</v>
      </c>
      <c r="G900" s="20">
        <f>G899-Table1[[#This Row],[Principal repaid]]-Table1[[#This Row],[Annual paym]]</f>
        <v>-23302041.684913993</v>
      </c>
      <c r="H900" s="20">
        <f>H899-(Table1[[#This Row],[Payment amount]]-Table1[[#This Row],[Interest Paid W/O LSP]])</f>
        <v>-15383053.71400849</v>
      </c>
      <c r="I900">
        <f>H899*Table1[[#This Row],[Current mortgage rate]]</f>
        <v>-75046.650632353165</v>
      </c>
      <c r="J900" s="25">
        <f>IF(Table1[[#This Row],[Month]]&gt;Table7[Amortization period (yrs)]*12,0,IF(Table1[[#This Row],[Month]]&lt;Table7[mortgage term (yrs)]*12,0,IF(Table1[[#This Row],[Month]]=Table7[mortgage term (yrs)]*12,-H$5,Table1[[#This Row],[Payment amount]]+B900)))</f>
        <v>0</v>
      </c>
      <c r="K900">
        <v>889</v>
      </c>
      <c r="L900" s="25">
        <f>Table7[Initial Monthly Deposit]*Table9[[#This Row],[Inflation Modifier]]</f>
        <v>1731.7001784814365</v>
      </c>
      <c r="M900" s="25">
        <f xml:space="preserve"> (1+Table7[Inflation])^(QUOTIENT(Table9[[#This Row],[Month]]-1,12))</f>
        <v>4.3292504462035915</v>
      </c>
      <c r="N900">
        <f>N899*(1+Table7[Monthly SF Inter])+Table9[[#This Row],[Monthly Payment]]-O899*(1+Table7[Monthly SF Inter])</f>
        <v>673758.78132823971</v>
      </c>
      <c r="O900">
        <f>IF(MOD(Table9[[#This Row],[Month]],12)=0,(IF(Table9[[#This Row],[Current Balance]]&lt;Table9[[#This Row],[Max Lump Sum ]],Table9[[#This Row],[Current Balance]],Table9[[#This Row],[Max Lump Sum ]])),0)</f>
        <v>0</v>
      </c>
      <c r="P900" s="21">
        <f>Table7[Max annual lump sum repayment]*SUM(C901:C912)</f>
        <v>7880.3958913442566</v>
      </c>
      <c r="Q900" s="25">
        <f>Q899*(1+Table7[Monthly SF Inter])+Table9[[#This Row],[Inflation Modifier]]-R899*(1+Table7[Monthly SF Inter])</f>
        <v>4.329250446203595</v>
      </c>
      <c r="R900" s="25">
        <f>IF(MOD(Table9[[#This Row],[Month]],12)=0,Table9[[#This Row],[Q2 ACC FACTOR]],0)</f>
        <v>0</v>
      </c>
      <c r="S900" s="25">
        <f>S899*(1+D899)+Table9[[#This Row],[ACC FACTOR PAYMENTS]]</f>
        <v>21954.403044372502</v>
      </c>
    </row>
    <row r="901" spans="1:19" x14ac:dyDescent="0.25">
      <c r="A901" s="1">
        <v>889</v>
      </c>
      <c r="B901" s="1">
        <f t="shared" si="13"/>
        <v>0</v>
      </c>
      <c r="C901" s="7">
        <f>G$12/-PV(Table7[Monthly mortgage rate], (12*Table7[Amortization period (yrs)]),1 )</f>
        <v>4377.9977174134756</v>
      </c>
      <c r="D901" s="11">
        <f>IF(Table1[[#This Row],[Month]]&lt;=(12*Table7[mortgage term (yrs)]),Table7[Monthly mortgage rate],Table7[Monthly Exp Renewal Rate])</f>
        <v>4.9038466830562122E-3</v>
      </c>
      <c r="E901" s="21">
        <f>Table1[[#This Row],[Current mortgage rate]]*G900</f>
        <v>-114269.63982500308</v>
      </c>
      <c r="F901" s="5">
        <f>Table1[[#This Row],[Payment amount]]-Table1[[#This Row],[Interest paid]]</f>
        <v>118647.63754241655</v>
      </c>
      <c r="G901" s="20">
        <f>G900-Table1[[#This Row],[Principal repaid]]-Table1[[#This Row],[Annual paym]]</f>
        <v>-23420689.322456408</v>
      </c>
      <c r="H901" s="20">
        <f>H900-(Table1[[#This Row],[Payment amount]]-Table1[[#This Row],[Interest Paid W/O LSP]])</f>
        <v>-15462867.848656619</v>
      </c>
      <c r="I901">
        <f>H900*Table1[[#This Row],[Current mortgage rate]]</f>
        <v>-75436.136930716078</v>
      </c>
      <c r="J901" s="25">
        <f>IF(Table1[[#This Row],[Month]]&gt;Table7[Amortization period (yrs)]*12,0,IF(Table1[[#This Row],[Month]]&lt;Table7[mortgage term (yrs)]*12,0,IF(Table1[[#This Row],[Month]]=Table7[mortgage term (yrs)]*12,-H$5,Table1[[#This Row],[Payment amount]]+B901)))</f>
        <v>0</v>
      </c>
      <c r="K901">
        <v>890</v>
      </c>
      <c r="L901" s="25">
        <f>Table7[Initial Monthly Deposit]*Table9[[#This Row],[Inflation Modifier]]</f>
        <v>1731.7001784814365</v>
      </c>
      <c r="M901" s="25">
        <f xml:space="preserve"> (1+Table7[Inflation])^(QUOTIENT(Table9[[#This Row],[Month]]-1,12))</f>
        <v>4.3292504462035915</v>
      </c>
      <c r="N901">
        <f>N900*(1+Table7[Monthly SF Inter])+Table9[[#This Row],[Monthly Payment]]-O900*(1+Table7[Monthly SF Inter])</f>
        <v>678269.00576481735</v>
      </c>
      <c r="O901">
        <f>IF(MOD(Table9[[#This Row],[Month]],12)=0,(IF(Table9[[#This Row],[Current Balance]]&lt;Table9[[#This Row],[Max Lump Sum ]],Table9[[#This Row],[Current Balance]],Table9[[#This Row],[Max Lump Sum ]])),0)</f>
        <v>0</v>
      </c>
      <c r="P901" s="21">
        <f>Table7[Max annual lump sum repayment]*SUM(C902:C913)</f>
        <v>7880.3958913442566</v>
      </c>
      <c r="Q901" s="25">
        <f>Q900*(1+Table7[Monthly SF Inter])+Table9[[#This Row],[Inflation Modifier]]-R900*(1+Table7[Monthly SF Inter])</f>
        <v>8.6763543552747677</v>
      </c>
      <c r="R901" s="25">
        <f>IF(MOD(Table9[[#This Row],[Month]],12)=0,Table9[[#This Row],[Q2 ACC FACTOR]],0)</f>
        <v>0</v>
      </c>
      <c r="S901" s="25">
        <f>S900*(1+D900)+Table9[[#This Row],[ACC FACTOR PAYMENTS]]</f>
        <v>22062.064070920129</v>
      </c>
    </row>
    <row r="902" spans="1:19" x14ac:dyDescent="0.25">
      <c r="A902" s="1">
        <v>890</v>
      </c>
      <c r="B902" s="1">
        <f t="shared" si="13"/>
        <v>0</v>
      </c>
      <c r="C902" s="7">
        <f>G$12/-PV(Table7[Monthly mortgage rate], (12*Table7[Amortization period (yrs)]),1 )</f>
        <v>4377.9977174134756</v>
      </c>
      <c r="D902" s="11">
        <f>IF(Table1[[#This Row],[Month]]&lt;=(12*Table7[mortgage term (yrs)]),Table7[Monthly mortgage rate],Table7[Monthly Exp Renewal Rate])</f>
        <v>4.9038466830562122E-3</v>
      </c>
      <c r="E902" s="21">
        <f>Table1[[#This Row],[Current mortgage rate]]*G901</f>
        <v>-114851.4696488179</v>
      </c>
      <c r="F902" s="5">
        <f>Table1[[#This Row],[Payment amount]]-Table1[[#This Row],[Interest paid]]</f>
        <v>119229.46736623137</v>
      </c>
      <c r="G902" s="20">
        <f>G901-Table1[[#This Row],[Principal repaid]]-Table1[[#This Row],[Annual paym]]</f>
        <v>-23539918.789822638</v>
      </c>
      <c r="H902" s="20">
        <f>H901-(Table1[[#This Row],[Payment amount]]-Table1[[#This Row],[Interest Paid W/O LSP]])</f>
        <v>-15543073.379584204</v>
      </c>
      <c r="I902">
        <f>H901*Table1[[#This Row],[Current mortgage rate]]</f>
        <v>-75827.533210171314</v>
      </c>
      <c r="J902" s="25">
        <f>IF(Table1[[#This Row],[Month]]&gt;Table7[Amortization period (yrs)]*12,0,IF(Table1[[#This Row],[Month]]&lt;Table7[mortgage term (yrs)]*12,0,IF(Table1[[#This Row],[Month]]=Table7[mortgage term (yrs)]*12,-H$5,Table1[[#This Row],[Payment amount]]+B902)))</f>
        <v>0</v>
      </c>
      <c r="K902">
        <v>891</v>
      </c>
      <c r="L902" s="25">
        <f>Table7[Initial Monthly Deposit]*Table9[[#This Row],[Inflation Modifier]]</f>
        <v>1731.7001784814365</v>
      </c>
      <c r="M902" s="25">
        <f xml:space="preserve"> (1+Table7[Inflation])^(QUOTIENT(Table9[[#This Row],[Month]]-1,12))</f>
        <v>4.3292504462035915</v>
      </c>
      <c r="N902">
        <f>N901*(1+Table7[Monthly SF Inter])+Table9[[#This Row],[Monthly Payment]]-O901*(1+Table7[Monthly SF Inter])</f>
        <v>682797.82998570031</v>
      </c>
      <c r="O902">
        <f>IF(MOD(Table9[[#This Row],[Month]],12)=0,(IF(Table9[[#This Row],[Current Balance]]&lt;Table9[[#This Row],[Max Lump Sum ]],Table9[[#This Row],[Current Balance]],Table9[[#This Row],[Max Lump Sum ]])),0)</f>
        <v>0</v>
      </c>
      <c r="P902" s="21">
        <f>Table7[Max annual lump sum repayment]*SUM(C903:C914)</f>
        <v>7880.3958913442566</v>
      </c>
      <c r="Q902" s="25">
        <f>Q901*(1+Table7[Monthly SF Inter])+Table9[[#This Row],[Inflation Modifier]]-R901*(1+Table7[Monthly SF Inter])</f>
        <v>13.041385353385149</v>
      </c>
      <c r="R902" s="25">
        <f>IF(MOD(Table9[[#This Row],[Month]],12)=0,Table9[[#This Row],[Q2 ACC FACTOR]],0)</f>
        <v>0</v>
      </c>
      <c r="S902" s="25">
        <f>S901*(1+D901)+Table9[[#This Row],[ACC FACTOR PAYMENTS]]</f>
        <v>22170.253050635685</v>
      </c>
    </row>
    <row r="903" spans="1:19" x14ac:dyDescent="0.25">
      <c r="A903" s="1">
        <v>891</v>
      </c>
      <c r="B903" s="1">
        <f t="shared" si="13"/>
        <v>0</v>
      </c>
      <c r="C903" s="7">
        <f>G$12/-PV(Table7[Monthly mortgage rate], (12*Table7[Amortization period (yrs)]),1 )</f>
        <v>4377.9977174134756</v>
      </c>
      <c r="D903" s="11">
        <f>IF(Table1[[#This Row],[Month]]&lt;=(12*Table7[mortgage term (yrs)]),Table7[Monthly mortgage rate],Table7[Monthly Exp Renewal Rate])</f>
        <v>4.9038466830562122E-3</v>
      </c>
      <c r="E903" s="21">
        <f>Table1[[#This Row],[Current mortgage rate]]*G902</f>
        <v>-115436.15267688435</v>
      </c>
      <c r="F903" s="5">
        <f>Table1[[#This Row],[Payment amount]]-Table1[[#This Row],[Interest paid]]</f>
        <v>119814.15039429782</v>
      </c>
      <c r="G903" s="20">
        <f>G902-Table1[[#This Row],[Principal repaid]]-Table1[[#This Row],[Annual paym]]</f>
        <v>-23659732.940216936</v>
      </c>
      <c r="H903" s="20">
        <f>H902-(Table1[[#This Row],[Payment amount]]-Table1[[#This Row],[Interest Paid W/O LSP]])</f>
        <v>-15623672.226138592</v>
      </c>
      <c r="I903">
        <f>H902*Table1[[#This Row],[Current mortgage rate]]</f>
        <v>-76220.84883697331</v>
      </c>
      <c r="J903" s="25">
        <f>IF(Table1[[#This Row],[Month]]&gt;Table7[Amortization period (yrs)]*12,0,IF(Table1[[#This Row],[Month]]&lt;Table7[mortgage term (yrs)]*12,0,IF(Table1[[#This Row],[Month]]=Table7[mortgage term (yrs)]*12,-H$5,Table1[[#This Row],[Payment amount]]+B903)))</f>
        <v>0</v>
      </c>
      <c r="K903">
        <v>892</v>
      </c>
      <c r="L903" s="25">
        <f>Table7[Initial Monthly Deposit]*Table9[[#This Row],[Inflation Modifier]]</f>
        <v>1731.7001784814365</v>
      </c>
      <c r="M903" s="25">
        <f xml:space="preserve"> (1+Table7[Inflation])^(QUOTIENT(Table9[[#This Row],[Month]]-1,12))</f>
        <v>4.3292504462035915</v>
      </c>
      <c r="N903">
        <f>N902*(1+Table7[Monthly SF Inter])+Table9[[#This Row],[Monthly Payment]]-O902*(1+Table7[Monthly SF Inter])</f>
        <v>687345.33069482667</v>
      </c>
      <c r="O903">
        <f>IF(MOD(Table9[[#This Row],[Month]],12)=0,(IF(Table9[[#This Row],[Current Balance]]&lt;Table9[[#This Row],[Max Lump Sum ]],Table9[[#This Row],[Current Balance]],Table9[[#This Row],[Max Lump Sum ]])),0)</f>
        <v>0</v>
      </c>
      <c r="P903" s="21">
        <f>Table7[Max annual lump sum repayment]*SUM(C904:C915)</f>
        <v>7880.3958913442566</v>
      </c>
      <c r="Q903" s="25">
        <f>Q902*(1+Table7[Monthly SF Inter])+Table9[[#This Row],[Inflation Modifier]]-R902*(1+Table7[Monthly SF Inter])</f>
        <v>17.424417370334471</v>
      </c>
      <c r="R903" s="25">
        <f>IF(MOD(Table9[[#This Row],[Month]],12)=0,Table9[[#This Row],[Q2 ACC FACTOR]],0)</f>
        <v>0</v>
      </c>
      <c r="S903" s="25">
        <f>S902*(1+D902)+Table9[[#This Row],[ACC FACTOR PAYMENTS]]</f>
        <v>22278.972572520561</v>
      </c>
    </row>
    <row r="904" spans="1:19" x14ac:dyDescent="0.25">
      <c r="A904" s="1">
        <v>892</v>
      </c>
      <c r="B904" s="1">
        <f t="shared" si="13"/>
        <v>0</v>
      </c>
      <c r="C904" s="7">
        <f>G$12/-PV(Table7[Monthly mortgage rate], (12*Table7[Amortization period (yrs)]),1 )</f>
        <v>4377.9977174134756</v>
      </c>
      <c r="D904" s="11">
        <f>IF(Table1[[#This Row],[Month]]&lt;=(12*Table7[mortgage term (yrs)]),Table7[Monthly mortgage rate],Table7[Monthly Exp Renewal Rate])</f>
        <v>4.9038466830562122E-3</v>
      </c>
      <c r="E904" s="21">
        <f>Table1[[#This Row],[Current mortgage rate]]*G903</f>
        <v>-116023.70290087862</v>
      </c>
      <c r="F904" s="5">
        <f>Table1[[#This Row],[Payment amount]]-Table1[[#This Row],[Interest paid]]</f>
        <v>120401.70061829209</v>
      </c>
      <c r="G904" s="20">
        <f>G903-Table1[[#This Row],[Principal repaid]]-Table1[[#This Row],[Annual paym]]</f>
        <v>-23780134.640835229</v>
      </c>
      <c r="H904" s="20">
        <f>H903-(Table1[[#This Row],[Payment amount]]-Table1[[#This Row],[Interest Paid W/O LSP]])</f>
        <v>-15704666.317079313</v>
      </c>
      <c r="I904">
        <f>H903*Table1[[#This Row],[Current mortgage rate]]</f>
        <v>-76616.093223307194</v>
      </c>
      <c r="J904" s="25">
        <f>IF(Table1[[#This Row],[Month]]&gt;Table7[Amortization period (yrs)]*12,0,IF(Table1[[#This Row],[Month]]&lt;Table7[mortgage term (yrs)]*12,0,IF(Table1[[#This Row],[Month]]=Table7[mortgage term (yrs)]*12,-H$5,Table1[[#This Row],[Payment amount]]+B904)))</f>
        <v>0</v>
      </c>
      <c r="K904">
        <v>893</v>
      </c>
      <c r="L904" s="25">
        <f>Table7[Initial Monthly Deposit]*Table9[[#This Row],[Inflation Modifier]]</f>
        <v>1731.7001784814365</v>
      </c>
      <c r="M904" s="25">
        <f xml:space="preserve"> (1+Table7[Inflation])^(QUOTIENT(Table9[[#This Row],[Month]]-1,12))</f>
        <v>4.3292504462035915</v>
      </c>
      <c r="N904">
        <f>N903*(1+Table7[Monthly SF Inter])+Table9[[#This Row],[Monthly Payment]]-O903*(1+Table7[Monthly SF Inter])</f>
        <v>691911.58491245518</v>
      </c>
      <c r="O904">
        <f>IF(MOD(Table9[[#This Row],[Month]],12)=0,(IF(Table9[[#This Row],[Current Balance]]&lt;Table9[[#This Row],[Max Lump Sum ]],Table9[[#This Row],[Current Balance]],Table9[[#This Row],[Max Lump Sum ]])),0)</f>
        <v>0</v>
      </c>
      <c r="P904" s="21">
        <f>Table7[Max annual lump sum repayment]*SUM(C905:C916)</f>
        <v>7880.3958913442566</v>
      </c>
      <c r="Q904" s="25">
        <f>Q903*(1+Table7[Monthly SF Inter])+Table9[[#This Row],[Inflation Modifier]]-R903*(1+Table7[Monthly SF Inter])</f>
        <v>21.825524640802712</v>
      </c>
      <c r="R904" s="25">
        <f>IF(MOD(Table9[[#This Row],[Month]],12)=0,Table9[[#This Row],[Q2 ACC FACTOR]],0)</f>
        <v>0</v>
      </c>
      <c r="S904" s="25">
        <f>S903*(1+D903)+Table9[[#This Row],[ACC FACTOR PAYMENTS]]</f>
        <v>22388.225238272214</v>
      </c>
    </row>
    <row r="905" spans="1:19" x14ac:dyDescent="0.25">
      <c r="A905" s="1">
        <v>893</v>
      </c>
      <c r="B905" s="1">
        <f t="shared" si="13"/>
        <v>0</v>
      </c>
      <c r="C905" s="7">
        <f>G$12/-PV(Table7[Monthly mortgage rate], (12*Table7[Amortization period (yrs)]),1 )</f>
        <v>4377.9977174134756</v>
      </c>
      <c r="D905" s="11">
        <f>IF(Table1[[#This Row],[Month]]&lt;=(12*Table7[mortgage term (yrs)]),Table7[Monthly mortgage rate],Table7[Monthly Exp Renewal Rate])</f>
        <v>4.9038466830562122E-3</v>
      </c>
      <c r="E905" s="21">
        <f>Table1[[#This Row],[Current mortgage rate]]*G904</f>
        <v>-116614.13438108997</v>
      </c>
      <c r="F905" s="5">
        <f>Table1[[#This Row],[Payment amount]]-Table1[[#This Row],[Interest paid]]</f>
        <v>120992.13209850344</v>
      </c>
      <c r="G905" s="20">
        <f>G904-Table1[[#This Row],[Principal repaid]]-Table1[[#This Row],[Annual paym]]</f>
        <v>-23901126.772933733</v>
      </c>
      <c r="H905" s="20">
        <f>H904-(Table1[[#This Row],[Payment amount]]-Table1[[#This Row],[Interest Paid W/O LSP]])</f>
        <v>-15786057.590624241</v>
      </c>
      <c r="I905">
        <f>H904*Table1[[#This Row],[Current mortgage rate]]</f>
        <v>-77013.275827514008</v>
      </c>
      <c r="J905" s="25">
        <f>IF(Table1[[#This Row],[Month]]&gt;Table7[Amortization period (yrs)]*12,0,IF(Table1[[#This Row],[Month]]&lt;Table7[mortgage term (yrs)]*12,0,IF(Table1[[#This Row],[Month]]=Table7[mortgage term (yrs)]*12,-H$5,Table1[[#This Row],[Payment amount]]+B905)))</f>
        <v>0</v>
      </c>
      <c r="K905">
        <v>894</v>
      </c>
      <c r="L905" s="25">
        <f>Table7[Initial Monthly Deposit]*Table9[[#This Row],[Inflation Modifier]]</f>
        <v>1731.7001784814365</v>
      </c>
      <c r="M905" s="25">
        <f xml:space="preserve"> (1+Table7[Inflation])^(QUOTIENT(Table9[[#This Row],[Month]]-1,12))</f>
        <v>4.3292504462035915</v>
      </c>
      <c r="N905">
        <f>N904*(1+Table7[Monthly SF Inter])+Table9[[#This Row],[Monthly Payment]]-O904*(1+Table7[Monthly SF Inter])</f>
        <v>696496.66997646948</v>
      </c>
      <c r="O905">
        <f>IF(MOD(Table9[[#This Row],[Month]],12)=0,(IF(Table9[[#This Row],[Current Balance]]&lt;Table9[[#This Row],[Max Lump Sum ]],Table9[[#This Row],[Current Balance]],Table9[[#This Row],[Max Lump Sum ]])),0)</f>
        <v>0</v>
      </c>
      <c r="P905" s="21">
        <f>Table7[Max annual lump sum repayment]*SUM(C906:C917)</f>
        <v>7880.3958913442566</v>
      </c>
      <c r="Q905" s="25">
        <f>Q904*(1+Table7[Monthly SF Inter])+Table9[[#This Row],[Inflation Modifier]]-R904*(1+Table7[Monthly SF Inter])</f>
        <v>26.244781705607398</v>
      </c>
      <c r="R905" s="25">
        <f>IF(MOD(Table9[[#This Row],[Month]],12)=0,Table9[[#This Row],[Q2 ACC FACTOR]],0)</f>
        <v>0</v>
      </c>
      <c r="S905" s="25">
        <f>S904*(1+D904)+Table9[[#This Row],[ACC FACTOR PAYMENTS]]</f>
        <v>22498.013662346431</v>
      </c>
    </row>
    <row r="906" spans="1:19" x14ac:dyDescent="0.25">
      <c r="A906" s="1">
        <v>894</v>
      </c>
      <c r="B906" s="1">
        <f t="shared" si="13"/>
        <v>0</v>
      </c>
      <c r="C906" s="7">
        <f>G$12/-PV(Table7[Monthly mortgage rate], (12*Table7[Amortization period (yrs)]),1 )</f>
        <v>4377.9977174134756</v>
      </c>
      <c r="D906" s="11">
        <f>IF(Table1[[#This Row],[Month]]&lt;=(12*Table7[mortgage term (yrs)]),Table7[Monthly mortgage rate],Table7[Monthly Exp Renewal Rate])</f>
        <v>4.9038466830562122E-3</v>
      </c>
      <c r="E906" s="21">
        <f>Table1[[#This Row],[Current mortgage rate]]*G905</f>
        <v>-117207.46124675711</v>
      </c>
      <c r="F906" s="5">
        <f>Table1[[#This Row],[Payment amount]]-Table1[[#This Row],[Interest paid]]</f>
        <v>121585.45896417058</v>
      </c>
      <c r="G906" s="20">
        <f>G905-Table1[[#This Row],[Principal repaid]]-Table1[[#This Row],[Annual paym]]</f>
        <v>-24022712.231897902</v>
      </c>
      <c r="H906" s="20">
        <f>H905-(Table1[[#This Row],[Payment amount]]-Table1[[#This Row],[Interest Paid W/O LSP]])</f>
        <v>-15867847.994495971</v>
      </c>
      <c r="I906">
        <f>H905*Table1[[#This Row],[Current mortgage rate]]</f>
        <v>-77412.406154317025</v>
      </c>
      <c r="J906" s="25">
        <f>IF(Table1[[#This Row],[Month]]&gt;Table7[Amortization period (yrs)]*12,0,IF(Table1[[#This Row],[Month]]&lt;Table7[mortgage term (yrs)]*12,0,IF(Table1[[#This Row],[Month]]=Table7[mortgage term (yrs)]*12,-H$5,Table1[[#This Row],[Payment amount]]+B906)))</f>
        <v>0</v>
      </c>
      <c r="K906">
        <v>895</v>
      </c>
      <c r="L906" s="25">
        <f>Table7[Initial Monthly Deposit]*Table9[[#This Row],[Inflation Modifier]]</f>
        <v>1731.7001784814365</v>
      </c>
      <c r="M906" s="25">
        <f xml:space="preserve"> (1+Table7[Inflation])^(QUOTIENT(Table9[[#This Row],[Month]]-1,12))</f>
        <v>4.3292504462035915</v>
      </c>
      <c r="N906">
        <f>N905*(1+Table7[Monthly SF Inter])+Table9[[#This Row],[Monthly Payment]]-O905*(1+Table7[Monthly SF Inter])</f>
        <v>701100.66354368825</v>
      </c>
      <c r="O906">
        <f>IF(MOD(Table9[[#This Row],[Month]],12)=0,(IF(Table9[[#This Row],[Current Balance]]&lt;Table9[[#This Row],[Max Lump Sum ]],Table9[[#This Row],[Current Balance]],Table9[[#This Row],[Max Lump Sum ]])),0)</f>
        <v>0</v>
      </c>
      <c r="P906" s="21">
        <f>Table7[Max annual lump sum repayment]*SUM(C907:C918)</f>
        <v>7880.3958913442566</v>
      </c>
      <c r="Q906" s="25">
        <f>Q905*(1+Table7[Monthly SF Inter])+Table9[[#This Row],[Inflation Modifier]]-R905*(1+Table7[Monthly SF Inter])</f>
        <v>30.68226341296608</v>
      </c>
      <c r="R906" s="25">
        <f>IF(MOD(Table9[[#This Row],[Month]],12)=0,Table9[[#This Row],[Q2 ACC FACTOR]],0)</f>
        <v>0</v>
      </c>
      <c r="S906" s="25">
        <f>S905*(1+D905)+Table9[[#This Row],[ACC FACTOR PAYMENTS]]</f>
        <v>22608.340472019881</v>
      </c>
    </row>
    <row r="907" spans="1:19" x14ac:dyDescent="0.25">
      <c r="A907" s="1">
        <v>895</v>
      </c>
      <c r="B907" s="1">
        <f t="shared" si="13"/>
        <v>0</v>
      </c>
      <c r="C907" s="7">
        <f>G$12/-PV(Table7[Monthly mortgage rate], (12*Table7[Amortization period (yrs)]),1 )</f>
        <v>4377.9977174134756</v>
      </c>
      <c r="D907" s="11">
        <f>IF(Table1[[#This Row],[Month]]&lt;=(12*Table7[mortgage term (yrs)]),Table7[Monthly mortgage rate],Table7[Monthly Exp Renewal Rate])</f>
        <v>4.9038466830562122E-3</v>
      </c>
      <c r="E907" s="21">
        <f>Table1[[#This Row],[Current mortgage rate]]*G906</f>
        <v>-117803.69769640642</v>
      </c>
      <c r="F907" s="5">
        <f>Table1[[#This Row],[Payment amount]]-Table1[[#This Row],[Interest paid]]</f>
        <v>122181.69541381989</v>
      </c>
      <c r="G907" s="20">
        <f>G906-Table1[[#This Row],[Principal repaid]]-Table1[[#This Row],[Annual paym]]</f>
        <v>-24144893.927311722</v>
      </c>
      <c r="H907" s="20">
        <f>H906-(Table1[[#This Row],[Payment amount]]-Table1[[#This Row],[Interest Paid W/O LSP]])</f>
        <v>-15950039.485968433</v>
      </c>
      <c r="I907">
        <f>H906*Table1[[#This Row],[Current mortgage rate]]</f>
        <v>-77813.493755049232</v>
      </c>
      <c r="J907" s="25">
        <f>IF(Table1[[#This Row],[Month]]&gt;Table7[Amortization period (yrs)]*12,0,IF(Table1[[#This Row],[Month]]&lt;Table7[mortgage term (yrs)]*12,0,IF(Table1[[#This Row],[Month]]=Table7[mortgage term (yrs)]*12,-H$5,Table1[[#This Row],[Payment amount]]+B907)))</f>
        <v>0</v>
      </c>
      <c r="K907">
        <v>896</v>
      </c>
      <c r="L907" s="25">
        <f>Table7[Initial Monthly Deposit]*Table9[[#This Row],[Inflation Modifier]]</f>
        <v>1731.7001784814365</v>
      </c>
      <c r="M907" s="25">
        <f xml:space="preserve"> (1+Table7[Inflation])^(QUOTIENT(Table9[[#This Row],[Month]]-1,12))</f>
        <v>4.3292504462035915</v>
      </c>
      <c r="N907">
        <f>N906*(1+Table7[Monthly SF Inter])+Table9[[#This Row],[Monthly Payment]]-O906*(1+Table7[Monthly SF Inter])</f>
        <v>705723.64359118033</v>
      </c>
      <c r="O907">
        <f>IF(MOD(Table9[[#This Row],[Month]],12)=0,(IF(Table9[[#This Row],[Current Balance]]&lt;Table9[[#This Row],[Max Lump Sum ]],Table9[[#This Row],[Current Balance]],Table9[[#This Row],[Max Lump Sum ]])),0)</f>
        <v>0</v>
      </c>
      <c r="P907" s="21">
        <f>Table7[Max annual lump sum repayment]*SUM(C908:C919)</f>
        <v>7880.3958913442566</v>
      </c>
      <c r="Q907" s="25">
        <f>Q906*(1+Table7[Monthly SF Inter])+Table9[[#This Row],[Inflation Modifier]]-R906*(1+Table7[Monthly SF Inter])</f>
        <v>35.138044919764027</v>
      </c>
      <c r="R907" s="25">
        <f>IF(MOD(Table9[[#This Row],[Month]],12)=0,Table9[[#This Row],[Q2 ACC FACTOR]],0)</f>
        <v>0</v>
      </c>
      <c r="S907" s="25">
        <f>S906*(1+D906)+Table9[[#This Row],[ACC FACTOR PAYMENTS]]</f>
        <v>22719.208307453002</v>
      </c>
    </row>
    <row r="908" spans="1:19" x14ac:dyDescent="0.25">
      <c r="A908" s="1">
        <v>896</v>
      </c>
      <c r="B908" s="1">
        <f t="shared" si="13"/>
        <v>0</v>
      </c>
      <c r="C908" s="7">
        <f>G$12/-PV(Table7[Monthly mortgage rate], (12*Table7[Amortization period (yrs)]),1 )</f>
        <v>4377.9977174134756</v>
      </c>
      <c r="D908" s="11">
        <f>IF(Table1[[#This Row],[Month]]&lt;=(12*Table7[mortgage term (yrs)]),Table7[Monthly mortgage rate],Table7[Monthly Exp Renewal Rate])</f>
        <v>4.9038466830562122E-3</v>
      </c>
      <c r="E908" s="21">
        <f>Table1[[#This Row],[Current mortgage rate]]*G907</f>
        <v>-118402.85799819167</v>
      </c>
      <c r="F908" s="5">
        <f>Table1[[#This Row],[Payment amount]]-Table1[[#This Row],[Interest paid]]</f>
        <v>122780.85571560514</v>
      </c>
      <c r="G908" s="20">
        <f>G907-Table1[[#This Row],[Principal repaid]]-Table1[[#This Row],[Annual paym]]</f>
        <v>-24267674.783027329</v>
      </c>
      <c r="H908" s="20">
        <f>H907-(Table1[[#This Row],[Payment amount]]-Table1[[#This Row],[Interest Paid W/O LSP]])</f>
        <v>-16032634.031913729</v>
      </c>
      <c r="I908">
        <f>H907*Table1[[#This Row],[Current mortgage rate]]</f>
        <v>-78216.548227881911</v>
      </c>
      <c r="J908" s="25">
        <f>IF(Table1[[#This Row],[Month]]&gt;Table7[Amortization period (yrs)]*12,0,IF(Table1[[#This Row],[Month]]&lt;Table7[mortgage term (yrs)]*12,0,IF(Table1[[#This Row],[Month]]=Table7[mortgage term (yrs)]*12,-H$5,Table1[[#This Row],[Payment amount]]+B908)))</f>
        <v>0</v>
      </c>
      <c r="K908">
        <v>897</v>
      </c>
      <c r="L908" s="25">
        <f>Table7[Initial Monthly Deposit]*Table9[[#This Row],[Inflation Modifier]]</f>
        <v>1731.7001784814365</v>
      </c>
      <c r="M908" s="25">
        <f xml:space="preserve"> (1+Table7[Inflation])^(QUOTIENT(Table9[[#This Row],[Month]]-1,12))</f>
        <v>4.3292504462035915</v>
      </c>
      <c r="N908">
        <f>N907*(1+Table7[Monthly SF Inter])+Table9[[#This Row],[Monthly Payment]]-O907*(1+Table7[Monthly SF Inter])</f>
        <v>710365.68841758533</v>
      </c>
      <c r="O908">
        <f>IF(MOD(Table9[[#This Row],[Month]],12)=0,(IF(Table9[[#This Row],[Current Balance]]&lt;Table9[[#This Row],[Max Lump Sum ]],Table9[[#This Row],[Current Balance]],Table9[[#This Row],[Max Lump Sum ]])),0)</f>
        <v>0</v>
      </c>
      <c r="P908" s="21">
        <f>Table7[Max annual lump sum repayment]*SUM(C909:C920)</f>
        <v>7880.3958913442566</v>
      </c>
      <c r="Q908" s="25">
        <f>Q907*(1+Table7[Monthly SF Inter])+Table9[[#This Row],[Inflation Modifier]]-R907*(1+Table7[Monthly SF Inter])</f>
        <v>39.612201692827171</v>
      </c>
      <c r="R908" s="25">
        <f>IF(MOD(Table9[[#This Row],[Month]],12)=0,Table9[[#This Row],[Q2 ACC FACTOR]],0)</f>
        <v>0</v>
      </c>
      <c r="S908" s="25">
        <f>S907*(1+D907)+Table9[[#This Row],[ACC FACTOR PAYMENTS]]</f>
        <v>22830.619821753167</v>
      </c>
    </row>
    <row r="909" spans="1:19" x14ac:dyDescent="0.25">
      <c r="A909" s="1">
        <v>897</v>
      </c>
      <c r="B909" s="1">
        <f t="shared" ref="B909:B940" si="14">O908</f>
        <v>0</v>
      </c>
      <c r="C909" s="7">
        <f>G$12/-PV(Table7[Monthly mortgage rate], (12*Table7[Amortization period (yrs)]),1 )</f>
        <v>4377.9977174134756</v>
      </c>
      <c r="D909" s="11">
        <f>IF(Table1[[#This Row],[Month]]&lt;=(12*Table7[mortgage term (yrs)]),Table7[Monthly mortgage rate],Table7[Monthly Exp Renewal Rate])</f>
        <v>4.9038466830562122E-3</v>
      </c>
      <c r="E909" s="21">
        <f>Table1[[#This Row],[Current mortgage rate]]*G908</f>
        <v>-119004.95649023545</v>
      </c>
      <c r="F909" s="5">
        <f>Table1[[#This Row],[Payment amount]]-Table1[[#This Row],[Interest paid]]</f>
        <v>123382.95420764892</v>
      </c>
      <c r="G909" s="20">
        <f>G908-Table1[[#This Row],[Principal repaid]]-Table1[[#This Row],[Annual paym]]</f>
        <v>-24391057.737234976</v>
      </c>
      <c r="H909" s="20">
        <f>H908-(Table1[[#This Row],[Payment amount]]-Table1[[#This Row],[Interest Paid W/O LSP]])</f>
        <v>-16115633.608849198</v>
      </c>
      <c r="I909">
        <f>H908*Table1[[#This Row],[Current mortgage rate]]</f>
        <v>-78621.579218054292</v>
      </c>
      <c r="J909" s="25">
        <f>IF(Table1[[#This Row],[Month]]&gt;Table7[Amortization period (yrs)]*12,0,IF(Table1[[#This Row],[Month]]&lt;Table7[mortgage term (yrs)]*12,0,IF(Table1[[#This Row],[Month]]=Table7[mortgage term (yrs)]*12,-H$5,Table1[[#This Row],[Payment amount]]+B909)))</f>
        <v>0</v>
      </c>
      <c r="K909">
        <v>898</v>
      </c>
      <c r="L909" s="25">
        <f>Table7[Initial Monthly Deposit]*Table9[[#This Row],[Inflation Modifier]]</f>
        <v>1731.7001784814365</v>
      </c>
      <c r="M909" s="25">
        <f xml:space="preserve"> (1+Table7[Inflation])^(QUOTIENT(Table9[[#This Row],[Month]]-1,12))</f>
        <v>4.3292504462035915</v>
      </c>
      <c r="N909">
        <f>N908*(1+Table7[Monthly SF Inter])+Table9[[#This Row],[Monthly Payment]]-O908*(1+Table7[Monthly SF Inter])</f>
        <v>715026.87664443988</v>
      </c>
      <c r="O909">
        <f>IF(MOD(Table9[[#This Row],[Month]],12)=0,(IF(Table9[[#This Row],[Current Balance]]&lt;Table9[[#This Row],[Max Lump Sum ]],Table9[[#This Row],[Current Balance]],Table9[[#This Row],[Max Lump Sum ]])),0)</f>
        <v>0</v>
      </c>
      <c r="P909" s="21">
        <f>Table7[Max annual lump sum repayment]*SUM(C910:C921)</f>
        <v>7880.3958913442566</v>
      </c>
      <c r="Q909" s="25">
        <f>Q908*(1+Table7[Monthly SF Inter])+Table9[[#This Row],[Inflation Modifier]]-R908*(1+Table7[Monthly SF Inter])</f>
        <v>44.104809510200226</v>
      </c>
      <c r="R909" s="25">
        <f>IF(MOD(Table9[[#This Row],[Month]],12)=0,Table9[[#This Row],[Q2 ACC FACTOR]],0)</f>
        <v>0</v>
      </c>
      <c r="S909" s="25">
        <f>S908*(1+D908)+Table9[[#This Row],[ACC FACTOR PAYMENTS]]</f>
        <v>22942.57768103819</v>
      </c>
    </row>
    <row r="910" spans="1:19" x14ac:dyDescent="0.25">
      <c r="A910" s="1">
        <v>898</v>
      </c>
      <c r="B910" s="1">
        <f t="shared" si="14"/>
        <v>0</v>
      </c>
      <c r="C910" s="7">
        <f>G$12/-PV(Table7[Monthly mortgage rate], (12*Table7[Amortization period (yrs)]),1 )</f>
        <v>4377.9977174134756</v>
      </c>
      <c r="D910" s="11">
        <f>IF(Table1[[#This Row],[Month]]&lt;=(12*Table7[mortgage term (yrs)]),Table7[Monthly mortgage rate],Table7[Monthly Exp Renewal Rate])</f>
        <v>4.9038466830562122E-3</v>
      </c>
      <c r="E910" s="21">
        <f>Table1[[#This Row],[Current mortgage rate]]*G909</f>
        <v>-119610.00758097229</v>
      </c>
      <c r="F910" s="5">
        <f>Table1[[#This Row],[Payment amount]]-Table1[[#This Row],[Interest paid]]</f>
        <v>123988.00529838576</v>
      </c>
      <c r="G910" s="20">
        <f>G909-Table1[[#This Row],[Principal repaid]]-Table1[[#This Row],[Annual paym]]</f>
        <v>-24515045.742533363</v>
      </c>
      <c r="H910" s="20">
        <f>H909-(Table1[[#This Row],[Payment amount]]-Table1[[#This Row],[Interest Paid W/O LSP]])</f>
        <v>-16199040.202984715</v>
      </c>
      <c r="I910">
        <f>H909*Table1[[#This Row],[Current mortgage rate]]</f>
        <v>-79028.596418104353</v>
      </c>
      <c r="J910" s="25">
        <f>IF(Table1[[#This Row],[Month]]&gt;Table7[Amortization period (yrs)]*12,0,IF(Table1[[#This Row],[Month]]&lt;Table7[mortgage term (yrs)]*12,0,IF(Table1[[#This Row],[Month]]=Table7[mortgage term (yrs)]*12,-H$5,Table1[[#This Row],[Payment amount]]+B910)))</f>
        <v>0</v>
      </c>
      <c r="K910">
        <v>899</v>
      </c>
      <c r="L910" s="25">
        <f>Table7[Initial Monthly Deposit]*Table9[[#This Row],[Inflation Modifier]]</f>
        <v>1731.7001784814365</v>
      </c>
      <c r="M910" s="25">
        <f xml:space="preserve"> (1+Table7[Inflation])^(QUOTIENT(Table9[[#This Row],[Month]]-1,12))</f>
        <v>4.3292504462035915</v>
      </c>
      <c r="N910">
        <f>N909*(1+Table7[Monthly SF Inter])+Table9[[#This Row],[Monthly Payment]]-O909*(1+Table7[Monthly SF Inter])</f>
        <v>719707.28721750912</v>
      </c>
      <c r="O910">
        <f>IF(MOD(Table9[[#This Row],[Month]],12)=0,(IF(Table9[[#This Row],[Current Balance]]&lt;Table9[[#This Row],[Max Lump Sum ]],Table9[[#This Row],[Current Balance]],Table9[[#This Row],[Max Lump Sum ]])),0)</f>
        <v>0</v>
      </c>
      <c r="P910" s="21">
        <f>Table7[Max annual lump sum repayment]*SUM(C911:C922)</f>
        <v>7880.3958913442566</v>
      </c>
      <c r="Q910" s="25">
        <f>Q909*(1+Table7[Monthly SF Inter])+Table9[[#This Row],[Inflation Modifier]]-R909*(1+Table7[Monthly SF Inter])</f>
        <v>48.615944462430178</v>
      </c>
      <c r="R910" s="25">
        <f>IF(MOD(Table9[[#This Row],[Month]],12)=0,Table9[[#This Row],[Q2 ACC FACTOR]],0)</f>
        <v>0</v>
      </c>
      <c r="S910" s="25">
        <f>S909*(1+D909)+Table9[[#This Row],[ACC FACTOR PAYMENTS]]</f>
        <v>23055.08456450011</v>
      </c>
    </row>
    <row r="911" spans="1:19" x14ac:dyDescent="0.25">
      <c r="A911" s="1">
        <v>899</v>
      </c>
      <c r="B911" s="1">
        <f t="shared" si="14"/>
        <v>0</v>
      </c>
      <c r="C911" s="7">
        <f>G$12/-PV(Table7[Monthly mortgage rate], (12*Table7[Amortization period (yrs)]),1 )</f>
        <v>4377.9977174134756</v>
      </c>
      <c r="D911" s="11">
        <f>IF(Table1[[#This Row],[Month]]&lt;=(12*Table7[mortgage term (yrs)]),Table7[Monthly mortgage rate],Table7[Monthly Exp Renewal Rate])</f>
        <v>4.9038466830562122E-3</v>
      </c>
      <c r="E911" s="21">
        <f>Table1[[#This Row],[Current mortgage rate]]*G910</f>
        <v>-120218.02574949355</v>
      </c>
      <c r="F911" s="5">
        <f>Table1[[#This Row],[Payment amount]]-Table1[[#This Row],[Interest paid]]</f>
        <v>124596.02346690702</v>
      </c>
      <c r="G911" s="20">
        <f>G910-Table1[[#This Row],[Principal repaid]]-Table1[[#This Row],[Annual paym]]</f>
        <v>-24639641.766000271</v>
      </c>
      <c r="H911" s="20">
        <f>H910-(Table1[[#This Row],[Payment amount]]-Table1[[#This Row],[Interest Paid W/O LSP]])</f>
        <v>-16282855.810270229</v>
      </c>
      <c r="I911">
        <f>H910*Table1[[#This Row],[Current mortgage rate]]</f>
        <v>-79437.60956810083</v>
      </c>
      <c r="J911" s="25">
        <f>IF(Table1[[#This Row],[Month]]&gt;Table7[Amortization period (yrs)]*12,0,IF(Table1[[#This Row],[Month]]&lt;Table7[mortgage term (yrs)]*12,0,IF(Table1[[#This Row],[Month]]=Table7[mortgage term (yrs)]*12,-H$5,Table1[[#This Row],[Payment amount]]+B911)))</f>
        <v>0</v>
      </c>
      <c r="K911">
        <v>900</v>
      </c>
      <c r="L911" s="25">
        <f>Table7[Initial Monthly Deposit]*Table9[[#This Row],[Inflation Modifier]]</f>
        <v>1731.7001784814365</v>
      </c>
      <c r="M911" s="25">
        <f xml:space="preserve"> (1+Table7[Inflation])^(QUOTIENT(Table9[[#This Row],[Month]]-1,12))</f>
        <v>4.3292504462035915</v>
      </c>
      <c r="N911">
        <f>N910*(1+Table7[Monthly SF Inter])+Table9[[#This Row],[Monthly Payment]]-O910*(1+Table7[Monthly SF Inter])</f>
        <v>724406.99940812378</v>
      </c>
      <c r="O911">
        <f>IF(MOD(Table9[[#This Row],[Month]],12)=0,(IF(Table9[[#This Row],[Current Balance]]&lt;Table9[[#This Row],[Max Lump Sum ]],Table9[[#This Row],[Current Balance]],Table9[[#This Row],[Max Lump Sum ]])),0)</f>
        <v>7880.3958913442566</v>
      </c>
      <c r="P911" s="21">
        <f>Table7[Max annual lump sum repayment]*SUM(C912:C923)</f>
        <v>7880.3958913442566</v>
      </c>
      <c r="Q911" s="25">
        <f>Q910*(1+Table7[Monthly SF Inter])+Table9[[#This Row],[Inflation Modifier]]-R910*(1+Table7[Monthly SF Inter])</f>
        <v>53.145682953854973</v>
      </c>
      <c r="R911" s="25">
        <f>IF(MOD(Table9[[#This Row],[Month]],12)=0,Table9[[#This Row],[Q2 ACC FACTOR]],0)</f>
        <v>53.145682953854973</v>
      </c>
      <c r="S911" s="25">
        <f>S910*(1+D910)+Table9[[#This Row],[ACC FACTOR PAYMENTS]]</f>
        <v>23221.288847423169</v>
      </c>
    </row>
    <row r="912" spans="1:19" x14ac:dyDescent="0.25">
      <c r="A912" s="1">
        <v>900</v>
      </c>
      <c r="B912" s="1">
        <f t="shared" si="14"/>
        <v>7880.3958913442566</v>
      </c>
      <c r="C912" s="7">
        <f>G$12/-PV(Table7[Monthly mortgage rate], (12*Table7[Amortization period (yrs)]),1 )</f>
        <v>4377.9977174134756</v>
      </c>
      <c r="D912" s="11">
        <f>IF(Table1[[#This Row],[Month]]&lt;=(12*Table7[mortgage term (yrs)]),Table7[Monthly mortgage rate],Table7[Monthly Exp Renewal Rate])</f>
        <v>4.9038466830562122E-3</v>
      </c>
      <c r="E912" s="21">
        <f>Table1[[#This Row],[Current mortgage rate]]*G911</f>
        <v>-120829.02554589373</v>
      </c>
      <c r="F912" s="5">
        <f>Table1[[#This Row],[Payment amount]]-Table1[[#This Row],[Interest paid]]</f>
        <v>125207.0232633072</v>
      </c>
      <c r="G912" s="20">
        <f>G911-Table1[[#This Row],[Principal repaid]]-Table1[[#This Row],[Annual paym]]</f>
        <v>-24772729.185154922</v>
      </c>
      <c r="H912" s="20">
        <f>H911-(Table1[[#This Row],[Payment amount]]-Table1[[#This Row],[Interest Paid W/O LSP]])</f>
        <v>-16367082.436443519</v>
      </c>
      <c r="I912">
        <f>H911*Table1[[#This Row],[Current mortgage rate]]</f>
        <v>-79848.628455876242</v>
      </c>
      <c r="J912" s="25">
        <f>IF(Table1[[#This Row],[Month]]&gt;Table7[Amortization period (yrs)]*12,0,IF(Table1[[#This Row],[Month]]&lt;Table7[mortgage term (yrs)]*12,0,IF(Table1[[#This Row],[Month]]=Table7[mortgage term (yrs)]*12,-H$5,Table1[[#This Row],[Payment amount]]+B912)))</f>
        <v>0</v>
      </c>
      <c r="K912">
        <v>901</v>
      </c>
      <c r="L912" s="25">
        <f>Table7[Initial Monthly Deposit]*Table9[[#This Row],[Inflation Modifier]]</f>
        <v>1766.3341820510648</v>
      </c>
      <c r="M912" s="25">
        <f xml:space="preserve"> (1+Table7[Inflation])^(QUOTIENT(Table9[[#This Row],[Month]]-1,12))</f>
        <v>4.4158354551276622</v>
      </c>
      <c r="N912">
        <f>N911*(1+Table7[Monthly SF Inter])+Table9[[#This Row],[Monthly Payment]]-O911*(1+Table7[Monthly SF Inter])</f>
        <v>721247.83284026058</v>
      </c>
      <c r="O912">
        <f>IF(MOD(Table9[[#This Row],[Month]],12)=0,(IF(Table9[[#This Row],[Current Balance]]&lt;Table9[[#This Row],[Max Lump Sum ]],Table9[[#This Row],[Current Balance]],Table9[[#This Row],[Max Lump Sum ]])),0)</f>
        <v>0</v>
      </c>
      <c r="P912" s="21">
        <f>Table7[Max annual lump sum repayment]*SUM(C913:C924)</f>
        <v>7880.3958913442566</v>
      </c>
      <c r="Q912" s="25">
        <f>Q911*(1+Table7[Monthly SF Inter])+Table9[[#This Row],[Inflation Modifier]]-R911*(1+Table7[Monthly SF Inter])</f>
        <v>4.4158354551276631</v>
      </c>
      <c r="R912" s="25">
        <f>IF(MOD(Table9[[#This Row],[Month]],12)=0,Table9[[#This Row],[Q2 ACC FACTOR]],0)</f>
        <v>0</v>
      </c>
      <c r="S912" s="25">
        <f>S911*(1+D911)+Table9[[#This Row],[ACC FACTOR PAYMENTS]]</f>
        <v>23335.162487713897</v>
      </c>
    </row>
    <row r="913" spans="1:19" x14ac:dyDescent="0.25">
      <c r="A913" s="1">
        <v>901</v>
      </c>
      <c r="B913" s="1">
        <f t="shared" si="14"/>
        <v>0</v>
      </c>
      <c r="C913" s="7">
        <f>G$12/-PV(Table7[Monthly mortgage rate], (12*Table7[Amortization period (yrs)]),1 )</f>
        <v>4377.9977174134756</v>
      </c>
      <c r="D913" s="11">
        <f>IF(Table1[[#This Row],[Month]]&lt;=(12*Table7[mortgage term (yrs)]),Table7[Monthly mortgage rate],Table7[Monthly Exp Renewal Rate])</f>
        <v>4.9038466830562122E-3</v>
      </c>
      <c r="E913" s="21">
        <f>Table1[[#This Row],[Current mortgage rate]]*G912</f>
        <v>-121481.66584487179</v>
      </c>
      <c r="F913" s="5">
        <f>Table1[[#This Row],[Payment amount]]-Table1[[#This Row],[Interest paid]]</f>
        <v>125859.66356228526</v>
      </c>
      <c r="G913" s="20">
        <f>G912-Table1[[#This Row],[Principal repaid]]-Table1[[#This Row],[Annual paym]]</f>
        <v>-24898588.848717209</v>
      </c>
      <c r="H913" s="20">
        <f>H912-(Table1[[#This Row],[Payment amount]]-Table1[[#This Row],[Interest Paid W/O LSP]])</f>
        <v>-16451722.097078193</v>
      </c>
      <c r="I913">
        <f>H912*Table1[[#This Row],[Current mortgage rate]]</f>
        <v>-80261.662917261143</v>
      </c>
      <c r="J913" s="25">
        <f>IF(Table1[[#This Row],[Month]]&gt;Table7[Amortization period (yrs)]*12,0,IF(Table1[[#This Row],[Month]]&lt;Table7[mortgage term (yrs)]*12,0,IF(Table1[[#This Row],[Month]]=Table7[mortgage term (yrs)]*12,-H$5,Table1[[#This Row],[Payment amount]]+B913)))</f>
        <v>0</v>
      </c>
      <c r="K913">
        <v>902</v>
      </c>
      <c r="L913" s="25">
        <f>Table7[Initial Monthly Deposit]*Table9[[#This Row],[Inflation Modifier]]</f>
        <v>1766.3341820510648</v>
      </c>
      <c r="M913" s="25">
        <f xml:space="preserve"> (1+Table7[Inflation])^(QUOTIENT(Table9[[#This Row],[Month]]-1,12))</f>
        <v>4.4158354551276622</v>
      </c>
      <c r="N913">
        <f>N912*(1+Table7[Monthly SF Inter])+Table9[[#This Row],[Monthly Payment]]-O912*(1+Table7[Monthly SF Inter])</f>
        <v>725988.53211436328</v>
      </c>
      <c r="O913">
        <f>IF(MOD(Table9[[#This Row],[Month]],12)=0,(IF(Table9[[#This Row],[Current Balance]]&lt;Table9[[#This Row],[Max Lump Sum ]],Table9[[#This Row],[Current Balance]],Table9[[#This Row],[Max Lump Sum ]])),0)</f>
        <v>0</v>
      </c>
      <c r="P913" s="21">
        <f>Table7[Max annual lump sum repayment]*SUM(C914:C925)</f>
        <v>7880.3958913442566</v>
      </c>
      <c r="Q913" s="25">
        <f>Q912*(1+Table7[Monthly SF Inter])+Table9[[#This Row],[Inflation Modifier]]-R912*(1+Table7[Monthly SF Inter])</f>
        <v>8.8498814423802585</v>
      </c>
      <c r="R913" s="25">
        <f>IF(MOD(Table9[[#This Row],[Month]],12)=0,Table9[[#This Row],[Q2 ACC FACTOR]],0)</f>
        <v>0</v>
      </c>
      <c r="S913" s="25">
        <f>S912*(1+D912)+Table9[[#This Row],[ACC FACTOR PAYMENTS]]</f>
        <v>23449.594546877852</v>
      </c>
    </row>
    <row r="914" spans="1:19" x14ac:dyDescent="0.25">
      <c r="A914" s="1">
        <v>902</v>
      </c>
      <c r="B914" s="1">
        <f t="shared" si="14"/>
        <v>0</v>
      </c>
      <c r="C914" s="7">
        <f>G$12/-PV(Table7[Monthly mortgage rate], (12*Table7[Amortization period (yrs)]),1 )</f>
        <v>4377.9977174134756</v>
      </c>
      <c r="D914" s="11">
        <f>IF(Table1[[#This Row],[Month]]&lt;=(12*Table7[mortgage term (yrs)]),Table7[Monthly mortgage rate],Table7[Monthly Exp Renewal Rate])</f>
        <v>4.9038466830562122E-3</v>
      </c>
      <c r="E914" s="21">
        <f>Table1[[#This Row],[Current mortgage rate]]*G913</f>
        <v>-122098.86233856228</v>
      </c>
      <c r="F914" s="5">
        <f>Table1[[#This Row],[Payment amount]]-Table1[[#This Row],[Interest paid]]</f>
        <v>126476.86005597575</v>
      </c>
      <c r="G914" s="20">
        <f>G913-Table1[[#This Row],[Principal repaid]]-Table1[[#This Row],[Annual paym]]</f>
        <v>-25025065.708773185</v>
      </c>
      <c r="H914" s="20">
        <f>H913-(Table1[[#This Row],[Payment amount]]-Table1[[#This Row],[Interest Paid W/O LSP]])</f>
        <v>-16536776.817631926</v>
      </c>
      <c r="I914">
        <f>H913*Table1[[#This Row],[Current mortgage rate]]</f>
        <v>-80676.722836319488</v>
      </c>
      <c r="J914" s="25">
        <f>IF(Table1[[#This Row],[Month]]&gt;Table7[Amortization period (yrs)]*12,0,IF(Table1[[#This Row],[Month]]&lt;Table7[mortgage term (yrs)]*12,0,IF(Table1[[#This Row],[Month]]=Table7[mortgage term (yrs)]*12,-H$5,Table1[[#This Row],[Payment amount]]+B914)))</f>
        <v>0</v>
      </c>
      <c r="K914">
        <v>903</v>
      </c>
      <c r="L914" s="25">
        <f>Table7[Initial Monthly Deposit]*Table9[[#This Row],[Inflation Modifier]]</f>
        <v>1766.3341820510648</v>
      </c>
      <c r="M914" s="25">
        <f xml:space="preserve"> (1+Table7[Inflation])^(QUOTIENT(Table9[[#This Row],[Month]]-1,12))</f>
        <v>4.4158354551276622</v>
      </c>
      <c r="N914">
        <f>N913*(1+Table7[Monthly SF Inter])+Table9[[#This Row],[Monthly Payment]]-O913*(1+Table7[Monthly SF Inter])</f>
        <v>730748.78163151804</v>
      </c>
      <c r="O914">
        <f>IF(MOD(Table9[[#This Row],[Month]],12)=0,(IF(Table9[[#This Row],[Current Balance]]&lt;Table9[[#This Row],[Max Lump Sum ]],Table9[[#This Row],[Current Balance]],Table9[[#This Row],[Max Lump Sum ]])),0)</f>
        <v>0</v>
      </c>
      <c r="P914" s="21">
        <f>Table7[Max annual lump sum repayment]*SUM(C915:C926)</f>
        <v>7880.3958913442566</v>
      </c>
      <c r="Q914" s="25">
        <f>Q913*(1+Table7[Monthly SF Inter])+Table9[[#This Row],[Inflation Modifier]]-R913*(1+Table7[Monthly SF Inter])</f>
        <v>13.302213060452846</v>
      </c>
      <c r="R914" s="25">
        <f>IF(MOD(Table9[[#This Row],[Month]],12)=0,Table9[[#This Row],[Q2 ACC FACTOR]],0)</f>
        <v>0</v>
      </c>
      <c r="S914" s="25">
        <f>S913*(1+D913)+Table9[[#This Row],[ACC FACTOR PAYMENTS]]</f>
        <v>23564.587763315572</v>
      </c>
    </row>
    <row r="915" spans="1:19" x14ac:dyDescent="0.25">
      <c r="A915" s="1">
        <v>903</v>
      </c>
      <c r="B915" s="1">
        <f t="shared" si="14"/>
        <v>0</v>
      </c>
      <c r="C915" s="7">
        <f>G$12/-PV(Table7[Monthly mortgage rate], (12*Table7[Amortization period (yrs)]),1 )</f>
        <v>4377.9977174134756</v>
      </c>
      <c r="D915" s="11">
        <f>IF(Table1[[#This Row],[Month]]&lt;=(12*Table7[mortgage term (yrs)]),Table7[Monthly mortgage rate],Table7[Monthly Exp Renewal Rate])</f>
        <v>4.9038466830562122E-3</v>
      </c>
      <c r="E915" s="21">
        <f>Table1[[#This Row],[Current mortgage rate]]*G914</f>
        <v>-122719.08546923114</v>
      </c>
      <c r="F915" s="5">
        <f>Table1[[#This Row],[Payment amount]]-Table1[[#This Row],[Interest paid]]</f>
        <v>127097.08318664461</v>
      </c>
      <c r="G915" s="20">
        <f>G914-Table1[[#This Row],[Principal repaid]]-Table1[[#This Row],[Annual paym]]</f>
        <v>-25152162.79195983</v>
      </c>
      <c r="H915" s="20">
        <f>H914-(Table1[[#This Row],[Payment amount]]-Table1[[#This Row],[Interest Paid W/O LSP]])</f>
        <v>-16622248.633494925</v>
      </c>
      <c r="I915">
        <f>H914*Table1[[#This Row],[Current mortgage rate]]</f>
        <v>-81093.818145585188</v>
      </c>
      <c r="J915" s="25">
        <f>IF(Table1[[#This Row],[Month]]&gt;Table7[Amortization period (yrs)]*12,0,IF(Table1[[#This Row],[Month]]&lt;Table7[mortgage term (yrs)]*12,0,IF(Table1[[#This Row],[Month]]=Table7[mortgage term (yrs)]*12,-H$5,Table1[[#This Row],[Payment amount]]+B915)))</f>
        <v>0</v>
      </c>
      <c r="K915">
        <v>904</v>
      </c>
      <c r="L915" s="25">
        <f>Table7[Initial Monthly Deposit]*Table9[[#This Row],[Inflation Modifier]]</f>
        <v>1766.3341820510648</v>
      </c>
      <c r="M915" s="25">
        <f xml:space="preserve"> (1+Table7[Inflation])^(QUOTIENT(Table9[[#This Row],[Month]]-1,12))</f>
        <v>4.4158354551276622</v>
      </c>
      <c r="N915">
        <f>N914*(1+Table7[Monthly SF Inter])+Table9[[#This Row],[Monthly Payment]]-O914*(1+Table7[Monthly SF Inter])</f>
        <v>735528.66201527452</v>
      </c>
      <c r="O915">
        <f>IF(MOD(Table9[[#This Row],[Month]],12)=0,(IF(Table9[[#This Row],[Current Balance]]&lt;Table9[[#This Row],[Max Lump Sum ]],Table9[[#This Row],[Current Balance]],Table9[[#This Row],[Max Lump Sum ]])),0)</f>
        <v>0</v>
      </c>
      <c r="P915" s="21">
        <f>Table7[Max annual lump sum repayment]*SUM(C916:C927)</f>
        <v>7880.3958913442566</v>
      </c>
      <c r="Q915" s="25">
        <f>Q914*(1+Table7[Monthly SF Inter])+Table9[[#This Row],[Inflation Modifier]]-R914*(1+Table7[Monthly SF Inter])</f>
        <v>17.772905717741153</v>
      </c>
      <c r="R915" s="25">
        <f>IF(MOD(Table9[[#This Row],[Month]],12)=0,Table9[[#This Row],[Q2 ACC FACTOR]],0)</f>
        <v>0</v>
      </c>
      <c r="S915" s="25">
        <f>S914*(1+D914)+Table9[[#This Row],[ACC FACTOR PAYMENTS]]</f>
        <v>23680.144888856295</v>
      </c>
    </row>
    <row r="916" spans="1:19" x14ac:dyDescent="0.25">
      <c r="A916" s="1">
        <v>904</v>
      </c>
      <c r="B916" s="1">
        <f t="shared" si="14"/>
        <v>0</v>
      </c>
      <c r="C916" s="7">
        <f>G$12/-PV(Table7[Monthly mortgage rate], (12*Table7[Amortization period (yrs)]),1 )</f>
        <v>4377.9977174134756</v>
      </c>
      <c r="D916" s="11">
        <f>IF(Table1[[#This Row],[Month]]&lt;=(12*Table7[mortgage term (yrs)]),Table7[Monthly mortgage rate],Table7[Monthly Exp Renewal Rate])</f>
        <v>4.9038466830562122E-3</v>
      </c>
      <c r="E916" s="21">
        <f>Table1[[#This Row],[Current mortgage rate]]*G915</f>
        <v>-123342.35007904209</v>
      </c>
      <c r="F916" s="5">
        <f>Table1[[#This Row],[Payment amount]]-Table1[[#This Row],[Interest paid]]</f>
        <v>127720.34779645556</v>
      </c>
      <c r="G916" s="20">
        <f>G915-Table1[[#This Row],[Principal repaid]]-Table1[[#This Row],[Annual paym]]</f>
        <v>-25279883.139756285</v>
      </c>
      <c r="H916" s="20">
        <f>H915-(Table1[[#This Row],[Payment amount]]-Table1[[#This Row],[Interest Paid W/O LSP]])</f>
        <v>-16708139.590038639</v>
      </c>
      <c r="I916">
        <f>H915*Table1[[#This Row],[Current mortgage rate]]</f>
        <v>-81512.958826299742</v>
      </c>
      <c r="J916" s="25">
        <f>IF(Table1[[#This Row],[Month]]&gt;Table7[Amortization period (yrs)]*12,0,IF(Table1[[#This Row],[Month]]&lt;Table7[mortgage term (yrs)]*12,0,IF(Table1[[#This Row],[Month]]=Table7[mortgage term (yrs)]*12,-H$5,Table1[[#This Row],[Payment amount]]+B916)))</f>
        <v>0</v>
      </c>
      <c r="K916">
        <v>905</v>
      </c>
      <c r="L916" s="25">
        <f>Table7[Initial Monthly Deposit]*Table9[[#This Row],[Inflation Modifier]]</f>
        <v>1766.3341820510648</v>
      </c>
      <c r="M916" s="25">
        <f xml:space="preserve"> (1+Table7[Inflation])^(QUOTIENT(Table9[[#This Row],[Month]]-1,12))</f>
        <v>4.4158354551276622</v>
      </c>
      <c r="N916">
        <f>N915*(1+Table7[Monthly SF Inter])+Table9[[#This Row],[Monthly Payment]]-O915*(1+Table7[Monthly SF Inter])</f>
        <v>740328.25422166719</v>
      </c>
      <c r="O916">
        <f>IF(MOD(Table9[[#This Row],[Month]],12)=0,(IF(Table9[[#This Row],[Current Balance]]&lt;Table9[[#This Row],[Max Lump Sum ]],Table9[[#This Row],[Current Balance]],Table9[[#This Row],[Max Lump Sum ]])),0)</f>
        <v>0</v>
      </c>
      <c r="P916" s="21">
        <f>Table7[Max annual lump sum repayment]*SUM(C917:C928)</f>
        <v>7880.3958913442566</v>
      </c>
      <c r="Q916" s="25">
        <f>Q915*(1+Table7[Monthly SF Inter])+Table9[[#This Row],[Inflation Modifier]]-R915*(1+Table7[Monthly SF Inter])</f>
        <v>22.26203513361876</v>
      </c>
      <c r="R916" s="25">
        <f>IF(MOD(Table9[[#This Row],[Month]],12)=0,Table9[[#This Row],[Q2 ACC FACTOR]],0)</f>
        <v>0</v>
      </c>
      <c r="S916" s="25">
        <f>S915*(1+D915)+Table9[[#This Row],[ACC FACTOR PAYMENTS]]</f>
        <v>23796.268688823802</v>
      </c>
    </row>
    <row r="917" spans="1:19" x14ac:dyDescent="0.25">
      <c r="A917" s="1">
        <v>905</v>
      </c>
      <c r="B917" s="1">
        <f t="shared" si="14"/>
        <v>0</v>
      </c>
      <c r="C917" s="7">
        <f>G$12/-PV(Table7[Monthly mortgage rate], (12*Table7[Amortization period (yrs)]),1 )</f>
        <v>4377.9977174134756</v>
      </c>
      <c r="D917" s="11">
        <f>IF(Table1[[#This Row],[Month]]&lt;=(12*Table7[mortgage term (yrs)]),Table7[Monthly mortgage rate],Table7[Monthly Exp Renewal Rate])</f>
        <v>4.9038466830562122E-3</v>
      </c>
      <c r="E917" s="21">
        <f>Table1[[#This Row],[Current mortgage rate]]*G916</f>
        <v>-123968.67108294251</v>
      </c>
      <c r="F917" s="5">
        <f>Table1[[#This Row],[Payment amount]]-Table1[[#This Row],[Interest paid]]</f>
        <v>128346.66880035598</v>
      </c>
      <c r="G917" s="20">
        <f>G916-Table1[[#This Row],[Principal repaid]]-Table1[[#This Row],[Annual paym]]</f>
        <v>-25408229.808556642</v>
      </c>
      <c r="H917" s="20">
        <f>H916-(Table1[[#This Row],[Payment amount]]-Table1[[#This Row],[Interest Paid W/O LSP]])</f>
        <v>-16794451.742664702</v>
      </c>
      <c r="I917">
        <f>H916*Table1[[#This Row],[Current mortgage rate]]</f>
        <v>-81934.154908651151</v>
      </c>
      <c r="J917" s="25">
        <f>IF(Table1[[#This Row],[Month]]&gt;Table7[Amortization period (yrs)]*12,0,IF(Table1[[#This Row],[Month]]&lt;Table7[mortgage term (yrs)]*12,0,IF(Table1[[#This Row],[Month]]=Table7[mortgage term (yrs)]*12,-H$5,Table1[[#This Row],[Payment amount]]+B917)))</f>
        <v>0</v>
      </c>
      <c r="K917">
        <v>906</v>
      </c>
      <c r="L917" s="25">
        <f>Table7[Initial Monthly Deposit]*Table9[[#This Row],[Inflation Modifier]]</f>
        <v>1766.3341820510648</v>
      </c>
      <c r="M917" s="25">
        <f xml:space="preserve"> (1+Table7[Inflation])^(QUOTIENT(Table9[[#This Row],[Month]]-1,12))</f>
        <v>4.4158354551276622</v>
      </c>
      <c r="N917">
        <f>N916*(1+Table7[Monthly SF Inter])+Table9[[#This Row],[Monthly Payment]]-O916*(1+Table7[Monthly SF Inter])</f>
        <v>745147.63954058615</v>
      </c>
      <c r="O917">
        <f>IF(MOD(Table9[[#This Row],[Month]],12)=0,(IF(Table9[[#This Row],[Current Balance]]&lt;Table9[[#This Row],[Max Lump Sum ]],Table9[[#This Row],[Current Balance]],Table9[[#This Row],[Max Lump Sum ]])),0)</f>
        <v>0</v>
      </c>
      <c r="P917" s="21">
        <f>Table7[Max annual lump sum repayment]*SUM(C918:C929)</f>
        <v>7880.3958913442566</v>
      </c>
      <c r="Q917" s="25">
        <f>Q916*(1+Table7[Monthly SF Inter])+Table9[[#This Row],[Inflation Modifier]]-R916*(1+Table7[Monthly SF Inter])</f>
        <v>26.769677339719536</v>
      </c>
      <c r="R917" s="25">
        <f>IF(MOD(Table9[[#This Row],[Month]],12)=0,Table9[[#This Row],[Q2 ACC FACTOR]],0)</f>
        <v>0</v>
      </c>
      <c r="S917" s="25">
        <f>S916*(1+D916)+Table9[[#This Row],[ACC FACTOR PAYMENTS]]</f>
        <v>23912.961942102604</v>
      </c>
    </row>
    <row r="918" spans="1:19" x14ac:dyDescent="0.25">
      <c r="A918" s="1">
        <v>906</v>
      </c>
      <c r="B918" s="1">
        <f t="shared" si="14"/>
        <v>0</v>
      </c>
      <c r="C918" s="7">
        <f>G$12/-PV(Table7[Monthly mortgage rate], (12*Table7[Amortization period (yrs)]),1 )</f>
        <v>4377.9977174134756</v>
      </c>
      <c r="D918" s="11">
        <f>IF(Table1[[#This Row],[Month]]&lt;=(12*Table7[mortgage term (yrs)]),Table7[Monthly mortgage rate],Table7[Monthly Exp Renewal Rate])</f>
        <v>4.9038466830562122E-3</v>
      </c>
      <c r="E918" s="21">
        <f>Table1[[#This Row],[Current mortgage rate]]*G917</f>
        <v>-124598.06346902048</v>
      </c>
      <c r="F918" s="5">
        <f>Table1[[#This Row],[Payment amount]]-Table1[[#This Row],[Interest paid]]</f>
        <v>128976.06118643394</v>
      </c>
      <c r="G918" s="20">
        <f>G917-Table1[[#This Row],[Principal repaid]]-Table1[[#This Row],[Annual paym]]</f>
        <v>-25537205.869743075</v>
      </c>
      <c r="H918" s="20">
        <f>H917-(Table1[[#This Row],[Payment amount]]-Table1[[#This Row],[Interest Paid W/O LSP]])</f>
        <v>-16881187.15685413</v>
      </c>
      <c r="I918">
        <f>H917*Table1[[#This Row],[Current mortgage rate]]</f>
        <v>-82357.416472013923</v>
      </c>
      <c r="J918" s="25">
        <f>IF(Table1[[#This Row],[Month]]&gt;Table7[Amortization period (yrs)]*12,0,IF(Table1[[#This Row],[Month]]&lt;Table7[mortgage term (yrs)]*12,0,IF(Table1[[#This Row],[Month]]=Table7[mortgage term (yrs)]*12,-H$5,Table1[[#This Row],[Payment amount]]+B918)))</f>
        <v>0</v>
      </c>
      <c r="K918">
        <v>907</v>
      </c>
      <c r="L918" s="25">
        <f>Table7[Initial Monthly Deposit]*Table9[[#This Row],[Inflation Modifier]]</f>
        <v>1766.3341820510648</v>
      </c>
      <c r="M918" s="25">
        <f xml:space="preserve"> (1+Table7[Inflation])^(QUOTIENT(Table9[[#This Row],[Month]]-1,12))</f>
        <v>4.4158354551276622</v>
      </c>
      <c r="N918">
        <f>N917*(1+Table7[Monthly SF Inter])+Table9[[#This Row],[Monthly Payment]]-O917*(1+Table7[Monthly SF Inter])</f>
        <v>749986.89959715435</v>
      </c>
      <c r="O918">
        <f>IF(MOD(Table9[[#This Row],[Month]],12)=0,(IF(Table9[[#This Row],[Current Balance]]&lt;Table9[[#This Row],[Max Lump Sum ]],Table9[[#This Row],[Current Balance]],Table9[[#This Row],[Max Lump Sum ]])),0)</f>
        <v>0</v>
      </c>
      <c r="P918" s="21">
        <f>Table7[Max annual lump sum repayment]*SUM(C919:C930)</f>
        <v>7880.3958913442566</v>
      </c>
      <c r="Q918" s="25">
        <f>Q917*(1+Table7[Monthly SF Inter])+Table9[[#This Row],[Inflation Modifier]]-R917*(1+Table7[Monthly SF Inter])</f>
        <v>31.295908681225388</v>
      </c>
      <c r="R918" s="25">
        <f>IF(MOD(Table9[[#This Row],[Month]],12)=0,Table9[[#This Row],[Q2 ACC FACTOR]],0)</f>
        <v>0</v>
      </c>
      <c r="S918" s="25">
        <f>S917*(1+D917)+Table9[[#This Row],[ACC FACTOR PAYMENTS]]</f>
        <v>24030.227441204432</v>
      </c>
    </row>
    <row r="919" spans="1:19" x14ac:dyDescent="0.25">
      <c r="A919" s="1">
        <v>907</v>
      </c>
      <c r="B919" s="1">
        <f t="shared" si="14"/>
        <v>0</v>
      </c>
      <c r="C919" s="7">
        <f>G$12/-PV(Table7[Monthly mortgage rate], (12*Table7[Amortization period (yrs)]),1 )</f>
        <v>4377.9977174134756</v>
      </c>
      <c r="D919" s="11">
        <f>IF(Table1[[#This Row],[Month]]&lt;=(12*Table7[mortgage term (yrs)]),Table7[Monthly mortgage rate],Table7[Monthly Exp Renewal Rate])</f>
        <v>4.9038466830562122E-3</v>
      </c>
      <c r="E919" s="21">
        <f>Table1[[#This Row],[Current mortgage rate]]*G918</f>
        <v>-125230.54229886321</v>
      </c>
      <c r="F919" s="5">
        <f>Table1[[#This Row],[Payment amount]]-Table1[[#This Row],[Interest paid]]</f>
        <v>129608.54001627667</v>
      </c>
      <c r="G919" s="20">
        <f>G918-Table1[[#This Row],[Principal repaid]]-Table1[[#This Row],[Annual paym]]</f>
        <v>-25666814.40975935</v>
      </c>
      <c r="H919" s="20">
        <f>H918-(Table1[[#This Row],[Payment amount]]-Table1[[#This Row],[Interest Paid W/O LSP]])</f>
        <v>-16968347.908216733</v>
      </c>
      <c r="I919">
        <f>H918*Table1[[#This Row],[Current mortgage rate]]</f>
        <v>-82782.753645190256</v>
      </c>
      <c r="J919" s="25">
        <f>IF(Table1[[#This Row],[Month]]&gt;Table7[Amortization period (yrs)]*12,0,IF(Table1[[#This Row],[Month]]&lt;Table7[mortgage term (yrs)]*12,0,IF(Table1[[#This Row],[Month]]=Table7[mortgage term (yrs)]*12,-H$5,Table1[[#This Row],[Payment amount]]+B919)))</f>
        <v>0</v>
      </c>
      <c r="K919">
        <v>908</v>
      </c>
      <c r="L919" s="25">
        <f>Table7[Initial Monthly Deposit]*Table9[[#This Row],[Inflation Modifier]]</f>
        <v>1766.3341820510648</v>
      </c>
      <c r="M919" s="25">
        <f xml:space="preserve"> (1+Table7[Inflation])^(QUOTIENT(Table9[[#This Row],[Month]]-1,12))</f>
        <v>4.4158354551276622</v>
      </c>
      <c r="N919">
        <f>N918*(1+Table7[Monthly SF Inter])+Table9[[#This Row],[Monthly Payment]]-O918*(1+Table7[Monthly SF Inter])</f>
        <v>754846.1163531096</v>
      </c>
      <c r="O919">
        <f>IF(MOD(Table9[[#This Row],[Month]],12)=0,(IF(Table9[[#This Row],[Current Balance]]&lt;Table9[[#This Row],[Max Lump Sum ]],Table9[[#This Row],[Current Balance]],Table9[[#This Row],[Max Lump Sum ]])),0)</f>
        <v>0</v>
      </c>
      <c r="P919" s="21">
        <f>Table7[Max annual lump sum repayment]*SUM(C920:C931)</f>
        <v>7880.3958913442566</v>
      </c>
      <c r="Q919" s="25">
        <f>Q918*(1+Table7[Monthly SF Inter])+Table9[[#This Row],[Inflation Modifier]]-R918*(1+Table7[Monthly SF Inter])</f>
        <v>35.840805818159296</v>
      </c>
      <c r="R919" s="25">
        <f>IF(MOD(Table9[[#This Row],[Month]],12)=0,Table9[[#This Row],[Q2 ACC FACTOR]],0)</f>
        <v>0</v>
      </c>
      <c r="S919" s="25">
        <f>S918*(1+D918)+Table9[[#This Row],[ACC FACTOR PAYMENTS]]</f>
        <v>24148.067992335069</v>
      </c>
    </row>
    <row r="920" spans="1:19" x14ac:dyDescent="0.25">
      <c r="A920" s="1">
        <v>908</v>
      </c>
      <c r="B920" s="1">
        <f t="shared" si="14"/>
        <v>0</v>
      </c>
      <c r="C920" s="7">
        <f>G$12/-PV(Table7[Monthly mortgage rate], (12*Table7[Amortization period (yrs)]),1 )</f>
        <v>4377.9977174134756</v>
      </c>
      <c r="D920" s="11">
        <f>IF(Table1[[#This Row],[Month]]&lt;=(12*Table7[mortgage term (yrs)]),Table7[Monthly mortgage rate],Table7[Monthly Exp Renewal Rate])</f>
        <v>4.9038466830562122E-3</v>
      </c>
      <c r="E920" s="21">
        <f>Table1[[#This Row],[Current mortgage rate]]*G919</f>
        <v>-125866.12270791778</v>
      </c>
      <c r="F920" s="5">
        <f>Table1[[#This Row],[Payment amount]]-Table1[[#This Row],[Interest paid]]</f>
        <v>130244.12042533125</v>
      </c>
      <c r="G920" s="20">
        <f>G919-Table1[[#This Row],[Principal repaid]]-Table1[[#This Row],[Annual paym]]</f>
        <v>-25797058.530184682</v>
      </c>
      <c r="H920" s="20">
        <f>H919-(Table1[[#This Row],[Payment amount]]-Table1[[#This Row],[Interest Paid W/O LSP]])</f>
        <v>-17055936.082540799</v>
      </c>
      <c r="I920">
        <f>H919*Table1[[#This Row],[Current mortgage rate]]</f>
        <v>-83210.176606652443</v>
      </c>
      <c r="J920" s="25">
        <f>IF(Table1[[#This Row],[Month]]&gt;Table7[Amortization period (yrs)]*12,0,IF(Table1[[#This Row],[Month]]&lt;Table7[mortgage term (yrs)]*12,0,IF(Table1[[#This Row],[Month]]=Table7[mortgage term (yrs)]*12,-H$5,Table1[[#This Row],[Payment amount]]+B920)))</f>
        <v>0</v>
      </c>
      <c r="K920">
        <v>909</v>
      </c>
      <c r="L920" s="25">
        <f>Table7[Initial Monthly Deposit]*Table9[[#This Row],[Inflation Modifier]]</f>
        <v>1766.3341820510648</v>
      </c>
      <c r="M920" s="25">
        <f xml:space="preserve"> (1+Table7[Inflation])^(QUOTIENT(Table9[[#This Row],[Month]]-1,12))</f>
        <v>4.4158354551276622</v>
      </c>
      <c r="N920">
        <f>N919*(1+Table7[Monthly SF Inter])+Table9[[#This Row],[Monthly Payment]]-O919*(1+Table7[Monthly SF Inter])</f>
        <v>759725.37210819323</v>
      </c>
      <c r="O920">
        <f>IF(MOD(Table9[[#This Row],[Month]],12)=0,(IF(Table9[[#This Row],[Current Balance]]&lt;Table9[[#This Row],[Max Lump Sum ]],Table9[[#This Row],[Current Balance]],Table9[[#This Row],[Max Lump Sum ]])),0)</f>
        <v>0</v>
      </c>
      <c r="P920" s="21">
        <f>Table7[Max annual lump sum repayment]*SUM(C921:C932)</f>
        <v>7880.3958913442566</v>
      </c>
      <c r="Q920" s="25">
        <f>Q919*(1+Table7[Monthly SF Inter])+Table9[[#This Row],[Inflation Modifier]]-R919*(1+Table7[Monthly SF Inter])</f>
        <v>40.404445726683697</v>
      </c>
      <c r="R920" s="25">
        <f>IF(MOD(Table9[[#This Row],[Month]],12)=0,Table9[[#This Row],[Q2 ACC FACTOR]],0)</f>
        <v>0</v>
      </c>
      <c r="S920" s="25">
        <f>S919*(1+D919)+Table9[[#This Row],[ACC FACTOR PAYMENTS]]</f>
        <v>24266.486415461499</v>
      </c>
    </row>
    <row r="921" spans="1:19" x14ac:dyDescent="0.25">
      <c r="A921" s="1">
        <v>909</v>
      </c>
      <c r="B921" s="1">
        <f t="shared" si="14"/>
        <v>0</v>
      </c>
      <c r="C921" s="7">
        <f>G$12/-PV(Table7[Monthly mortgage rate], (12*Table7[Amortization period (yrs)]),1 )</f>
        <v>4377.9977174134756</v>
      </c>
      <c r="D921" s="11">
        <f>IF(Table1[[#This Row],[Month]]&lt;=(12*Table7[mortgage term (yrs)]),Table7[Monthly mortgage rate],Table7[Monthly Exp Renewal Rate])</f>
        <v>4.9038466830562122E-3</v>
      </c>
      <c r="E921" s="21">
        <f>Table1[[#This Row],[Current mortgage rate]]*G920</f>
        <v>-126504.81990585312</v>
      </c>
      <c r="F921" s="5">
        <f>Table1[[#This Row],[Payment amount]]-Table1[[#This Row],[Interest paid]]</f>
        <v>130882.81762326659</v>
      </c>
      <c r="G921" s="20">
        <f>G920-Table1[[#This Row],[Principal repaid]]-Table1[[#This Row],[Annual paym]]</f>
        <v>-25927941.347807948</v>
      </c>
      <c r="H921" s="20">
        <f>H920-(Table1[[#This Row],[Payment amount]]-Table1[[#This Row],[Interest Paid W/O LSP]])</f>
        <v>-17143953.775842998</v>
      </c>
      <c r="I921">
        <f>H920*Table1[[#This Row],[Current mortgage rate]]</f>
        <v>-83639.695584786459</v>
      </c>
      <c r="J921" s="25">
        <f>IF(Table1[[#This Row],[Month]]&gt;Table7[Amortization period (yrs)]*12,0,IF(Table1[[#This Row],[Month]]&lt;Table7[mortgage term (yrs)]*12,0,IF(Table1[[#This Row],[Month]]=Table7[mortgage term (yrs)]*12,-H$5,Table1[[#This Row],[Payment amount]]+B921)))</f>
        <v>0</v>
      </c>
      <c r="K921">
        <v>910</v>
      </c>
      <c r="L921" s="25">
        <f>Table7[Initial Monthly Deposit]*Table9[[#This Row],[Inflation Modifier]]</f>
        <v>1766.3341820510648</v>
      </c>
      <c r="M921" s="25">
        <f xml:space="preserve"> (1+Table7[Inflation])^(QUOTIENT(Table9[[#This Row],[Month]]-1,12))</f>
        <v>4.4158354551276622</v>
      </c>
      <c r="N921">
        <f>N920*(1+Table7[Monthly SF Inter])+Table9[[#This Row],[Monthly Payment]]-O920*(1+Table7[Monthly SF Inter])</f>
        <v>764624.7495015437</v>
      </c>
      <c r="O921">
        <f>IF(MOD(Table9[[#This Row],[Month]],12)=0,(IF(Table9[[#This Row],[Current Balance]]&lt;Table9[[#This Row],[Max Lump Sum ]],Table9[[#This Row],[Current Balance]],Table9[[#This Row],[Max Lump Sum ]])),0)</f>
        <v>0</v>
      </c>
      <c r="P921" s="21">
        <f>Table7[Max annual lump sum repayment]*SUM(C922:C933)</f>
        <v>7880.3958913442566</v>
      </c>
      <c r="Q921" s="25">
        <f>Q920*(1+Table7[Monthly SF Inter])+Table9[[#This Row],[Inflation Modifier]]-R920*(1+Table7[Monthly SF Inter])</f>
        <v>44.986905700404215</v>
      </c>
      <c r="R921" s="25">
        <f>IF(MOD(Table9[[#This Row],[Month]],12)=0,Table9[[#This Row],[Q2 ACC FACTOR]],0)</f>
        <v>0</v>
      </c>
      <c r="S921" s="25">
        <f>S920*(1+D920)+Table9[[#This Row],[ACC FACTOR PAYMENTS]]</f>
        <v>24385.485544379389</v>
      </c>
    </row>
    <row r="922" spans="1:19" x14ac:dyDescent="0.25">
      <c r="A922" s="1">
        <v>910</v>
      </c>
      <c r="B922" s="1">
        <f t="shared" si="14"/>
        <v>0</v>
      </c>
      <c r="C922" s="7">
        <f>G$12/-PV(Table7[Monthly mortgage rate], (12*Table7[Amortization period (yrs)]),1 )</f>
        <v>4377.9977174134756</v>
      </c>
      <c r="D922" s="11">
        <f>IF(Table1[[#This Row],[Month]]&lt;=(12*Table7[mortgage term (yrs)]),Table7[Monthly mortgage rate],Table7[Monthly Exp Renewal Rate])</f>
        <v>4.9038466830562122E-3</v>
      </c>
      <c r="E922" s="21">
        <f>Table1[[#This Row],[Current mortgage rate]]*G921</f>
        <v>-127146.64917692402</v>
      </c>
      <c r="F922" s="5">
        <f>Table1[[#This Row],[Payment amount]]-Table1[[#This Row],[Interest paid]]</f>
        <v>131524.64689433749</v>
      </c>
      <c r="G922" s="20">
        <f>G921-Table1[[#This Row],[Principal repaid]]-Table1[[#This Row],[Annual paym]]</f>
        <v>-26059465.994702283</v>
      </c>
      <c r="H922" s="20">
        <f>H921-(Table1[[#This Row],[Payment amount]]-Table1[[#This Row],[Interest Paid W/O LSP]])</f>
        <v>-17232403.094418548</v>
      </c>
      <c r="I922">
        <f>H921*Table1[[#This Row],[Current mortgage rate]]</f>
        <v>-84071.320858136707</v>
      </c>
      <c r="J922" s="25">
        <f>IF(Table1[[#This Row],[Month]]&gt;Table7[Amortization period (yrs)]*12,0,IF(Table1[[#This Row],[Month]]&lt;Table7[mortgage term (yrs)]*12,0,IF(Table1[[#This Row],[Month]]=Table7[mortgage term (yrs)]*12,-H$5,Table1[[#This Row],[Payment amount]]+B922)))</f>
        <v>0</v>
      </c>
      <c r="K922">
        <v>911</v>
      </c>
      <c r="L922" s="25">
        <f>Table7[Initial Monthly Deposit]*Table9[[#This Row],[Inflation Modifier]]</f>
        <v>1766.3341820510648</v>
      </c>
      <c r="M922" s="25">
        <f xml:space="preserve"> (1+Table7[Inflation])^(QUOTIENT(Table9[[#This Row],[Month]]-1,12))</f>
        <v>4.4158354551276622</v>
      </c>
      <c r="N922">
        <f>N921*(1+Table7[Monthly SF Inter])+Table9[[#This Row],[Monthly Payment]]-O921*(1+Table7[Monthly SF Inter])</f>
        <v>769544.33151309611</v>
      </c>
      <c r="O922">
        <f>IF(MOD(Table9[[#This Row],[Month]],12)=0,(IF(Table9[[#This Row],[Current Balance]]&lt;Table9[[#This Row],[Max Lump Sum ]],Table9[[#This Row],[Current Balance]],Table9[[#This Row],[Max Lump Sum ]])),0)</f>
        <v>0</v>
      </c>
      <c r="P922" s="21">
        <f>Table7[Max annual lump sum repayment]*SUM(C923:C934)</f>
        <v>7880.3958913442566</v>
      </c>
      <c r="Q922" s="25">
        <f>Q921*(1+Table7[Monthly SF Inter])+Table9[[#This Row],[Inflation Modifier]]-R921*(1+Table7[Monthly SF Inter])</f>
        <v>49.588263351678762</v>
      </c>
      <c r="R922" s="25">
        <f>IF(MOD(Table9[[#This Row],[Month]],12)=0,Table9[[#This Row],[Q2 ACC FACTOR]],0)</f>
        <v>0</v>
      </c>
      <c r="S922" s="25">
        <f>S921*(1+D921)+Table9[[#This Row],[ACC FACTOR PAYMENTS]]</f>
        <v>24505.06822678091</v>
      </c>
    </row>
    <row r="923" spans="1:19" x14ac:dyDescent="0.25">
      <c r="A923" s="1">
        <v>911</v>
      </c>
      <c r="B923" s="1">
        <f t="shared" si="14"/>
        <v>0</v>
      </c>
      <c r="C923" s="7">
        <f>G$12/-PV(Table7[Monthly mortgage rate], (12*Table7[Amortization period (yrs)]),1 )</f>
        <v>4377.9977174134756</v>
      </c>
      <c r="D923" s="11">
        <f>IF(Table1[[#This Row],[Month]]&lt;=(12*Table7[mortgage term (yrs)]),Table7[Monthly mortgage rate],Table7[Monthly Exp Renewal Rate])</f>
        <v>4.9038466830562122E-3</v>
      </c>
      <c r="E923" s="21">
        <f>Table1[[#This Row],[Current mortgage rate]]*G922</f>
        <v>-127791.62588033694</v>
      </c>
      <c r="F923" s="5">
        <f>Table1[[#This Row],[Payment amount]]-Table1[[#This Row],[Interest paid]]</f>
        <v>132169.62359775041</v>
      </c>
      <c r="G923" s="20">
        <f>G922-Table1[[#This Row],[Principal repaid]]-Table1[[#This Row],[Annual paym]]</f>
        <v>-26191635.618300032</v>
      </c>
      <c r="H923" s="20">
        <f>H922-(Table1[[#This Row],[Payment amount]]-Table1[[#This Row],[Interest Paid W/O LSP]])</f>
        <v>-17321286.154891614</v>
      </c>
      <c r="I923">
        <f>H922*Table1[[#This Row],[Current mortgage rate]]</f>
        <v>-84505.062755652005</v>
      </c>
      <c r="J923" s="25">
        <f>IF(Table1[[#This Row],[Month]]&gt;Table7[Amortization period (yrs)]*12,0,IF(Table1[[#This Row],[Month]]&lt;Table7[mortgage term (yrs)]*12,0,IF(Table1[[#This Row],[Month]]=Table7[mortgage term (yrs)]*12,-H$5,Table1[[#This Row],[Payment amount]]+B923)))</f>
        <v>0</v>
      </c>
      <c r="K923">
        <v>912</v>
      </c>
      <c r="L923" s="25">
        <f>Table7[Initial Monthly Deposit]*Table9[[#This Row],[Inflation Modifier]]</f>
        <v>1766.3341820510648</v>
      </c>
      <c r="M923" s="25">
        <f xml:space="preserve"> (1+Table7[Inflation])^(QUOTIENT(Table9[[#This Row],[Month]]-1,12))</f>
        <v>4.4158354551276622</v>
      </c>
      <c r="N923">
        <f>N922*(1+Table7[Monthly SF Inter])+Table9[[#This Row],[Monthly Payment]]-O922*(1+Table7[Monthly SF Inter])</f>
        <v>774484.20146498806</v>
      </c>
      <c r="O923">
        <f>IF(MOD(Table9[[#This Row],[Month]],12)=0,(IF(Table9[[#This Row],[Current Balance]]&lt;Table9[[#This Row],[Max Lump Sum ]],Table9[[#This Row],[Current Balance]],Table9[[#This Row],[Max Lump Sum ]])),0)</f>
        <v>7880.3958913442566</v>
      </c>
      <c r="P923" s="21">
        <f>Table7[Max annual lump sum repayment]*SUM(C924:C935)</f>
        <v>7880.3958913442566</v>
      </c>
      <c r="Q923" s="25">
        <f>Q922*(1+Table7[Monthly SF Inter])+Table9[[#This Row],[Inflation Modifier]]-R922*(1+Table7[Monthly SF Inter])</f>
        <v>54.208596612932055</v>
      </c>
      <c r="R923" s="25">
        <f>IF(MOD(Table9[[#This Row],[Month]],12)=0,Table9[[#This Row],[Q2 ACC FACTOR]],0)</f>
        <v>54.208596612932055</v>
      </c>
      <c r="S923" s="25">
        <f>S922*(1+D922)+Table9[[#This Row],[ACC FACTOR PAYMENTS]]</f>
        <v>24679.445920935806</v>
      </c>
    </row>
    <row r="924" spans="1:19" x14ac:dyDescent="0.25">
      <c r="A924" s="1">
        <v>912</v>
      </c>
      <c r="B924" s="1">
        <f t="shared" si="14"/>
        <v>7880.3958913442566</v>
      </c>
      <c r="C924" s="7">
        <f>G$12/-PV(Table7[Monthly mortgage rate], (12*Table7[Amortization period (yrs)]),1 )</f>
        <v>4377.9977174134756</v>
      </c>
      <c r="D924" s="11">
        <f>IF(Table1[[#This Row],[Month]]&lt;=(12*Table7[mortgage term (yrs)]),Table7[Monthly mortgage rate],Table7[Monthly Exp Renewal Rate])</f>
        <v>4.9038466830562122E-3</v>
      </c>
      <c r="E924" s="21">
        <f>Table1[[#This Row],[Current mortgage rate]]*G923</f>
        <v>-128439.76545061756</v>
      </c>
      <c r="F924" s="5">
        <f>Table1[[#This Row],[Payment amount]]-Table1[[#This Row],[Interest paid]]</f>
        <v>132817.76316803103</v>
      </c>
      <c r="G924" s="20">
        <f>G923-Table1[[#This Row],[Principal repaid]]-Table1[[#This Row],[Annual paym]]</f>
        <v>-26332333.777359407</v>
      </c>
      <c r="H924" s="20">
        <f>H923-(Table1[[#This Row],[Payment amount]]-Table1[[#This Row],[Interest Paid W/O LSP]])</f>
        <v>-17410605.084265959</v>
      </c>
      <c r="I924">
        <f>H923*Table1[[#This Row],[Current mortgage rate]]</f>
        <v>-84940.931656932735</v>
      </c>
      <c r="J924" s="25">
        <f>IF(Table1[[#This Row],[Month]]&gt;Table7[Amortization period (yrs)]*12,0,IF(Table1[[#This Row],[Month]]&lt;Table7[mortgage term (yrs)]*12,0,IF(Table1[[#This Row],[Month]]=Table7[mortgage term (yrs)]*12,-H$5,Table1[[#This Row],[Payment amount]]+B924)))</f>
        <v>0</v>
      </c>
      <c r="K924">
        <v>913</v>
      </c>
      <c r="L924" s="25">
        <f>Table7[Initial Monthly Deposit]*Table9[[#This Row],[Inflation Modifier]]</f>
        <v>1801.6608656920866</v>
      </c>
      <c r="M924" s="25">
        <f xml:space="preserve"> (1+Table7[Inflation])^(QUOTIENT(Table9[[#This Row],[Month]]-1,12))</f>
        <v>4.5041521642302165</v>
      </c>
      <c r="N924">
        <f>N923*(1+Table7[Monthly SF Inter])+Table9[[#This Row],[Monthly Payment]]-O923*(1+Table7[Monthly SF Inter])</f>
        <v>771566.87572877947</v>
      </c>
      <c r="O924">
        <f>IF(MOD(Table9[[#This Row],[Month]],12)=0,(IF(Table9[[#This Row],[Current Balance]]&lt;Table9[[#This Row],[Max Lump Sum ]],Table9[[#This Row],[Current Balance]],Table9[[#This Row],[Max Lump Sum ]])),0)</f>
        <v>0</v>
      </c>
      <c r="P924" s="21">
        <f>Table7[Max annual lump sum repayment]*SUM(C925:C936)</f>
        <v>7880.3958913442566</v>
      </c>
      <c r="Q924" s="25">
        <f>Q923*(1+Table7[Monthly SF Inter])+Table9[[#This Row],[Inflation Modifier]]-R923*(1+Table7[Monthly SF Inter])</f>
        <v>4.50415216423022</v>
      </c>
      <c r="R924" s="25">
        <f>IF(MOD(Table9[[#This Row],[Month]],12)=0,Table9[[#This Row],[Q2 ACC FACTOR]],0)</f>
        <v>0</v>
      </c>
      <c r="S924" s="25">
        <f>S923*(1+D923)+Table9[[#This Row],[ACC FACTOR PAYMENTS]]</f>
        <v>24800.470139954854</v>
      </c>
    </row>
    <row r="925" spans="1:19" x14ac:dyDescent="0.25">
      <c r="A925" s="1">
        <v>913</v>
      </c>
      <c r="B925" s="1">
        <f t="shared" si="14"/>
        <v>0</v>
      </c>
      <c r="C925" s="7">
        <f>G$12/-PV(Table7[Monthly mortgage rate], (12*Table7[Amortization period (yrs)]),1 )</f>
        <v>4377.9977174134756</v>
      </c>
      <c r="D925" s="11">
        <f>IF(Table1[[#This Row],[Month]]&lt;=(12*Table7[mortgage term (yrs)]),Table7[Monthly mortgage rate],Table7[Monthly Exp Renewal Rate])</f>
        <v>4.9038466830562122E-3</v>
      </c>
      <c r="E925" s="21">
        <f>Table1[[#This Row],[Current mortgage rate]]*G924</f>
        <v>-129129.72765123298</v>
      </c>
      <c r="F925" s="5">
        <f>Table1[[#This Row],[Payment amount]]-Table1[[#This Row],[Interest paid]]</f>
        <v>133507.72536864647</v>
      </c>
      <c r="G925" s="20">
        <f>G924-Table1[[#This Row],[Principal repaid]]-Table1[[#This Row],[Annual paym]]</f>
        <v>-26465841.502728052</v>
      </c>
      <c r="H925" s="20">
        <f>H924-(Table1[[#This Row],[Payment amount]]-Table1[[#This Row],[Interest Paid W/O LSP]])</f>
        <v>-17500362.019975852</v>
      </c>
      <c r="I925">
        <f>H924*Table1[[#This Row],[Current mortgage rate]]</f>
        <v>-85378.937992479245</v>
      </c>
      <c r="J925" s="25">
        <f>IF(Table1[[#This Row],[Month]]&gt;Table7[Amortization period (yrs)]*12,0,IF(Table1[[#This Row],[Month]]&lt;Table7[mortgage term (yrs)]*12,0,IF(Table1[[#This Row],[Month]]=Table7[mortgage term (yrs)]*12,-H$5,Table1[[#This Row],[Payment amount]]+B925)))</f>
        <v>0</v>
      </c>
      <c r="K925">
        <v>914</v>
      </c>
      <c r="L925" s="25">
        <f>Table7[Initial Monthly Deposit]*Table9[[#This Row],[Inflation Modifier]]</f>
        <v>1801.6608656920866</v>
      </c>
      <c r="M925" s="25">
        <f xml:space="preserve"> (1+Table7[Inflation])^(QUOTIENT(Table9[[#This Row],[Month]]-1,12))</f>
        <v>4.5041521642302165</v>
      </c>
      <c r="N925">
        <f>N924*(1+Table7[Monthly SF Inter])+Table9[[#This Row],[Monthly Payment]]-O924*(1+Table7[Monthly SF Inter])</f>
        <v>776550.41316568246</v>
      </c>
      <c r="O925">
        <f>IF(MOD(Table9[[#This Row],[Month]],12)=0,(IF(Table9[[#This Row],[Current Balance]]&lt;Table9[[#This Row],[Max Lump Sum ]],Table9[[#This Row],[Current Balance]],Table9[[#This Row],[Max Lump Sum ]])),0)</f>
        <v>0</v>
      </c>
      <c r="P925" s="21">
        <f>Table7[Max annual lump sum repayment]*SUM(C926:C937)</f>
        <v>7880.3958913442566</v>
      </c>
      <c r="Q925" s="25">
        <f>Q924*(1+Table7[Monthly SF Inter])+Table9[[#This Row],[Inflation Modifier]]-R924*(1+Table7[Monthly SF Inter])</f>
        <v>9.0268790712278673</v>
      </c>
      <c r="R925" s="25">
        <f>IF(MOD(Table9[[#This Row],[Month]],12)=0,Table9[[#This Row],[Q2 ACC FACTOR]],0)</f>
        <v>0</v>
      </c>
      <c r="S925" s="25">
        <f>S924*(1+D924)+Table9[[#This Row],[ACC FACTOR PAYMENTS]]</f>
        <v>24922.087843188907</v>
      </c>
    </row>
    <row r="926" spans="1:19" x14ac:dyDescent="0.25">
      <c r="A926" s="1">
        <v>914</v>
      </c>
      <c r="B926" s="1">
        <f t="shared" si="14"/>
        <v>0</v>
      </c>
      <c r="C926" s="7">
        <f>G$12/-PV(Table7[Monthly mortgage rate], (12*Table7[Amortization period (yrs)]),1 )</f>
        <v>4377.9977174134756</v>
      </c>
      <c r="D926" s="11">
        <f>IF(Table1[[#This Row],[Month]]&lt;=(12*Table7[mortgage term (yrs)]),Table7[Monthly mortgage rate],Table7[Monthly Exp Renewal Rate])</f>
        <v>4.9038466830562122E-3</v>
      </c>
      <c r="E926" s="21">
        <f>Table1[[#This Row],[Current mortgage rate]]*G925</f>
        <v>-129784.42906744439</v>
      </c>
      <c r="F926" s="5">
        <f>Table1[[#This Row],[Payment amount]]-Table1[[#This Row],[Interest paid]]</f>
        <v>134162.42678485787</v>
      </c>
      <c r="G926" s="20">
        <f>G925-Table1[[#This Row],[Principal repaid]]-Table1[[#This Row],[Annual paym]]</f>
        <v>-26600003.929512911</v>
      </c>
      <c r="H926" s="20">
        <f>H925-(Table1[[#This Row],[Payment amount]]-Table1[[#This Row],[Interest Paid W/O LSP]])</f>
        <v>-17590559.109937206</v>
      </c>
      <c r="I926">
        <f>H925*Table1[[#This Row],[Current mortgage rate]]</f>
        <v>-85819.092243941501</v>
      </c>
      <c r="J926" s="25">
        <f>IF(Table1[[#This Row],[Month]]&gt;Table7[Amortization period (yrs)]*12,0,IF(Table1[[#This Row],[Month]]&lt;Table7[mortgage term (yrs)]*12,0,IF(Table1[[#This Row],[Month]]=Table7[mortgage term (yrs)]*12,-H$5,Table1[[#This Row],[Payment amount]]+B926)))</f>
        <v>0</v>
      </c>
      <c r="K926">
        <v>915</v>
      </c>
      <c r="L926" s="25">
        <f>Table7[Initial Monthly Deposit]*Table9[[#This Row],[Inflation Modifier]]</f>
        <v>1801.6608656920866</v>
      </c>
      <c r="M926" s="25">
        <f xml:space="preserve"> (1+Table7[Inflation])^(QUOTIENT(Table9[[#This Row],[Month]]-1,12))</f>
        <v>4.5041521642302165</v>
      </c>
      <c r="N926">
        <f>N925*(1+Table7[Monthly SF Inter])+Table9[[#This Row],[Monthly Payment]]-O925*(1+Table7[Monthly SF Inter])</f>
        <v>781554.50228969264</v>
      </c>
      <c r="O926">
        <f>IF(MOD(Table9[[#This Row],[Month]],12)=0,(IF(Table9[[#This Row],[Current Balance]]&lt;Table9[[#This Row],[Max Lump Sum ]],Table9[[#This Row],[Current Balance]],Table9[[#This Row],[Max Lump Sum ]])),0)</f>
        <v>0</v>
      </c>
      <c r="P926" s="21">
        <f>Table7[Max annual lump sum repayment]*SUM(C927:C938)</f>
        <v>7880.3958913442566</v>
      </c>
      <c r="Q926" s="25">
        <f>Q925*(1+Table7[Monthly SF Inter])+Table9[[#This Row],[Inflation Modifier]]-R925*(1+Table7[Monthly SF Inter])</f>
        <v>13.568257321661907</v>
      </c>
      <c r="R926" s="25">
        <f>IF(MOD(Table9[[#This Row],[Month]],12)=0,Table9[[#This Row],[Q2 ACC FACTOR]],0)</f>
        <v>0</v>
      </c>
      <c r="S926" s="25">
        <f>S925*(1+D925)+Table9[[#This Row],[ACC FACTOR PAYMENTS]]</f>
        <v>25044.301940993566</v>
      </c>
    </row>
    <row r="927" spans="1:19" x14ac:dyDescent="0.25">
      <c r="A927" s="1">
        <v>915</v>
      </c>
      <c r="B927" s="1">
        <f t="shared" si="14"/>
        <v>0</v>
      </c>
      <c r="C927" s="7">
        <f>G$12/-PV(Table7[Monthly mortgage rate], (12*Table7[Amortization period (yrs)]),1 )</f>
        <v>4377.9977174134756</v>
      </c>
      <c r="D927" s="11">
        <f>IF(Table1[[#This Row],[Month]]&lt;=(12*Table7[mortgage term (yrs)]),Table7[Monthly mortgage rate],Table7[Monthly Exp Renewal Rate])</f>
        <v>4.9038466830562122E-3</v>
      </c>
      <c r="E927" s="21">
        <f>Table1[[#This Row],[Current mortgage rate]]*G926</f>
        <v>-130442.34103902409</v>
      </c>
      <c r="F927" s="5">
        <f>Table1[[#This Row],[Payment amount]]-Table1[[#This Row],[Interest paid]]</f>
        <v>134820.33875643756</v>
      </c>
      <c r="G927" s="20">
        <f>G926-Table1[[#This Row],[Principal repaid]]-Table1[[#This Row],[Annual paym]]</f>
        <v>-26734824.268269349</v>
      </c>
      <c r="H927" s="20">
        <f>H926-(Table1[[#This Row],[Payment amount]]-Table1[[#This Row],[Interest Paid W/O LSP]])</f>
        <v>-17681198.512598988</v>
      </c>
      <c r="I927">
        <f>H926*Table1[[#This Row],[Current mortgage rate]]</f>
        <v>-86261.404944369802</v>
      </c>
      <c r="J927" s="25">
        <f>IF(Table1[[#This Row],[Month]]&gt;Table7[Amortization period (yrs)]*12,0,IF(Table1[[#This Row],[Month]]&lt;Table7[mortgage term (yrs)]*12,0,IF(Table1[[#This Row],[Month]]=Table7[mortgage term (yrs)]*12,-H$5,Table1[[#This Row],[Payment amount]]+B927)))</f>
        <v>0</v>
      </c>
      <c r="K927">
        <v>916</v>
      </c>
      <c r="L927" s="25">
        <f>Table7[Initial Monthly Deposit]*Table9[[#This Row],[Inflation Modifier]]</f>
        <v>1801.6608656920866</v>
      </c>
      <c r="M927" s="25">
        <f xml:space="preserve"> (1+Table7[Inflation])^(QUOTIENT(Table9[[#This Row],[Month]]-1,12))</f>
        <v>4.5041521642302165</v>
      </c>
      <c r="N927">
        <f>N926*(1+Table7[Monthly SF Inter])+Table9[[#This Row],[Monthly Payment]]-O926*(1+Table7[Monthly SF Inter])</f>
        <v>786579.22785423032</v>
      </c>
      <c r="O927">
        <f>IF(MOD(Table9[[#This Row],[Month]],12)=0,(IF(Table9[[#This Row],[Current Balance]]&lt;Table9[[#This Row],[Max Lump Sum ]],Table9[[#This Row],[Current Balance]],Table9[[#This Row],[Max Lump Sum ]])),0)</f>
        <v>0</v>
      </c>
      <c r="P927" s="21">
        <f>Table7[Max annual lump sum repayment]*SUM(C928:C939)</f>
        <v>7880.3958913442566</v>
      </c>
      <c r="Q927" s="25">
        <f>Q926*(1+Table7[Monthly SF Inter])+Table9[[#This Row],[Inflation Modifier]]-R926*(1+Table7[Monthly SF Inter])</f>
        <v>18.128363832095982</v>
      </c>
      <c r="R927" s="25">
        <f>IF(MOD(Table9[[#This Row],[Month]],12)=0,Table9[[#This Row],[Q2 ACC FACTOR]],0)</f>
        <v>0</v>
      </c>
      <c r="S927" s="25">
        <f>S926*(1+D926)+Table9[[#This Row],[ACC FACTOR PAYMENTS]]</f>
        <v>25167.115357996365</v>
      </c>
    </row>
    <row r="928" spans="1:19" x14ac:dyDescent="0.25">
      <c r="A928" s="1">
        <v>916</v>
      </c>
      <c r="B928" s="1">
        <f t="shared" si="14"/>
        <v>0</v>
      </c>
      <c r="C928" s="7">
        <f>G$12/-PV(Table7[Monthly mortgage rate], (12*Table7[Amortization period (yrs)]),1 )</f>
        <v>4377.9977174134756</v>
      </c>
      <c r="D928" s="11">
        <f>IF(Table1[[#This Row],[Month]]&lt;=(12*Table7[mortgage term (yrs)]),Table7[Monthly mortgage rate],Table7[Monthly Exp Renewal Rate])</f>
        <v>4.9038466830562122E-3</v>
      </c>
      <c r="E928" s="21">
        <f>Table1[[#This Row],[Current mortgage rate]]*G927</f>
        <v>-131103.47931004336</v>
      </c>
      <c r="F928" s="5">
        <f>Table1[[#This Row],[Payment amount]]-Table1[[#This Row],[Interest paid]]</f>
        <v>135481.47702745683</v>
      </c>
      <c r="G928" s="20">
        <f>G927-Table1[[#This Row],[Principal repaid]]-Table1[[#This Row],[Annual paym]]</f>
        <v>-26870305.745296806</v>
      </c>
      <c r="H928" s="20">
        <f>H927-(Table1[[#This Row],[Payment amount]]-Table1[[#This Row],[Interest Paid W/O LSP]])</f>
        <v>-17772282.396994866</v>
      </c>
      <c r="I928">
        <f>H927*Table1[[#This Row],[Current mortgage rate]]</f>
        <v>-86705.886678466981</v>
      </c>
      <c r="J928" s="25">
        <f>IF(Table1[[#This Row],[Month]]&gt;Table7[Amortization period (yrs)]*12,0,IF(Table1[[#This Row],[Month]]&lt;Table7[mortgage term (yrs)]*12,0,IF(Table1[[#This Row],[Month]]=Table7[mortgage term (yrs)]*12,-H$5,Table1[[#This Row],[Payment amount]]+B928)))</f>
        <v>0</v>
      </c>
      <c r="K928">
        <v>917</v>
      </c>
      <c r="L928" s="25">
        <f>Table7[Initial Monthly Deposit]*Table9[[#This Row],[Inflation Modifier]]</f>
        <v>1801.6608656920866</v>
      </c>
      <c r="M928" s="25">
        <f xml:space="preserve"> (1+Table7[Inflation])^(QUOTIENT(Table9[[#This Row],[Month]]-1,12))</f>
        <v>4.5041521642302165</v>
      </c>
      <c r="N928">
        <f>N927*(1+Table7[Monthly SF Inter])+Table9[[#This Row],[Monthly Payment]]-O927*(1+Table7[Monthly SF Inter])</f>
        <v>791624.67496223166</v>
      </c>
      <c r="O928">
        <f>IF(MOD(Table9[[#This Row],[Month]],12)=0,(IF(Table9[[#This Row],[Current Balance]]&lt;Table9[[#This Row],[Max Lump Sum ]],Table9[[#This Row],[Current Balance]],Table9[[#This Row],[Max Lump Sum ]])),0)</f>
        <v>0</v>
      </c>
      <c r="P928" s="21">
        <f>Table7[Max annual lump sum repayment]*SUM(C929:C940)</f>
        <v>7880.3958913442566</v>
      </c>
      <c r="Q928" s="25">
        <f>Q927*(1+Table7[Monthly SF Inter])+Table9[[#This Row],[Inflation Modifier]]-R927*(1+Table7[Monthly SF Inter])</f>
        <v>22.707275836291139</v>
      </c>
      <c r="R928" s="25">
        <f>IF(MOD(Table9[[#This Row],[Month]],12)=0,Table9[[#This Row],[Q2 ACC FACTOR]],0)</f>
        <v>0</v>
      </c>
      <c r="S928" s="25">
        <f>S927*(1+D927)+Table9[[#This Row],[ACC FACTOR PAYMENTS]]</f>
        <v>25290.531033166768</v>
      </c>
    </row>
    <row r="929" spans="1:19" x14ac:dyDescent="0.25">
      <c r="A929" s="1">
        <v>917</v>
      </c>
      <c r="B929" s="1">
        <f t="shared" si="14"/>
        <v>0</v>
      </c>
      <c r="C929" s="7">
        <f>G$12/-PV(Table7[Monthly mortgage rate], (12*Table7[Amortization period (yrs)]),1 )</f>
        <v>4377.9977174134756</v>
      </c>
      <c r="D929" s="11">
        <f>IF(Table1[[#This Row],[Month]]&lt;=(12*Table7[mortgage term (yrs)]),Table7[Monthly mortgage rate],Table7[Monthly Exp Renewal Rate])</f>
        <v>4.9038466830562122E-3</v>
      </c>
      <c r="E929" s="21">
        <f>Table1[[#This Row],[Current mortgage rate]]*G928</f>
        <v>-131767.85970178002</v>
      </c>
      <c r="F929" s="5">
        <f>Table1[[#This Row],[Payment amount]]-Table1[[#This Row],[Interest paid]]</f>
        <v>136145.85741919349</v>
      </c>
      <c r="G929" s="20">
        <f>G928-Table1[[#This Row],[Principal repaid]]-Table1[[#This Row],[Annual paym]]</f>
        <v>-27006451.602715999</v>
      </c>
      <c r="H929" s="20">
        <f>H928-(Table1[[#This Row],[Payment amount]]-Table1[[#This Row],[Interest Paid W/O LSP]])</f>
        <v>-17863812.94279512</v>
      </c>
      <c r="I929">
        <f>H928*Table1[[#This Row],[Current mortgage rate]]</f>
        <v>-87152.548082841589</v>
      </c>
      <c r="J929" s="25">
        <f>IF(Table1[[#This Row],[Month]]&gt;Table7[Amortization period (yrs)]*12,0,IF(Table1[[#This Row],[Month]]&lt;Table7[mortgage term (yrs)]*12,0,IF(Table1[[#This Row],[Month]]=Table7[mortgage term (yrs)]*12,-H$5,Table1[[#This Row],[Payment amount]]+B929)))</f>
        <v>0</v>
      </c>
      <c r="K929">
        <v>918</v>
      </c>
      <c r="L929" s="25">
        <f>Table7[Initial Monthly Deposit]*Table9[[#This Row],[Inflation Modifier]]</f>
        <v>1801.6608656920866</v>
      </c>
      <c r="M929" s="25">
        <f xml:space="preserve"> (1+Table7[Inflation])^(QUOTIENT(Table9[[#This Row],[Month]]-1,12))</f>
        <v>4.5041521642302165</v>
      </c>
      <c r="N929">
        <f>N928*(1+Table7[Monthly SF Inter])+Table9[[#This Row],[Monthly Payment]]-O928*(1+Table7[Monthly SF Inter])</f>
        <v>796690.92906759027</v>
      </c>
      <c r="O929">
        <f>IF(MOD(Table9[[#This Row],[Month]],12)=0,(IF(Table9[[#This Row],[Current Balance]]&lt;Table9[[#This Row],[Max Lump Sum ]],Table9[[#This Row],[Current Balance]],Table9[[#This Row],[Max Lump Sum ]])),0)</f>
        <v>0</v>
      </c>
      <c r="P929" s="21">
        <f>Table7[Max annual lump sum repayment]*SUM(C930:C941)</f>
        <v>7880.3958913442566</v>
      </c>
      <c r="Q929" s="25">
        <f>Q928*(1+Table7[Monthly SF Inter])+Table9[[#This Row],[Inflation Modifier]]-R928*(1+Table7[Monthly SF Inter])</f>
        <v>27.305070886513931</v>
      </c>
      <c r="R929" s="25">
        <f>IF(MOD(Table9[[#This Row],[Month]],12)=0,Table9[[#This Row],[Q2 ACC FACTOR]],0)</f>
        <v>0</v>
      </c>
      <c r="S929" s="25">
        <f>S928*(1+D928)+Table9[[#This Row],[ACC FACTOR PAYMENTS]]</f>
        <v>25414.551919886493</v>
      </c>
    </row>
    <row r="930" spans="1:19" x14ac:dyDescent="0.25">
      <c r="A930" s="1">
        <v>918</v>
      </c>
      <c r="B930" s="1">
        <f t="shared" si="14"/>
        <v>0</v>
      </c>
      <c r="C930" s="7">
        <f>G$12/-PV(Table7[Monthly mortgage rate], (12*Table7[Amortization period (yrs)]),1 )</f>
        <v>4377.9977174134756</v>
      </c>
      <c r="D930" s="11">
        <f>IF(Table1[[#This Row],[Month]]&lt;=(12*Table7[mortgage term (yrs)]),Table7[Monthly mortgage rate],Table7[Monthly Exp Renewal Rate])</f>
        <v>4.9038466830562122E-3</v>
      </c>
      <c r="E930" s="21">
        <f>Table1[[#This Row],[Current mortgage rate]]*G929</f>
        <v>-132435.49811309698</v>
      </c>
      <c r="F930" s="5">
        <f>Table1[[#This Row],[Payment amount]]-Table1[[#This Row],[Interest paid]]</f>
        <v>136813.49583051045</v>
      </c>
      <c r="G930" s="20">
        <f>G929-Table1[[#This Row],[Principal repaid]]-Table1[[#This Row],[Annual paym]]</f>
        <v>-27143265.098546509</v>
      </c>
      <c r="H930" s="20">
        <f>H929-(Table1[[#This Row],[Payment amount]]-Table1[[#This Row],[Interest Paid W/O LSP]])</f>
        <v>-17955792.340358797</v>
      </c>
      <c r="I930">
        <f>H929*Table1[[#This Row],[Current mortgage rate]]</f>
        <v>-87601.399846262488</v>
      </c>
      <c r="J930" s="25">
        <f>IF(Table1[[#This Row],[Month]]&gt;Table7[Amortization period (yrs)]*12,0,IF(Table1[[#This Row],[Month]]&lt;Table7[mortgage term (yrs)]*12,0,IF(Table1[[#This Row],[Month]]=Table7[mortgage term (yrs)]*12,-H$5,Table1[[#This Row],[Payment amount]]+B930)))</f>
        <v>0</v>
      </c>
      <c r="K930">
        <v>919</v>
      </c>
      <c r="L930" s="25">
        <f>Table7[Initial Monthly Deposit]*Table9[[#This Row],[Inflation Modifier]]</f>
        <v>1801.6608656920866</v>
      </c>
      <c r="M930" s="25">
        <f xml:space="preserve"> (1+Table7[Inflation])^(QUOTIENT(Table9[[#This Row],[Month]]-1,12))</f>
        <v>4.5041521642302165</v>
      </c>
      <c r="N930">
        <f>N929*(1+Table7[Monthly SF Inter])+Table9[[#This Row],[Monthly Payment]]-O929*(1+Table7[Monthly SF Inter])</f>
        <v>801778.07597660436</v>
      </c>
      <c r="O930">
        <f>IF(MOD(Table9[[#This Row],[Month]],12)=0,(IF(Table9[[#This Row],[Current Balance]]&lt;Table9[[#This Row],[Max Lump Sum ]],Table9[[#This Row],[Current Balance]],Table9[[#This Row],[Max Lump Sum ]])),0)</f>
        <v>0</v>
      </c>
      <c r="P930" s="21">
        <f>Table7[Max annual lump sum repayment]*SUM(C931:C942)</f>
        <v>7880.3958913442566</v>
      </c>
      <c r="Q930" s="25">
        <f>Q929*(1+Table7[Monthly SF Inter])+Table9[[#This Row],[Inflation Modifier]]-R929*(1+Table7[Monthly SF Inter])</f>
        <v>31.9218268548499</v>
      </c>
      <c r="R930" s="25">
        <f>IF(MOD(Table9[[#This Row],[Month]],12)=0,Table9[[#This Row],[Q2 ACC FACTOR]],0)</f>
        <v>0</v>
      </c>
      <c r="S930" s="25">
        <f>S929*(1+D929)+Table9[[#This Row],[ACC FACTOR PAYMENTS]]</f>
        <v>25539.18098602019</v>
      </c>
    </row>
    <row r="931" spans="1:19" x14ac:dyDescent="0.25">
      <c r="A931" s="1">
        <v>919</v>
      </c>
      <c r="B931" s="1">
        <f t="shared" si="14"/>
        <v>0</v>
      </c>
      <c r="C931" s="7">
        <f>G$12/-PV(Table7[Monthly mortgage rate], (12*Table7[Amortization period (yrs)]),1 )</f>
        <v>4377.9977174134756</v>
      </c>
      <c r="D931" s="11">
        <f>IF(Table1[[#This Row],[Month]]&lt;=(12*Table7[mortgage term (yrs)]),Table7[Monthly mortgage rate],Table7[Monthly Exp Renewal Rate])</f>
        <v>4.9038466830562122E-3</v>
      </c>
      <c r="E931" s="21">
        <f>Table1[[#This Row],[Current mortgage rate]]*G930</f>
        <v>-133106.41052082274</v>
      </c>
      <c r="F931" s="5">
        <f>Table1[[#This Row],[Payment amount]]-Table1[[#This Row],[Interest paid]]</f>
        <v>137484.40823823621</v>
      </c>
      <c r="G931" s="20">
        <f>G930-Table1[[#This Row],[Principal repaid]]-Table1[[#This Row],[Annual paym]]</f>
        <v>-27280749.506784745</v>
      </c>
      <c r="H931" s="20">
        <f>H930-(Table1[[#This Row],[Payment amount]]-Table1[[#This Row],[Interest Paid W/O LSP]])</f>
        <v>-18048222.790786125</v>
      </c>
      <c r="I931">
        <f>H930*Table1[[#This Row],[Current mortgage rate]]</f>
        <v>-88052.452709914636</v>
      </c>
      <c r="J931" s="25">
        <f>IF(Table1[[#This Row],[Month]]&gt;Table7[Amortization period (yrs)]*12,0,IF(Table1[[#This Row],[Month]]&lt;Table7[mortgage term (yrs)]*12,0,IF(Table1[[#This Row],[Month]]=Table7[mortgage term (yrs)]*12,-H$5,Table1[[#This Row],[Payment amount]]+B931)))</f>
        <v>0</v>
      </c>
      <c r="K931">
        <v>920</v>
      </c>
      <c r="L931" s="25">
        <f>Table7[Initial Monthly Deposit]*Table9[[#This Row],[Inflation Modifier]]</f>
        <v>1801.6608656920866</v>
      </c>
      <c r="M931" s="25">
        <f xml:space="preserve"> (1+Table7[Inflation])^(QUOTIENT(Table9[[#This Row],[Month]]-1,12))</f>
        <v>4.5041521642302165</v>
      </c>
      <c r="N931">
        <f>N930*(1+Table7[Monthly SF Inter])+Table9[[#This Row],[Monthly Payment]]-O930*(1+Table7[Monthly SF Inter])</f>
        <v>806886.20184942998</v>
      </c>
      <c r="O931">
        <f>IF(MOD(Table9[[#This Row],[Month]],12)=0,(IF(Table9[[#This Row],[Current Balance]]&lt;Table9[[#This Row],[Max Lump Sum ]],Table9[[#This Row],[Current Balance]],Table9[[#This Row],[Max Lump Sum ]])),0)</f>
        <v>0</v>
      </c>
      <c r="P931" s="21">
        <f>Table7[Max annual lump sum repayment]*SUM(C932:C943)</f>
        <v>7880.3958913442566</v>
      </c>
      <c r="Q931" s="25">
        <f>Q930*(1+Table7[Monthly SF Inter])+Table9[[#This Row],[Inflation Modifier]]-R930*(1+Table7[Monthly SF Inter])</f>
        <v>36.557621934522487</v>
      </c>
      <c r="R931" s="25">
        <f>IF(MOD(Table9[[#This Row],[Month]],12)=0,Table9[[#This Row],[Q2 ACC FACTOR]],0)</f>
        <v>0</v>
      </c>
      <c r="S931" s="25">
        <f>S930*(1+D930)+Table9[[#This Row],[ACC FACTOR PAYMENTS]]</f>
        <v>25664.421213986458</v>
      </c>
    </row>
    <row r="932" spans="1:19" x14ac:dyDescent="0.25">
      <c r="A932" s="1">
        <v>920</v>
      </c>
      <c r="B932" s="1">
        <f t="shared" si="14"/>
        <v>0</v>
      </c>
      <c r="C932" s="7">
        <f>G$12/-PV(Table7[Monthly mortgage rate], (12*Table7[Amortization period (yrs)]),1 )</f>
        <v>4377.9977174134756</v>
      </c>
      <c r="D932" s="11">
        <f>IF(Table1[[#This Row],[Month]]&lt;=(12*Table7[mortgage term (yrs)]),Table7[Monthly mortgage rate],Table7[Monthly Exp Renewal Rate])</f>
        <v>4.9038466830562122E-3</v>
      </c>
      <c r="E932" s="21">
        <f>Table1[[#This Row],[Current mortgage rate]]*G931</f>
        <v>-133780.61298013377</v>
      </c>
      <c r="F932" s="5">
        <f>Table1[[#This Row],[Payment amount]]-Table1[[#This Row],[Interest paid]]</f>
        <v>138158.61069754724</v>
      </c>
      <c r="G932" s="20">
        <f>G931-Table1[[#This Row],[Principal repaid]]-Table1[[#This Row],[Annual paym]]</f>
        <v>-27418908.117482293</v>
      </c>
      <c r="H932" s="20">
        <f>H931-(Table1[[#This Row],[Payment amount]]-Table1[[#This Row],[Interest Paid W/O LSP]])</f>
        <v>-18141106.505971193</v>
      </c>
      <c r="I932">
        <f>H931*Table1[[#This Row],[Current mortgage rate]]</f>
        <v>-88505.717467656068</v>
      </c>
      <c r="J932" s="25">
        <f>IF(Table1[[#This Row],[Month]]&gt;Table7[Amortization period (yrs)]*12,0,IF(Table1[[#This Row],[Month]]&lt;Table7[mortgage term (yrs)]*12,0,IF(Table1[[#This Row],[Month]]=Table7[mortgage term (yrs)]*12,-H$5,Table1[[#This Row],[Payment amount]]+B932)))</f>
        <v>0</v>
      </c>
      <c r="K932">
        <v>921</v>
      </c>
      <c r="L932" s="25">
        <f>Table7[Initial Monthly Deposit]*Table9[[#This Row],[Inflation Modifier]]</f>
        <v>1801.6608656920866</v>
      </c>
      <c r="M932" s="25">
        <f xml:space="preserve"> (1+Table7[Inflation])^(QUOTIENT(Table9[[#This Row],[Month]]-1,12))</f>
        <v>4.5041521642302165</v>
      </c>
      <c r="N932">
        <f>N931*(1+Table7[Monthly SF Inter])+Table9[[#This Row],[Monthly Payment]]-O931*(1+Table7[Monthly SF Inter])</f>
        <v>812015.39320154046</v>
      </c>
      <c r="O932">
        <f>IF(MOD(Table9[[#This Row],[Month]],12)=0,(IF(Table9[[#This Row],[Current Balance]]&lt;Table9[[#This Row],[Max Lump Sum ]],Table9[[#This Row],[Current Balance]],Table9[[#This Row],[Max Lump Sum ]])),0)</f>
        <v>0</v>
      </c>
      <c r="P932" s="21">
        <f>Table7[Max annual lump sum repayment]*SUM(C933:C944)</f>
        <v>7880.3958913442566</v>
      </c>
      <c r="Q932" s="25">
        <f>Q931*(1+Table7[Monthly SF Inter])+Table9[[#This Row],[Inflation Modifier]]-R931*(1+Table7[Monthly SF Inter])</f>
        <v>41.212534641217374</v>
      </c>
      <c r="R932" s="25">
        <f>IF(MOD(Table9[[#This Row],[Month]],12)=0,Table9[[#This Row],[Q2 ACC FACTOR]],0)</f>
        <v>0</v>
      </c>
      <c r="S932" s="25">
        <f>S931*(1+D931)+Table9[[#This Row],[ACC FACTOR PAYMENTS]]</f>
        <v>25790.275600829224</v>
      </c>
    </row>
    <row r="933" spans="1:19" x14ac:dyDescent="0.25">
      <c r="A933" s="1">
        <v>921</v>
      </c>
      <c r="B933" s="1">
        <f t="shared" si="14"/>
        <v>0</v>
      </c>
      <c r="C933" s="7">
        <f>G$12/-PV(Table7[Monthly mortgage rate], (12*Table7[Amortization period (yrs)]),1 )</f>
        <v>4377.9977174134756</v>
      </c>
      <c r="D933" s="11">
        <f>IF(Table1[[#This Row],[Month]]&lt;=(12*Table7[mortgage term (yrs)]),Table7[Monthly mortgage rate],Table7[Monthly Exp Renewal Rate])</f>
        <v>4.9038466830562122E-3</v>
      </c>
      <c r="E933" s="21">
        <f>Table1[[#This Row],[Current mortgage rate]]*G932</f>
        <v>-134458.12162493859</v>
      </c>
      <c r="F933" s="5">
        <f>Table1[[#This Row],[Payment amount]]-Table1[[#This Row],[Interest paid]]</f>
        <v>138836.11934235206</v>
      </c>
      <c r="G933" s="20">
        <f>G932-Table1[[#This Row],[Principal repaid]]-Table1[[#This Row],[Annual paym]]</f>
        <v>-27557744.236824647</v>
      </c>
      <c r="H933" s="20">
        <f>H932-(Table1[[#This Row],[Payment amount]]-Table1[[#This Row],[Interest Paid W/O LSP]])</f>
        <v>-18234445.708654884</v>
      </c>
      <c r="I933">
        <f>H932*Table1[[#This Row],[Current mortgage rate]]</f>
        <v>-88961.204966276302</v>
      </c>
      <c r="J933" s="25">
        <f>IF(Table1[[#This Row],[Month]]&gt;Table7[Amortization period (yrs)]*12,0,IF(Table1[[#This Row],[Month]]&lt;Table7[mortgage term (yrs)]*12,0,IF(Table1[[#This Row],[Month]]=Table7[mortgage term (yrs)]*12,-H$5,Table1[[#This Row],[Payment amount]]+B933)))</f>
        <v>0</v>
      </c>
      <c r="K933">
        <v>922</v>
      </c>
      <c r="L933" s="25">
        <f>Table7[Initial Monthly Deposit]*Table9[[#This Row],[Inflation Modifier]]</f>
        <v>1801.6608656920866</v>
      </c>
      <c r="M933" s="25">
        <f xml:space="preserve"> (1+Table7[Inflation])^(QUOTIENT(Table9[[#This Row],[Month]]-1,12))</f>
        <v>4.5041521642302165</v>
      </c>
      <c r="N933">
        <f>N932*(1+Table7[Monthly SF Inter])+Table9[[#This Row],[Monthly Payment]]-O932*(1+Table7[Monthly SF Inter])</f>
        <v>817165.73690519156</v>
      </c>
      <c r="O933">
        <f>IF(MOD(Table9[[#This Row],[Month]],12)=0,(IF(Table9[[#This Row],[Current Balance]]&lt;Table9[[#This Row],[Max Lump Sum ]],Table9[[#This Row],[Current Balance]],Table9[[#This Row],[Max Lump Sum ]])),0)</f>
        <v>0</v>
      </c>
      <c r="P933" s="21">
        <f>Table7[Max annual lump sum repayment]*SUM(C934:C945)</f>
        <v>7880.3958913442566</v>
      </c>
      <c r="Q933" s="25">
        <f>Q932*(1+Table7[Monthly SF Inter])+Table9[[#This Row],[Inflation Modifier]]-R932*(1+Table7[Monthly SF Inter])</f>
        <v>45.886643814412295</v>
      </c>
      <c r="R933" s="25">
        <f>IF(MOD(Table9[[#This Row],[Month]],12)=0,Table9[[#This Row],[Q2 ACC FACTOR]],0)</f>
        <v>0</v>
      </c>
      <c r="S933" s="25">
        <f>S932*(1+D932)+Table9[[#This Row],[ACC FACTOR PAYMENTS]]</f>
        <v>25916.747158289454</v>
      </c>
    </row>
    <row r="934" spans="1:19" x14ac:dyDescent="0.25">
      <c r="A934" s="1">
        <v>922</v>
      </c>
      <c r="B934" s="1">
        <f t="shared" si="14"/>
        <v>0</v>
      </c>
      <c r="C934" s="7">
        <f>G$12/-PV(Table7[Monthly mortgage rate], (12*Table7[Amortization period (yrs)]),1 )</f>
        <v>4377.9977174134756</v>
      </c>
      <c r="D934" s="11">
        <f>IF(Table1[[#This Row],[Month]]&lt;=(12*Table7[mortgage term (yrs)]),Table7[Monthly mortgage rate],Table7[Monthly Exp Renewal Rate])</f>
        <v>4.9038466830562122E-3</v>
      </c>
      <c r="E934" s="21">
        <f>Table1[[#This Row],[Current mortgage rate]]*G933</f>
        <v>-135138.95266826398</v>
      </c>
      <c r="F934" s="5">
        <f>Table1[[#This Row],[Payment amount]]-Table1[[#This Row],[Interest paid]]</f>
        <v>139516.95038567745</v>
      </c>
      <c r="G934" s="20">
        <f>G933-Table1[[#This Row],[Principal repaid]]-Table1[[#This Row],[Annual paym]]</f>
        <v>-27697261.187210325</v>
      </c>
      <c r="H934" s="20">
        <f>H933-(Table1[[#This Row],[Payment amount]]-Table1[[#This Row],[Interest Paid W/O LSP]])</f>
        <v>-18328242.632478055</v>
      </c>
      <c r="I934">
        <f>H933*Table1[[#This Row],[Current mortgage rate]]</f>
        <v>-89418.926105755832</v>
      </c>
      <c r="J934" s="25">
        <f>IF(Table1[[#This Row],[Month]]&gt;Table7[Amortization period (yrs)]*12,0,IF(Table1[[#This Row],[Month]]&lt;Table7[mortgage term (yrs)]*12,0,IF(Table1[[#This Row],[Month]]=Table7[mortgage term (yrs)]*12,-H$5,Table1[[#This Row],[Payment amount]]+B934)))</f>
        <v>0</v>
      </c>
      <c r="K934">
        <v>923</v>
      </c>
      <c r="L934" s="25">
        <f>Table7[Initial Monthly Deposit]*Table9[[#This Row],[Inflation Modifier]]</f>
        <v>1801.6608656920866</v>
      </c>
      <c r="M934" s="25">
        <f xml:space="preserve"> (1+Table7[Inflation])^(QUOTIENT(Table9[[#This Row],[Month]]-1,12))</f>
        <v>4.5041521642302165</v>
      </c>
      <c r="N934">
        <f>N933*(1+Table7[Monthly SF Inter])+Table9[[#This Row],[Monthly Payment]]-O933*(1+Table7[Monthly SF Inter])</f>
        <v>822337.3201908929</v>
      </c>
      <c r="O934">
        <f>IF(MOD(Table9[[#This Row],[Month]],12)=0,(IF(Table9[[#This Row],[Current Balance]]&lt;Table9[[#This Row],[Max Lump Sum ]],Table9[[#This Row],[Current Balance]],Table9[[#This Row],[Max Lump Sum ]])),0)</f>
        <v>0</v>
      </c>
      <c r="P934" s="21">
        <f>Table7[Max annual lump sum repayment]*SUM(C935:C946)</f>
        <v>7880.3958913442566</v>
      </c>
      <c r="Q934" s="25">
        <f>Q933*(1+Table7[Monthly SF Inter])+Table9[[#This Row],[Inflation Modifier]]-R933*(1+Table7[Monthly SF Inter])</f>
        <v>50.580028618712333</v>
      </c>
      <c r="R934" s="25">
        <f>IF(MOD(Table9[[#This Row],[Month]],12)=0,Table9[[#This Row],[Q2 ACC FACTOR]],0)</f>
        <v>0</v>
      </c>
      <c r="S934" s="25">
        <f>S933*(1+D933)+Table9[[#This Row],[ACC FACTOR PAYMENTS]]</f>
        <v>26043.83891287724</v>
      </c>
    </row>
    <row r="935" spans="1:19" x14ac:dyDescent="0.25">
      <c r="A935" s="1">
        <v>923</v>
      </c>
      <c r="B935" s="1">
        <f t="shared" si="14"/>
        <v>0</v>
      </c>
      <c r="C935" s="7">
        <f>G$12/-PV(Table7[Monthly mortgage rate], (12*Table7[Amortization period (yrs)]),1 )</f>
        <v>4377.9977174134756</v>
      </c>
      <c r="D935" s="11">
        <f>IF(Table1[[#This Row],[Month]]&lt;=(12*Table7[mortgage term (yrs)]),Table7[Monthly mortgage rate],Table7[Monthly Exp Renewal Rate])</f>
        <v>4.9038466830562122E-3</v>
      </c>
      <c r="E935" s="21">
        <f>Table1[[#This Row],[Current mortgage rate]]*G934</f>
        <v>-135823.12240264291</v>
      </c>
      <c r="F935" s="5">
        <f>Table1[[#This Row],[Payment amount]]-Table1[[#This Row],[Interest paid]]</f>
        <v>140201.12012005638</v>
      </c>
      <c r="G935" s="20">
        <f>G934-Table1[[#This Row],[Principal repaid]]-Table1[[#This Row],[Annual paym]]</f>
        <v>-27837462.307330381</v>
      </c>
      <c r="H935" s="20">
        <f>H934-(Table1[[#This Row],[Payment amount]]-Table1[[#This Row],[Interest Paid W/O LSP]])</f>
        <v>-18422499.522034995</v>
      </c>
      <c r="I935">
        <f>H934*Table1[[#This Row],[Current mortgage rate]]</f>
        <v>-89878.891839526972</v>
      </c>
      <c r="J935" s="25">
        <f>IF(Table1[[#This Row],[Month]]&gt;Table7[Amortization period (yrs)]*12,0,IF(Table1[[#This Row],[Month]]&lt;Table7[mortgage term (yrs)]*12,0,IF(Table1[[#This Row],[Month]]=Table7[mortgage term (yrs)]*12,-H$5,Table1[[#This Row],[Payment amount]]+B935)))</f>
        <v>0</v>
      </c>
      <c r="K935">
        <v>924</v>
      </c>
      <c r="L935" s="25">
        <f>Table7[Initial Monthly Deposit]*Table9[[#This Row],[Inflation Modifier]]</f>
        <v>1801.6608656920866</v>
      </c>
      <c r="M935" s="25">
        <f xml:space="preserve"> (1+Table7[Inflation])^(QUOTIENT(Table9[[#This Row],[Month]]-1,12))</f>
        <v>4.5041521642302165</v>
      </c>
      <c r="N935">
        <f>N934*(1+Table7[Monthly SF Inter])+Table9[[#This Row],[Monthly Payment]]-O934*(1+Table7[Monthly SF Inter])</f>
        <v>827530.23064888548</v>
      </c>
      <c r="O935">
        <f>IF(MOD(Table9[[#This Row],[Month]],12)=0,(IF(Table9[[#This Row],[Current Balance]]&lt;Table9[[#This Row],[Max Lump Sum ]],Table9[[#This Row],[Current Balance]],Table9[[#This Row],[Max Lump Sum ]])),0)</f>
        <v>7880.3958913442566</v>
      </c>
      <c r="P935" s="21">
        <f>Table7[Max annual lump sum repayment]*SUM(C936:C947)</f>
        <v>7880.3958913442566</v>
      </c>
      <c r="Q935" s="25">
        <f>Q934*(1+Table7[Monthly SF Inter])+Table9[[#This Row],[Inflation Modifier]]-R934*(1+Table7[Monthly SF Inter])</f>
        <v>55.292768545190697</v>
      </c>
      <c r="R935" s="25">
        <f>IF(MOD(Table9[[#This Row],[Month]],12)=0,Table9[[#This Row],[Q2 ACC FACTOR]],0)</f>
        <v>55.292768545190697</v>
      </c>
      <c r="S935" s="25">
        <f>S934*(1+D934)+Table9[[#This Row],[ACC FACTOR PAYMENTS]]</f>
        <v>26226.846674489392</v>
      </c>
    </row>
    <row r="936" spans="1:19" x14ac:dyDescent="0.25">
      <c r="A936" s="1">
        <v>924</v>
      </c>
      <c r="B936" s="1">
        <f t="shared" si="14"/>
        <v>7880.3958913442566</v>
      </c>
      <c r="C936" s="7">
        <f>G$12/-PV(Table7[Monthly mortgage rate], (12*Table7[Amortization period (yrs)]),1 )</f>
        <v>4377.9977174134756</v>
      </c>
      <c r="D936" s="11">
        <f>IF(Table1[[#This Row],[Month]]&lt;=(12*Table7[mortgage term (yrs)]),Table7[Monthly mortgage rate],Table7[Monthly Exp Renewal Rate])</f>
        <v>4.9038466830562122E-3</v>
      </c>
      <c r="E936" s="21">
        <f>Table1[[#This Row],[Current mortgage rate]]*G935</f>
        <v>-136510.64720050443</v>
      </c>
      <c r="F936" s="5">
        <f>Table1[[#This Row],[Payment amount]]-Table1[[#This Row],[Interest paid]]</f>
        <v>140888.6449179179</v>
      </c>
      <c r="G936" s="20">
        <f>G935-Table1[[#This Row],[Principal repaid]]-Table1[[#This Row],[Annual paym]]</f>
        <v>-27986231.348139644</v>
      </c>
      <c r="H936" s="20">
        <f>H935-(Table1[[#This Row],[Payment amount]]-Table1[[#This Row],[Interest Paid W/O LSP]])</f>
        <v>-18517218.632927146</v>
      </c>
      <c r="I936">
        <f>H935*Table1[[#This Row],[Current mortgage rate]]</f>
        <v>-90341.113174735961</v>
      </c>
      <c r="J936" s="25">
        <f>IF(Table1[[#This Row],[Month]]&gt;Table7[Amortization period (yrs)]*12,0,IF(Table1[[#This Row],[Month]]&lt;Table7[mortgage term (yrs)]*12,0,IF(Table1[[#This Row],[Month]]=Table7[mortgage term (yrs)]*12,-H$5,Table1[[#This Row],[Payment amount]]+B936)))</f>
        <v>0</v>
      </c>
      <c r="K936">
        <v>925</v>
      </c>
      <c r="L936" s="25">
        <f>Table7[Initial Monthly Deposit]*Table9[[#This Row],[Inflation Modifier]]</f>
        <v>1837.6940830059284</v>
      </c>
      <c r="M936" s="25">
        <f xml:space="preserve"> (1+Table7[Inflation])^(QUOTIENT(Table9[[#This Row],[Month]]-1,12))</f>
        <v>4.5942352075148207</v>
      </c>
      <c r="N936">
        <f>N935*(1+Table7[Monthly SF Inter])+Table9[[#This Row],[Monthly Payment]]-O935*(1+Table7[Monthly SF Inter])</f>
        <v>824867.69547010667</v>
      </c>
      <c r="O936">
        <f>IF(MOD(Table9[[#This Row],[Month]],12)=0,(IF(Table9[[#This Row],[Current Balance]]&lt;Table9[[#This Row],[Max Lump Sum ]],Table9[[#This Row],[Current Balance]],Table9[[#This Row],[Max Lump Sum ]])),0)</f>
        <v>0</v>
      </c>
      <c r="P936" s="21">
        <f>Table7[Max annual lump sum repayment]*SUM(C937:C948)</f>
        <v>7880.3958913442566</v>
      </c>
      <c r="Q936" s="25">
        <f>Q935*(1+Table7[Monthly SF Inter])+Table9[[#This Row],[Inflation Modifier]]-R935*(1+Table7[Monthly SF Inter])</f>
        <v>4.5942352075148207</v>
      </c>
      <c r="R936" s="25">
        <f>IF(MOD(Table9[[#This Row],[Month]],12)=0,Table9[[#This Row],[Q2 ACC FACTOR]],0)</f>
        <v>0</v>
      </c>
      <c r="S936" s="25">
        <f>S935*(1+D935)+Table9[[#This Row],[ACC FACTOR PAYMENTS]]</f>
        <v>26355.45910956111</v>
      </c>
    </row>
    <row r="937" spans="1:19" x14ac:dyDescent="0.25">
      <c r="A937" s="1">
        <v>925</v>
      </c>
      <c r="B937" s="1">
        <f t="shared" si="14"/>
        <v>0</v>
      </c>
      <c r="C937" s="7">
        <f>G$12/-PV(Table7[Monthly mortgage rate], (12*Table7[Amortization period (yrs)]),1 )</f>
        <v>4377.9977174134756</v>
      </c>
      <c r="D937" s="11">
        <f>IF(Table1[[#This Row],[Month]]&lt;=(12*Table7[mortgage term (yrs)]),Table7[Monthly mortgage rate],Table7[Monthly Exp Renewal Rate])</f>
        <v>4.9038466830562122E-3</v>
      </c>
      <c r="E937" s="21">
        <f>Table1[[#This Row],[Current mortgage rate]]*G936</f>
        <v>-137240.18776781837</v>
      </c>
      <c r="F937" s="5">
        <f>Table1[[#This Row],[Payment amount]]-Table1[[#This Row],[Interest paid]]</f>
        <v>141618.18548523184</v>
      </c>
      <c r="G937" s="20">
        <f>G936-Table1[[#This Row],[Principal repaid]]-Table1[[#This Row],[Annual paym]]</f>
        <v>-28127849.533624876</v>
      </c>
      <c r="H937" s="20">
        <f>H936-(Table1[[#This Row],[Payment amount]]-Table1[[#This Row],[Interest Paid W/O LSP]])</f>
        <v>-18612402.231817067</v>
      </c>
      <c r="I937">
        <f>H936*Table1[[#This Row],[Current mortgage rate]]</f>
        <v>-90805.601172506475</v>
      </c>
      <c r="J937" s="25">
        <f>IF(Table1[[#This Row],[Month]]&gt;Table7[Amortization period (yrs)]*12,0,IF(Table1[[#This Row],[Month]]&lt;Table7[mortgage term (yrs)]*12,0,IF(Table1[[#This Row],[Month]]=Table7[mortgage term (yrs)]*12,-H$5,Table1[[#This Row],[Payment amount]]+B937)))</f>
        <v>0</v>
      </c>
      <c r="K937">
        <v>926</v>
      </c>
      <c r="L937" s="25">
        <f>Table7[Initial Monthly Deposit]*Table9[[#This Row],[Inflation Modifier]]</f>
        <v>1837.6940830059284</v>
      </c>
      <c r="M937" s="25">
        <f xml:space="preserve"> (1+Table7[Inflation])^(QUOTIENT(Table9[[#This Row],[Month]]-1,12))</f>
        <v>4.5942352075148207</v>
      </c>
      <c r="N937">
        <f>N936*(1+Table7[Monthly SF Inter])+Table9[[#This Row],[Monthly Payment]]-O936*(1+Table7[Monthly SF Inter])</f>
        <v>830107.07419915963</v>
      </c>
      <c r="O937">
        <f>IF(MOD(Table9[[#This Row],[Month]],12)=0,(IF(Table9[[#This Row],[Current Balance]]&lt;Table9[[#This Row],[Max Lump Sum ]],Table9[[#This Row],[Current Balance]],Table9[[#This Row],[Max Lump Sum ]])),0)</f>
        <v>0</v>
      </c>
      <c r="P937" s="21">
        <f>Table7[Max annual lump sum repayment]*SUM(C938:C949)</f>
        <v>7880.3958913442566</v>
      </c>
      <c r="Q937" s="25">
        <f>Q936*(1+Table7[Monthly SF Inter])+Table9[[#This Row],[Inflation Modifier]]-R936*(1+Table7[Monthly SF Inter])</f>
        <v>9.207416652652423</v>
      </c>
      <c r="R937" s="25">
        <f>IF(MOD(Table9[[#This Row],[Month]],12)=0,Table9[[#This Row],[Q2 ACC FACTOR]],0)</f>
        <v>0</v>
      </c>
      <c r="S937" s="25">
        <f>S936*(1+D936)+Table9[[#This Row],[ACC FACTOR PAYMENTS]]</f>
        <v>26484.702240295956</v>
      </c>
    </row>
    <row r="938" spans="1:19" x14ac:dyDescent="0.25">
      <c r="A938" s="1">
        <v>926</v>
      </c>
      <c r="B938" s="1">
        <f t="shared" si="14"/>
        <v>0</v>
      </c>
      <c r="C938" s="7">
        <f>G$12/-PV(Table7[Monthly mortgage rate], (12*Table7[Amortization period (yrs)]),1 )</f>
        <v>4377.9977174134756</v>
      </c>
      <c r="D938" s="11">
        <f>IF(Table1[[#This Row],[Month]]&lt;=(12*Table7[mortgage term (yrs)]),Table7[Monthly mortgage rate],Table7[Monthly Exp Renewal Rate])</f>
        <v>4.9038466830562122E-3</v>
      </c>
      <c r="E938" s="21">
        <f>Table1[[#This Row],[Current mortgage rate]]*G937</f>
        <v>-137934.66163697059</v>
      </c>
      <c r="F938" s="5">
        <f>Table1[[#This Row],[Payment amount]]-Table1[[#This Row],[Interest paid]]</f>
        <v>142312.65935438406</v>
      </c>
      <c r="G938" s="20">
        <f>G937-Table1[[#This Row],[Principal repaid]]-Table1[[#This Row],[Annual paym]]</f>
        <v>-28270162.192979261</v>
      </c>
      <c r="H938" s="20">
        <f>H937-(Table1[[#This Row],[Payment amount]]-Table1[[#This Row],[Interest Paid W/O LSP]])</f>
        <v>-18708052.596482683</v>
      </c>
      <c r="I938">
        <f>H937*Table1[[#This Row],[Current mortgage rate]]</f>
        <v>-91272.366948204159</v>
      </c>
      <c r="J938" s="25">
        <f>IF(Table1[[#This Row],[Month]]&gt;Table7[Amortization period (yrs)]*12,0,IF(Table1[[#This Row],[Month]]&lt;Table7[mortgage term (yrs)]*12,0,IF(Table1[[#This Row],[Month]]=Table7[mortgage term (yrs)]*12,-H$5,Table1[[#This Row],[Payment amount]]+B938)))</f>
        <v>0</v>
      </c>
      <c r="K938">
        <v>927</v>
      </c>
      <c r="L938" s="25">
        <f>Table7[Initial Monthly Deposit]*Table9[[#This Row],[Inflation Modifier]]</f>
        <v>1837.6940830059284</v>
      </c>
      <c r="M938" s="25">
        <f xml:space="preserve"> (1+Table7[Inflation])^(QUOTIENT(Table9[[#This Row],[Month]]-1,12))</f>
        <v>4.5942352075148207</v>
      </c>
      <c r="N938">
        <f>N937*(1+Table7[Monthly SF Inter])+Table9[[#This Row],[Monthly Payment]]-O937*(1+Table7[Monthly SF Inter])</f>
        <v>835368.05968318111</v>
      </c>
      <c r="O938">
        <f>IF(MOD(Table9[[#This Row],[Month]],12)=0,(IF(Table9[[#This Row],[Current Balance]]&lt;Table9[[#This Row],[Max Lump Sum ]],Table9[[#This Row],[Current Balance]],Table9[[#This Row],[Max Lump Sum ]])),0)</f>
        <v>0</v>
      </c>
      <c r="P938" s="21">
        <f>Table7[Max annual lump sum repayment]*SUM(C939:C950)</f>
        <v>7880.3958913442566</v>
      </c>
      <c r="Q938" s="25">
        <f>Q937*(1+Table7[Monthly SF Inter])+Table9[[#This Row],[Inflation Modifier]]-R937*(1+Table7[Monthly SF Inter])</f>
        <v>13.839622468095143</v>
      </c>
      <c r="R938" s="25">
        <f>IF(MOD(Table9[[#This Row],[Month]],12)=0,Table9[[#This Row],[Q2 ACC FACTOR]],0)</f>
        <v>0</v>
      </c>
      <c r="S938" s="25">
        <f>S937*(1+D937)+Table9[[#This Row],[ACC FACTOR PAYMENTS]]</f>
        <v>26614.579159528763</v>
      </c>
    </row>
    <row r="939" spans="1:19" x14ac:dyDescent="0.25">
      <c r="A939" s="1">
        <v>927</v>
      </c>
      <c r="B939" s="1">
        <f t="shared" si="14"/>
        <v>0</v>
      </c>
      <c r="C939" s="7">
        <f>G$12/-PV(Table7[Monthly mortgage rate], (12*Table7[Amortization period (yrs)]),1 )</f>
        <v>4377.9977174134756</v>
      </c>
      <c r="D939" s="11">
        <f>IF(Table1[[#This Row],[Month]]&lt;=(12*Table7[mortgage term (yrs)]),Table7[Monthly mortgage rate],Table7[Monthly Exp Renewal Rate])</f>
        <v>4.9038466830562122E-3</v>
      </c>
      <c r="E939" s="21">
        <f>Table1[[#This Row],[Current mortgage rate]]*G938</f>
        <v>-138632.54109950247</v>
      </c>
      <c r="F939" s="5">
        <f>Table1[[#This Row],[Payment amount]]-Table1[[#This Row],[Interest paid]]</f>
        <v>143010.53881691594</v>
      </c>
      <c r="G939" s="20">
        <f>G938-Table1[[#This Row],[Principal repaid]]-Table1[[#This Row],[Annual paym]]</f>
        <v>-28413172.731796179</v>
      </c>
      <c r="H939" s="20">
        <f>H938-(Table1[[#This Row],[Payment amount]]-Table1[[#This Row],[Interest Paid W/O LSP]])</f>
        <v>-18804172.0158718</v>
      </c>
      <c r="I939">
        <f>H938*Table1[[#This Row],[Current mortgage rate]]</f>
        <v>-91741.421671702759</v>
      </c>
      <c r="J939" s="25">
        <f>IF(Table1[[#This Row],[Month]]&gt;Table7[Amortization period (yrs)]*12,0,IF(Table1[[#This Row],[Month]]&lt;Table7[mortgage term (yrs)]*12,0,IF(Table1[[#This Row],[Month]]=Table7[mortgage term (yrs)]*12,-H$5,Table1[[#This Row],[Payment amount]]+B939)))</f>
        <v>0</v>
      </c>
      <c r="K939">
        <v>928</v>
      </c>
      <c r="L939" s="25">
        <f>Table7[Initial Monthly Deposit]*Table9[[#This Row],[Inflation Modifier]]</f>
        <v>1837.6940830059284</v>
      </c>
      <c r="M939" s="25">
        <f xml:space="preserve"> (1+Table7[Inflation])^(QUOTIENT(Table9[[#This Row],[Month]]-1,12))</f>
        <v>4.5942352075148207</v>
      </c>
      <c r="N939">
        <f>N938*(1+Table7[Monthly SF Inter])+Table9[[#This Row],[Monthly Payment]]-O938*(1+Table7[Monthly SF Inter])</f>
        <v>840650.74102660199</v>
      </c>
      <c r="O939">
        <f>IF(MOD(Table9[[#This Row],[Month]],12)=0,(IF(Table9[[#This Row],[Current Balance]]&lt;Table9[[#This Row],[Max Lump Sum ]],Table9[[#This Row],[Current Balance]],Table9[[#This Row],[Max Lump Sum ]])),0)</f>
        <v>0</v>
      </c>
      <c r="P939" s="21">
        <f>Table7[Max annual lump sum repayment]*SUM(C940:C951)</f>
        <v>7880.3958913442566</v>
      </c>
      <c r="Q939" s="25">
        <f>Q938*(1+Table7[Monthly SF Inter])+Table9[[#This Row],[Inflation Modifier]]-R938*(1+Table7[Monthly SF Inter])</f>
        <v>18.490931108737897</v>
      </c>
      <c r="R939" s="25">
        <f>IF(MOD(Table9[[#This Row],[Month]],12)=0,Table9[[#This Row],[Q2 ACC FACTOR]],0)</f>
        <v>0</v>
      </c>
      <c r="S939" s="25">
        <f>S938*(1+D938)+Table9[[#This Row],[ACC FACTOR PAYMENTS]]</f>
        <v>26745.092975261156</v>
      </c>
    </row>
    <row r="940" spans="1:19" x14ac:dyDescent="0.25">
      <c r="A940" s="1">
        <v>928</v>
      </c>
      <c r="B940" s="1">
        <f t="shared" si="14"/>
        <v>0</v>
      </c>
      <c r="C940" s="7">
        <f>G$12/-PV(Table7[Monthly mortgage rate], (12*Table7[Amortization period (yrs)]),1 )</f>
        <v>4377.9977174134756</v>
      </c>
      <c r="D940" s="11">
        <f>IF(Table1[[#This Row],[Month]]&lt;=(12*Table7[mortgage term (yrs)]),Table7[Monthly mortgage rate],Table7[Monthly Exp Renewal Rate])</f>
        <v>4.9038466830562122E-3</v>
      </c>
      <c r="E940" s="21">
        <f>Table1[[#This Row],[Current mortgage rate]]*G939</f>
        <v>-139333.84285592192</v>
      </c>
      <c r="F940" s="5">
        <f>Table1[[#This Row],[Payment amount]]-Table1[[#This Row],[Interest paid]]</f>
        <v>143711.84057333539</v>
      </c>
      <c r="G940" s="20">
        <f>G939-Table1[[#This Row],[Principal repaid]]-Table1[[#This Row],[Annual paym]]</f>
        <v>-28556884.572369516</v>
      </c>
      <c r="H940" s="20">
        <f>H939-(Table1[[#This Row],[Payment amount]]-Table1[[#This Row],[Interest Paid W/O LSP]])</f>
        <v>-18900762.790156864</v>
      </c>
      <c r="I940">
        <f>H939*Table1[[#This Row],[Current mortgage rate]]</f>
        <v>-92212.776567651381</v>
      </c>
      <c r="J940" s="25">
        <f>IF(Table1[[#This Row],[Month]]&gt;Table7[Amortization period (yrs)]*12,0,IF(Table1[[#This Row],[Month]]&lt;Table7[mortgage term (yrs)]*12,0,IF(Table1[[#This Row],[Month]]=Table7[mortgage term (yrs)]*12,-H$5,Table1[[#This Row],[Payment amount]]+B940)))</f>
        <v>0</v>
      </c>
    </row>
    <row r="941" spans="1:19" x14ac:dyDescent="0.25">
      <c r="A941" s="1">
        <v>929</v>
      </c>
      <c r="B941" s="1">
        <f t="shared" ref="B941:B973" si="15">O940</f>
        <v>0</v>
      </c>
      <c r="C941" s="7">
        <f>G$12/-PV(Table7[Monthly mortgage rate], (12*Table7[Amortization period (yrs)]),1 )</f>
        <v>4377.9977174134756</v>
      </c>
      <c r="D941" s="11">
        <f>IF(Table1[[#This Row],[Month]]&lt;=(12*Table7[mortgage term (yrs)]),Table7[Monthly mortgage rate],Table7[Monthly Exp Renewal Rate])</f>
        <v>4.9038466830562122E-3</v>
      </c>
      <c r="E941" s="21">
        <f>Table1[[#This Row],[Current mortgage rate]]*G940</f>
        <v>-140038.58368863337</v>
      </c>
      <c r="F941" s="5">
        <f>Table1[[#This Row],[Payment amount]]-Table1[[#This Row],[Interest paid]]</f>
        <v>144416.58140604684</v>
      </c>
      <c r="G941" s="20">
        <f>G940-Table1[[#This Row],[Principal repaid]]-Table1[[#This Row],[Annual paym]]</f>
        <v>-28701301.153775562</v>
      </c>
      <c r="H941" s="20">
        <f>H940-(Table1[[#This Row],[Payment amount]]-Table1[[#This Row],[Interest Paid W/O LSP]])</f>
        <v>-18997827.230790019</v>
      </c>
      <c r="I941">
        <f>H940*Table1[[#This Row],[Current mortgage rate]]</f>
        <v>-92686.442915743013</v>
      </c>
      <c r="J941" s="25">
        <f>IF(Table1[[#This Row],[Month]]&gt;Table7[Amortization period (yrs)]*12,0,IF(Table1[[#This Row],[Month]]&lt;Table7[mortgage term (yrs)]*12,0,IF(Table1[[#This Row],[Month]]=Table7[mortgage term (yrs)]*12,-H$5,Table1[[#This Row],[Payment amount]]+B941)))</f>
        <v>0</v>
      </c>
    </row>
    <row r="942" spans="1:19" x14ac:dyDescent="0.25">
      <c r="A942" s="1">
        <v>930</v>
      </c>
      <c r="B942" s="1">
        <f t="shared" si="15"/>
        <v>0</v>
      </c>
      <c r="C942" s="7">
        <f>G$12/-PV(Table7[Monthly mortgage rate], (12*Table7[Amortization period (yrs)]),1 )</f>
        <v>4377.9977174134756</v>
      </c>
      <c r="D942" s="11">
        <f>IF(Table1[[#This Row],[Month]]&lt;=(12*Table7[mortgage term (yrs)]),Table7[Monthly mortgage rate],Table7[Monthly Exp Renewal Rate])</f>
        <v>4.9038466830562122E-3</v>
      </c>
      <c r="E942" s="21">
        <f>Table1[[#This Row],[Current mortgage rate]]*G941</f>
        <v>-140746.78046233972</v>
      </c>
      <c r="F942" s="5">
        <f>Table1[[#This Row],[Payment amount]]-Table1[[#This Row],[Interest paid]]</f>
        <v>145124.77817975319</v>
      </c>
      <c r="G942" s="20">
        <f>G941-Table1[[#This Row],[Principal repaid]]-Table1[[#This Row],[Annual paym]]</f>
        <v>-28846425.931955315</v>
      </c>
      <c r="H942" s="20">
        <f>H941-(Table1[[#This Row],[Payment amount]]-Table1[[#This Row],[Interest Paid W/O LSP]])</f>
        <v>-19095367.660558417</v>
      </c>
      <c r="I942">
        <f>H941*Table1[[#This Row],[Current mortgage rate]]</f>
        <v>-93162.432050984615</v>
      </c>
      <c r="J942" s="25">
        <f>IF(Table1[[#This Row],[Month]]&gt;Table7[Amortization period (yrs)]*12,0,IF(Table1[[#This Row],[Month]]&lt;Table7[mortgage term (yrs)]*12,0,IF(Table1[[#This Row],[Month]]=Table7[mortgage term (yrs)]*12,-H$5,Table1[[#This Row],[Payment amount]]+B942)))</f>
        <v>0</v>
      </c>
    </row>
    <row r="943" spans="1:19" x14ac:dyDescent="0.25">
      <c r="A943" s="1">
        <v>931</v>
      </c>
      <c r="B943" s="1">
        <f t="shared" si="15"/>
        <v>0</v>
      </c>
      <c r="C943" s="7">
        <f>G$12/-PV(Table7[Monthly mortgage rate], (12*Table7[Amortization period (yrs)]),1 )</f>
        <v>4377.9977174134756</v>
      </c>
      <c r="D943" s="11">
        <f>IF(Table1[[#This Row],[Month]]&lt;=(12*Table7[mortgage term (yrs)]),Table7[Monthly mortgage rate],Table7[Monthly Exp Renewal Rate])</f>
        <v>4.9038466830562122E-3</v>
      </c>
      <c r="E943" s="21">
        <f>Table1[[#This Row],[Current mortgage rate]]*G942</f>
        <v>-141458.45012444578</v>
      </c>
      <c r="F943" s="5">
        <f>Table1[[#This Row],[Payment amount]]-Table1[[#This Row],[Interest paid]]</f>
        <v>145836.44784185925</v>
      </c>
      <c r="G943" s="20">
        <f>G942-Table1[[#This Row],[Principal repaid]]-Table1[[#This Row],[Annual paym]]</f>
        <v>-28992262.379797176</v>
      </c>
      <c r="H943" s="20">
        <f>H942-(Table1[[#This Row],[Payment amount]]-Table1[[#This Row],[Interest Paid W/O LSP]])</f>
        <v>-19193386.413639799</v>
      </c>
      <c r="I943">
        <f>H942*Table1[[#This Row],[Current mortgage rate]]</f>
        <v>-93640.755363968259</v>
      </c>
      <c r="J943" s="25">
        <f>IF(Table1[[#This Row],[Month]]&gt;Table7[Amortization period (yrs)]*12,0,IF(Table1[[#This Row],[Month]]&lt;Table7[mortgage term (yrs)]*12,0,IF(Table1[[#This Row],[Month]]=Table7[mortgage term (yrs)]*12,-H$5,Table1[[#This Row],[Payment amount]]+B943)))</f>
        <v>0</v>
      </c>
    </row>
    <row r="944" spans="1:19" x14ac:dyDescent="0.25">
      <c r="A944" s="1">
        <v>932</v>
      </c>
      <c r="B944" s="1">
        <f t="shared" si="15"/>
        <v>0</v>
      </c>
      <c r="C944" s="7">
        <f>G$12/-PV(Table7[Monthly mortgage rate], (12*Table7[Amortization period (yrs)]),1 )</f>
        <v>4377.9977174134756</v>
      </c>
      <c r="D944" s="11">
        <f>IF(Table1[[#This Row],[Month]]&lt;=(12*Table7[mortgage term (yrs)]),Table7[Monthly mortgage rate],Table7[Monthly Exp Renewal Rate])</f>
        <v>4.9038466830562122E-3</v>
      </c>
      <c r="E944" s="21">
        <f>Table1[[#This Row],[Current mortgage rate]]*G943</f>
        <v>-142173.60970546378</v>
      </c>
      <c r="F944" s="5">
        <f>Table1[[#This Row],[Payment amount]]-Table1[[#This Row],[Interest paid]]</f>
        <v>146551.60742287725</v>
      </c>
      <c r="G944" s="20">
        <f>G943-Table1[[#This Row],[Principal repaid]]-Table1[[#This Row],[Annual paym]]</f>
        <v>-29138813.987220053</v>
      </c>
      <c r="H944" s="20">
        <f>H943-(Table1[[#This Row],[Payment amount]]-Table1[[#This Row],[Interest Paid W/O LSP]])</f>
        <v>-19291885.835658357</v>
      </c>
      <c r="I944">
        <f>H943*Table1[[#This Row],[Current mortgage rate]]</f>
        <v>-94121.424301143692</v>
      </c>
      <c r="J944" s="25">
        <f>IF(Table1[[#This Row],[Month]]&gt;Table7[Amortization period (yrs)]*12,0,IF(Table1[[#This Row],[Month]]&lt;Table7[mortgage term (yrs)]*12,0,IF(Table1[[#This Row],[Month]]=Table7[mortgage term (yrs)]*12,-H$5,Table1[[#This Row],[Payment amount]]+B944)))</f>
        <v>0</v>
      </c>
    </row>
    <row r="945" spans="1:10" x14ac:dyDescent="0.25">
      <c r="A945" s="1">
        <v>933</v>
      </c>
      <c r="B945" s="1">
        <f t="shared" si="15"/>
        <v>0</v>
      </c>
      <c r="C945" s="7">
        <f>G$12/-PV(Table7[Monthly mortgage rate], (12*Table7[Amortization period (yrs)]),1 )</f>
        <v>4377.9977174134756</v>
      </c>
      <c r="D945" s="11">
        <f>IF(Table1[[#This Row],[Month]]&lt;=(12*Table7[mortgage term (yrs)]),Table7[Monthly mortgage rate],Table7[Monthly Exp Renewal Rate])</f>
        <v>4.9038466830562122E-3</v>
      </c>
      <c r="E945" s="21">
        <f>Table1[[#This Row],[Current mortgage rate]]*G944</f>
        <v>-142892.27631942101</v>
      </c>
      <c r="F945" s="5">
        <f>Table1[[#This Row],[Payment amount]]-Table1[[#This Row],[Interest paid]]</f>
        <v>147270.27403683448</v>
      </c>
      <c r="G945" s="20">
        <f>G944-Table1[[#This Row],[Principal repaid]]-Table1[[#This Row],[Annual paym]]</f>
        <v>-29286084.261256889</v>
      </c>
      <c r="H945" s="20">
        <f>H944-(Table1[[#This Row],[Payment amount]]-Table1[[#This Row],[Interest Paid W/O LSP]])</f>
        <v>-19390868.283740863</v>
      </c>
      <c r="I945">
        <f>H944*Table1[[#This Row],[Current mortgage rate]]</f>
        <v>-94604.450365092358</v>
      </c>
      <c r="J945" s="25">
        <f>IF(Table1[[#This Row],[Month]]&gt;Table7[Amortization period (yrs)]*12,0,IF(Table1[[#This Row],[Month]]&lt;Table7[mortgage term (yrs)]*12,0,IF(Table1[[#This Row],[Month]]=Table7[mortgage term (yrs)]*12,-H$5,Table1[[#This Row],[Payment amount]]+B945)))</f>
        <v>0</v>
      </c>
    </row>
    <row r="946" spans="1:10" x14ac:dyDescent="0.25">
      <c r="A946" s="1">
        <v>934</v>
      </c>
      <c r="B946" s="1">
        <f t="shared" si="15"/>
        <v>0</v>
      </c>
      <c r="C946" s="7">
        <f>G$12/-PV(Table7[Monthly mortgage rate], (12*Table7[Amortization period (yrs)]),1 )</f>
        <v>4377.9977174134756</v>
      </c>
      <c r="D946" s="11">
        <f>IF(Table1[[#This Row],[Month]]&lt;=(12*Table7[mortgage term (yrs)]),Table7[Monthly mortgage rate],Table7[Monthly Exp Renewal Rate])</f>
        <v>4.9038466830562122E-3</v>
      </c>
      <c r="E946" s="21">
        <f>Table1[[#This Row],[Current mortgage rate]]*G945</f>
        <v>-143614.46716426933</v>
      </c>
      <c r="F946" s="5">
        <f>Table1[[#This Row],[Payment amount]]-Table1[[#This Row],[Interest paid]]</f>
        <v>147992.4648816828</v>
      </c>
      <c r="G946" s="20">
        <f>G945-Table1[[#This Row],[Principal repaid]]-Table1[[#This Row],[Annual paym]]</f>
        <v>-29434076.726138573</v>
      </c>
      <c r="H946" s="20">
        <f>H945-(Table1[[#This Row],[Payment amount]]-Table1[[#This Row],[Interest Paid W/O LSP]])</f>
        <v>-19490336.126573078</v>
      </c>
      <c r="I946">
        <f>H945*Table1[[#This Row],[Current mortgage rate]]</f>
        <v>-95089.845114802534</v>
      </c>
      <c r="J946" s="25">
        <f>IF(Table1[[#This Row],[Month]]&gt;Table7[Amortization period (yrs)]*12,0,IF(Table1[[#This Row],[Month]]&lt;Table7[mortgage term (yrs)]*12,0,IF(Table1[[#This Row],[Month]]=Table7[mortgage term (yrs)]*12,-H$5,Table1[[#This Row],[Payment amount]]+B946)))</f>
        <v>0</v>
      </c>
    </row>
    <row r="947" spans="1:10" x14ac:dyDescent="0.25">
      <c r="A947" s="1">
        <v>935</v>
      </c>
      <c r="B947" s="1">
        <f t="shared" si="15"/>
        <v>0</v>
      </c>
      <c r="C947" s="7">
        <f>G$12/-PV(Table7[Monthly mortgage rate], (12*Table7[Amortization period (yrs)]),1 )</f>
        <v>4377.9977174134756</v>
      </c>
      <c r="D947" s="11">
        <f>IF(Table1[[#This Row],[Month]]&lt;=(12*Table7[mortgage term (yrs)]),Table7[Monthly mortgage rate],Table7[Monthly Exp Renewal Rate])</f>
        <v>4.9038466830562122E-3</v>
      </c>
      <c r="E947" s="21">
        <f>Table1[[#This Row],[Current mortgage rate]]*G946</f>
        <v>-144340.19952229669</v>
      </c>
      <c r="F947" s="5">
        <f>Table1[[#This Row],[Payment amount]]-Table1[[#This Row],[Interest paid]]</f>
        <v>148718.19723971016</v>
      </c>
      <c r="G947" s="20">
        <f>G946-Table1[[#This Row],[Principal repaid]]-Table1[[#This Row],[Annual paym]]</f>
        <v>-29582794.923378285</v>
      </c>
      <c r="H947" s="20">
        <f>H946-(Table1[[#This Row],[Payment amount]]-Table1[[#This Row],[Interest Paid W/O LSP]])</f>
        <v>-19590291.744456436</v>
      </c>
      <c r="I947">
        <f>H946*Table1[[#This Row],[Current mortgage rate]]</f>
        <v>-95577.620165946049</v>
      </c>
      <c r="J947" s="25">
        <f>IF(Table1[[#This Row],[Month]]&gt;Table7[Amortization period (yrs)]*12,0,IF(Table1[[#This Row],[Month]]&lt;Table7[mortgage term (yrs)]*12,0,IF(Table1[[#This Row],[Month]]=Table7[mortgage term (yrs)]*12,-H$5,Table1[[#This Row],[Payment amount]]+B947)))</f>
        <v>0</v>
      </c>
    </row>
    <row r="948" spans="1:10" x14ac:dyDescent="0.25">
      <c r="A948" s="1">
        <v>936</v>
      </c>
      <c r="B948" s="1">
        <f t="shared" si="15"/>
        <v>0</v>
      </c>
      <c r="C948" s="7">
        <f>G$12/-PV(Table7[Monthly mortgage rate], (12*Table7[Amortization period (yrs)]),1 )</f>
        <v>4377.9977174134756</v>
      </c>
      <c r="D948" s="11">
        <f>IF(Table1[[#This Row],[Month]]&lt;=(12*Table7[mortgage term (yrs)]),Table7[Monthly mortgage rate],Table7[Monthly Exp Renewal Rate])</f>
        <v>4.9038466830562122E-3</v>
      </c>
      <c r="E948" s="21">
        <f>Table1[[#This Row],[Current mortgage rate]]*G947</f>
        <v>-145069.49076054076</v>
      </c>
      <c r="F948" s="5">
        <f>Table1[[#This Row],[Payment amount]]-Table1[[#This Row],[Interest paid]]</f>
        <v>149447.48847795423</v>
      </c>
      <c r="G948" s="20">
        <f>G947-Table1[[#This Row],[Principal repaid]]-Table1[[#This Row],[Annual paym]]</f>
        <v>-29732242.411856238</v>
      </c>
      <c r="H948" s="20">
        <f>H947-(Table1[[#This Row],[Payment amount]]-Table1[[#This Row],[Interest Paid W/O LSP]])</f>
        <v>-19690737.529365007</v>
      </c>
      <c r="I948">
        <f>H947*Table1[[#This Row],[Current mortgage rate]]</f>
        <v>-96067.787191156196</v>
      </c>
      <c r="J948" s="25">
        <f>IF(Table1[[#This Row],[Month]]&gt;Table7[Amortization period (yrs)]*12,0,IF(Table1[[#This Row],[Month]]&lt;Table7[mortgage term (yrs)]*12,0,IF(Table1[[#This Row],[Month]]=Table7[mortgage term (yrs)]*12,-H$5,Table1[[#This Row],[Payment amount]]+B948)))</f>
        <v>0</v>
      </c>
    </row>
    <row r="949" spans="1:10" x14ac:dyDescent="0.25">
      <c r="A949" s="1">
        <v>937</v>
      </c>
      <c r="B949" s="1">
        <f t="shared" si="15"/>
        <v>0</v>
      </c>
      <c r="C949" s="7">
        <f>G$12/-PV(Table7[Monthly mortgage rate], (12*Table7[Amortization period (yrs)]),1 )</f>
        <v>4377.9977174134756</v>
      </c>
      <c r="D949" s="11">
        <f>IF(Table1[[#This Row],[Month]]&lt;=(12*Table7[mortgage term (yrs)]),Table7[Monthly mortgage rate],Table7[Monthly Exp Renewal Rate])</f>
        <v>4.9038466830562122E-3</v>
      </c>
      <c r="E949" s="21">
        <f>Table1[[#This Row],[Current mortgage rate]]*G948</f>
        <v>-145802.35833120445</v>
      </c>
      <c r="F949" s="5">
        <f>Table1[[#This Row],[Payment amount]]-Table1[[#This Row],[Interest paid]]</f>
        <v>150180.35604861792</v>
      </c>
      <c r="G949" s="20">
        <f>G948-Table1[[#This Row],[Principal repaid]]-Table1[[#This Row],[Annual paym]]</f>
        <v>-29882422.767904855</v>
      </c>
      <c r="H949" s="20">
        <f>H948-(Table1[[#This Row],[Payment amount]]-Table1[[#This Row],[Interest Paid W/O LSP]])</f>
        <v>-19791675.885002729</v>
      </c>
      <c r="I949">
        <f>H948*Table1[[#This Row],[Current mortgage rate]]</f>
        <v>-96560.357920307069</v>
      </c>
      <c r="J949" s="25">
        <f>IF(Table1[[#This Row],[Month]]&gt;Table7[Amortization period (yrs)]*12,0,IF(Table1[[#This Row],[Month]]&lt;Table7[mortgage term (yrs)]*12,0,IF(Table1[[#This Row],[Month]]=Table7[mortgage term (yrs)]*12,-H$5,Table1[[#This Row],[Payment amount]]+B949)))</f>
        <v>0</v>
      </c>
    </row>
    <row r="950" spans="1:10" x14ac:dyDescent="0.25">
      <c r="A950" s="1">
        <v>938</v>
      </c>
      <c r="B950" s="1">
        <f t="shared" si="15"/>
        <v>0</v>
      </c>
      <c r="C950" s="7">
        <f>G$12/-PV(Table7[Monthly mortgage rate], (12*Table7[Amortization period (yrs)]),1 )</f>
        <v>4377.9977174134756</v>
      </c>
      <c r="D950" s="11">
        <f>IF(Table1[[#This Row],[Month]]&lt;=(12*Table7[mortgage term (yrs)]),Table7[Monthly mortgage rate],Table7[Monthly Exp Renewal Rate])</f>
        <v>4.9038466830562122E-3</v>
      </c>
      <c r="E950" s="21">
        <f>Table1[[#This Row],[Current mortgage rate]]*G949</f>
        <v>-146538.81977207365</v>
      </c>
      <c r="F950" s="5">
        <f>Table1[[#This Row],[Payment amount]]-Table1[[#This Row],[Interest paid]]</f>
        <v>150916.81748948712</v>
      </c>
      <c r="G950" s="20">
        <f>G949-Table1[[#This Row],[Principal repaid]]-Table1[[#This Row],[Annual paym]]</f>
        <v>-30033339.585394341</v>
      </c>
      <c r="H950" s="20">
        <f>H949-(Table1[[#This Row],[Payment amount]]-Table1[[#This Row],[Interest Paid W/O LSP]])</f>
        <v>-19893109.226860937</v>
      </c>
      <c r="I950">
        <f>H949*Table1[[#This Row],[Current mortgage rate]]</f>
        <v>-97055.344140794259</v>
      </c>
      <c r="J950" s="25">
        <f>IF(Table1[[#This Row],[Month]]&gt;Table7[Amortization period (yrs)]*12,0,IF(Table1[[#This Row],[Month]]&lt;Table7[mortgage term (yrs)]*12,0,IF(Table1[[#This Row],[Month]]=Table7[mortgage term (yrs)]*12,-H$5,Table1[[#This Row],[Payment amount]]+B950)))</f>
        <v>0</v>
      </c>
    </row>
    <row r="951" spans="1:10" x14ac:dyDescent="0.25">
      <c r="A951" s="1">
        <v>939</v>
      </c>
      <c r="B951" s="1">
        <f t="shared" si="15"/>
        <v>0</v>
      </c>
      <c r="C951" s="7">
        <f>G$12/-PV(Table7[Monthly mortgage rate], (12*Table7[Amortization period (yrs)]),1 )</f>
        <v>4377.9977174134756</v>
      </c>
      <c r="D951" s="11">
        <f>IF(Table1[[#This Row],[Month]]&lt;=(12*Table7[mortgage term (yrs)]),Table7[Monthly mortgage rate],Table7[Monthly Exp Renewal Rate])</f>
        <v>4.9038466830562122E-3</v>
      </c>
      <c r="E951" s="21">
        <f>Table1[[#This Row],[Current mortgage rate]]*G950</f>
        <v>-147278.89270693687</v>
      </c>
      <c r="F951" s="5">
        <f>Table1[[#This Row],[Payment amount]]-Table1[[#This Row],[Interest paid]]</f>
        <v>151656.89042435033</v>
      </c>
      <c r="G951" s="20">
        <f>G950-Table1[[#This Row],[Principal repaid]]-Table1[[#This Row],[Annual paym]]</f>
        <v>-30184996.475818694</v>
      </c>
      <c r="H951" s="20">
        <f>H950-(Table1[[#This Row],[Payment amount]]-Table1[[#This Row],[Interest Paid W/O LSP]])</f>
        <v>-19995039.982276168</v>
      </c>
      <c r="I951">
        <f>H950*Table1[[#This Row],[Current mortgage rate]]</f>
        <v>-97552.757697816938</v>
      </c>
      <c r="J951" s="25">
        <f>IF(Table1[[#This Row],[Month]]&gt;Table7[Amortization period (yrs)]*12,0,IF(Table1[[#This Row],[Month]]&lt;Table7[mortgage term (yrs)]*12,0,IF(Table1[[#This Row],[Month]]=Table7[mortgage term (yrs)]*12,-H$5,Table1[[#This Row],[Payment amount]]+B951)))</f>
        <v>0</v>
      </c>
    </row>
    <row r="952" spans="1:10" x14ac:dyDescent="0.25">
      <c r="A952" s="1">
        <v>940</v>
      </c>
      <c r="B952" s="1">
        <f t="shared" si="15"/>
        <v>0</v>
      </c>
      <c r="C952" s="7">
        <f>G$12/-PV(Table7[Monthly mortgage rate], (12*Table7[Amortization period (yrs)]),1 )</f>
        <v>4377.9977174134756</v>
      </c>
      <c r="D952" s="11">
        <f>IF(Table1[[#This Row],[Month]]&lt;=(12*Table7[mortgage term (yrs)]),Table7[Monthly mortgage rate],Table7[Monthly Exp Renewal Rate])</f>
        <v>4.9038466830562122E-3</v>
      </c>
      <c r="E952" s="21">
        <f>Table1[[#This Row],[Current mortgage rate]]*G951</f>
        <v>-148022.59484600695</v>
      </c>
      <c r="F952" s="5">
        <f>Table1[[#This Row],[Payment amount]]-Table1[[#This Row],[Interest paid]]</f>
        <v>152400.59256342042</v>
      </c>
      <c r="G952" s="20">
        <f>G951-Table1[[#This Row],[Principal repaid]]-Table1[[#This Row],[Annual paym]]</f>
        <v>-30337397.068382114</v>
      </c>
      <c r="H952" s="20">
        <f>H951-(Table1[[#This Row],[Payment amount]]-Table1[[#This Row],[Interest Paid W/O LSP]])</f>
        <v>-20097470.590488244</v>
      </c>
      <c r="I952">
        <f>H951*Table1[[#This Row],[Current mortgage rate]]</f>
        <v>-98052.610494661334</v>
      </c>
      <c r="J952" s="25">
        <f>IF(Table1[[#This Row],[Month]]&gt;Table7[Amortization period (yrs)]*12,0,IF(Table1[[#This Row],[Month]]&lt;Table7[mortgage term (yrs)]*12,0,IF(Table1[[#This Row],[Month]]=Table7[mortgage term (yrs)]*12,-H$5,Table1[[#This Row],[Payment amount]]+B952)))</f>
        <v>0</v>
      </c>
    </row>
    <row r="953" spans="1:10" x14ac:dyDescent="0.25">
      <c r="A953" s="1">
        <v>941</v>
      </c>
      <c r="B953" s="1">
        <f t="shared" si="15"/>
        <v>0</v>
      </c>
      <c r="C953" s="7">
        <f>G$12/-PV(Table7[Monthly mortgage rate], (12*Table7[Amortization period (yrs)]),1 )</f>
        <v>4377.9977174134756</v>
      </c>
      <c r="D953" s="11">
        <f>IF(Table1[[#This Row],[Month]]&lt;=(12*Table7[mortgage term (yrs)]),Table7[Monthly mortgage rate],Table7[Monthly Exp Renewal Rate])</f>
        <v>4.9038466830562122E-3</v>
      </c>
      <c r="E953" s="21">
        <f>Table1[[#This Row],[Current mortgage rate]]*G952</f>
        <v>-148769.94398634488</v>
      </c>
      <c r="F953" s="5">
        <f>Table1[[#This Row],[Payment amount]]-Table1[[#This Row],[Interest paid]]</f>
        <v>153147.94170375835</v>
      </c>
      <c r="G953" s="20">
        <f>G952-Table1[[#This Row],[Principal repaid]]-Table1[[#This Row],[Annual paym]]</f>
        <v>-30490545.010085873</v>
      </c>
      <c r="H953" s="20">
        <f>H952-(Table1[[#This Row],[Payment amount]]-Table1[[#This Row],[Interest Paid W/O LSP]])</f>
        <v>-20200403.502698641</v>
      </c>
      <c r="I953">
        <f>H952*Table1[[#This Row],[Current mortgage rate]]</f>
        <v>-98554.914492985554</v>
      </c>
      <c r="J953" s="25">
        <f>IF(Table1[[#This Row],[Month]]&gt;Table7[Amortization period (yrs)]*12,0,IF(Table1[[#This Row],[Month]]&lt;Table7[mortgage term (yrs)]*12,0,IF(Table1[[#This Row],[Month]]=Table7[mortgage term (yrs)]*12,-H$5,Table1[[#This Row],[Payment amount]]+B953)))</f>
        <v>0</v>
      </c>
    </row>
    <row r="954" spans="1:10" x14ac:dyDescent="0.25">
      <c r="A954" s="1">
        <v>942</v>
      </c>
      <c r="B954" s="1">
        <f t="shared" si="15"/>
        <v>0</v>
      </c>
      <c r="C954" s="7">
        <f>G$12/-PV(Table7[Monthly mortgage rate], (12*Table7[Amortization period (yrs)]),1 )</f>
        <v>4377.9977174134756</v>
      </c>
      <c r="D954" s="11">
        <f>IF(Table1[[#This Row],[Month]]&lt;=(12*Table7[mortgage term (yrs)]),Table7[Monthly mortgage rate],Table7[Monthly Exp Renewal Rate])</f>
        <v>4.9038466830562122E-3</v>
      </c>
      <c r="E954" s="21">
        <f>Table1[[#This Row],[Current mortgage rate]]*G953</f>
        <v>-149520.95801228576</v>
      </c>
      <c r="F954" s="5">
        <f>Table1[[#This Row],[Payment amount]]-Table1[[#This Row],[Interest paid]]</f>
        <v>153898.95572969923</v>
      </c>
      <c r="G954" s="20">
        <f>G953-Table1[[#This Row],[Principal repaid]]-Table1[[#This Row],[Annual paym]]</f>
        <v>-30644443.965815574</v>
      </c>
      <c r="H954" s="20">
        <f>H953-(Table1[[#This Row],[Payment amount]]-Table1[[#This Row],[Interest Paid W/O LSP]])</f>
        <v>-20303841.18212916</v>
      </c>
      <c r="I954">
        <f>H953*Table1[[#This Row],[Current mortgage rate]]</f>
        <v>-99059.68171310582</v>
      </c>
      <c r="J954" s="25">
        <f>IF(Table1[[#This Row],[Month]]&gt;Table7[Amortization period (yrs)]*12,0,IF(Table1[[#This Row],[Month]]&lt;Table7[mortgage term (yrs)]*12,0,IF(Table1[[#This Row],[Month]]=Table7[mortgage term (yrs)]*12,-H$5,Table1[[#This Row],[Payment amount]]+B954)))</f>
        <v>0</v>
      </c>
    </row>
    <row r="955" spans="1:10" x14ac:dyDescent="0.25">
      <c r="A955" s="1">
        <v>943</v>
      </c>
      <c r="B955" s="1">
        <f t="shared" si="15"/>
        <v>0</v>
      </c>
      <c r="C955" s="7">
        <f>G$12/-PV(Table7[Monthly mortgage rate], (12*Table7[Amortization period (yrs)]),1 )</f>
        <v>4377.9977174134756</v>
      </c>
      <c r="D955" s="11">
        <f>IF(Table1[[#This Row],[Month]]&lt;=(12*Table7[mortgage term (yrs)]),Table7[Monthly mortgage rate],Table7[Monthly Exp Renewal Rate])</f>
        <v>4.9038466830562122E-3</v>
      </c>
      <c r="E955" s="21">
        <f>Table1[[#This Row],[Current mortgage rate]]*G954</f>
        <v>-150275.65489586667</v>
      </c>
      <c r="F955" s="5">
        <f>Table1[[#This Row],[Payment amount]]-Table1[[#This Row],[Interest paid]]</f>
        <v>154653.65261328014</v>
      </c>
      <c r="G955" s="20">
        <f>G954-Table1[[#This Row],[Principal repaid]]-Table1[[#This Row],[Annual paym]]</f>
        <v>-30799097.618428852</v>
      </c>
      <c r="H955" s="20">
        <f>H954-(Table1[[#This Row],[Payment amount]]-Table1[[#This Row],[Interest Paid W/O LSP]])</f>
        <v>-20407786.104080856</v>
      </c>
      <c r="I955">
        <f>H954*Table1[[#This Row],[Current mortgage rate]]</f>
        <v>-99566.924234284204</v>
      </c>
      <c r="J955" s="25">
        <f>IF(Table1[[#This Row],[Month]]&gt;Table7[Amortization period (yrs)]*12,0,IF(Table1[[#This Row],[Month]]&lt;Table7[mortgage term (yrs)]*12,0,IF(Table1[[#This Row],[Month]]=Table7[mortgage term (yrs)]*12,-H$5,Table1[[#This Row],[Payment amount]]+B955)))</f>
        <v>0</v>
      </c>
    </row>
    <row r="956" spans="1:10" x14ac:dyDescent="0.25">
      <c r="A956" s="1">
        <v>944</v>
      </c>
      <c r="B956" s="1">
        <f t="shared" si="15"/>
        <v>0</v>
      </c>
      <c r="C956" s="7">
        <f>G$12/-PV(Table7[Monthly mortgage rate], (12*Table7[Amortization period (yrs)]),1 )</f>
        <v>4377.9977174134756</v>
      </c>
      <c r="D956" s="11">
        <f>IF(Table1[[#This Row],[Month]]&lt;=(12*Table7[mortgage term (yrs)]),Table7[Monthly mortgage rate],Table7[Monthly Exp Renewal Rate])</f>
        <v>4.9038466830562122E-3</v>
      </c>
      <c r="E956" s="21">
        <f>Table1[[#This Row],[Current mortgage rate]]*G955</f>
        <v>-151034.05269725682</v>
      </c>
      <c r="F956" s="5">
        <f>Table1[[#This Row],[Payment amount]]-Table1[[#This Row],[Interest paid]]</f>
        <v>155412.05041467029</v>
      </c>
      <c r="G956" s="20">
        <f>G955-Table1[[#This Row],[Principal repaid]]-Table1[[#This Row],[Annual paym]]</f>
        <v>-30954509.668843523</v>
      </c>
      <c r="H956" s="20">
        <f>H955-(Table1[[#This Row],[Payment amount]]-Table1[[#This Row],[Interest Paid W/O LSP]])</f>
        <v>-20512240.755993288</v>
      </c>
      <c r="I956">
        <f>H955*Table1[[#This Row],[Current mortgage rate]]</f>
        <v>-100076.65419501756</v>
      </c>
      <c r="J956" s="25">
        <f>IF(Table1[[#This Row],[Month]]&gt;Table7[Amortization period (yrs)]*12,0,IF(Table1[[#This Row],[Month]]&lt;Table7[mortgage term (yrs)]*12,0,IF(Table1[[#This Row],[Month]]=Table7[mortgage term (yrs)]*12,-H$5,Table1[[#This Row],[Payment amount]]+B956)))</f>
        <v>0</v>
      </c>
    </row>
    <row r="957" spans="1:10" x14ac:dyDescent="0.25">
      <c r="A957" s="1">
        <v>945</v>
      </c>
      <c r="B957" s="1">
        <f t="shared" si="15"/>
        <v>0</v>
      </c>
      <c r="C957" s="7">
        <f>G$12/-PV(Table7[Monthly mortgage rate], (12*Table7[Amortization period (yrs)]),1 )</f>
        <v>4377.9977174134756</v>
      </c>
      <c r="D957" s="11">
        <f>IF(Table1[[#This Row],[Month]]&lt;=(12*Table7[mortgage term (yrs)]),Table7[Monthly mortgage rate],Table7[Monthly Exp Renewal Rate])</f>
        <v>4.9038466830562122E-3</v>
      </c>
      <c r="E957" s="21">
        <f>Table1[[#This Row],[Current mortgage rate]]*G956</f>
        <v>-151796.16956518975</v>
      </c>
      <c r="F957" s="5">
        <f>Table1[[#This Row],[Payment amount]]-Table1[[#This Row],[Interest paid]]</f>
        <v>156174.16728260322</v>
      </c>
      <c r="G957" s="20">
        <f>G956-Table1[[#This Row],[Principal repaid]]-Table1[[#This Row],[Annual paym]]</f>
        <v>-31110683.836126126</v>
      </c>
      <c r="H957" s="20">
        <f>H956-(Table1[[#This Row],[Payment amount]]-Table1[[#This Row],[Interest Paid W/O LSP]])</f>
        <v>-20617207.63750403</v>
      </c>
      <c r="I957">
        <f>H956*Table1[[#This Row],[Current mortgage rate]]</f>
        <v>-100588.88379332813</v>
      </c>
      <c r="J957" s="25">
        <f>IF(Table1[[#This Row],[Month]]&gt;Table7[Amortization period (yrs)]*12,0,IF(Table1[[#This Row],[Month]]&lt;Table7[mortgage term (yrs)]*12,0,IF(Table1[[#This Row],[Month]]=Table7[mortgage term (yrs)]*12,-H$5,Table1[[#This Row],[Payment amount]]+B957)))</f>
        <v>0</v>
      </c>
    </row>
    <row r="958" spans="1:10" x14ac:dyDescent="0.25">
      <c r="A958" s="1">
        <v>946</v>
      </c>
      <c r="B958" s="1">
        <f t="shared" si="15"/>
        <v>0</v>
      </c>
      <c r="C958" s="7">
        <f>G$12/-PV(Table7[Monthly mortgage rate], (12*Table7[Amortization period (yrs)]),1 )</f>
        <v>4377.9977174134756</v>
      </c>
      <c r="D958" s="11">
        <f>IF(Table1[[#This Row],[Month]]&lt;=(12*Table7[mortgage term (yrs)]),Table7[Monthly mortgage rate],Table7[Monthly Exp Renewal Rate])</f>
        <v>4.9038466830562122E-3</v>
      </c>
      <c r="E958" s="21">
        <f>Table1[[#This Row],[Current mortgage rate]]*G957</f>
        <v>-152562.02373739763</v>
      </c>
      <c r="F958" s="5">
        <f>Table1[[#This Row],[Payment amount]]-Table1[[#This Row],[Interest paid]]</f>
        <v>156940.0214548111</v>
      </c>
      <c r="G958" s="20">
        <f>G957-Table1[[#This Row],[Principal repaid]]-Table1[[#This Row],[Annual paym]]</f>
        <v>-31267623.857580937</v>
      </c>
      <c r="H958" s="20">
        <f>H957-(Table1[[#This Row],[Payment amount]]-Table1[[#This Row],[Interest Paid W/O LSP]])</f>
        <v>-20722689.2605085</v>
      </c>
      <c r="I958">
        <f>H957*Table1[[#This Row],[Current mortgage rate]]</f>
        <v>-101103.62528705534</v>
      </c>
      <c r="J958" s="25">
        <f>IF(Table1[[#This Row],[Month]]&gt;Table7[Amortization period (yrs)]*12,0,IF(Table1[[#This Row],[Month]]&lt;Table7[mortgage term (yrs)]*12,0,IF(Table1[[#This Row],[Month]]=Table7[mortgage term (yrs)]*12,-H$5,Table1[[#This Row],[Payment amount]]+B958)))</f>
        <v>0</v>
      </c>
    </row>
    <row r="959" spans="1:10" x14ac:dyDescent="0.25">
      <c r="A959" s="1">
        <v>947</v>
      </c>
      <c r="B959" s="1">
        <f t="shared" si="15"/>
        <v>0</v>
      </c>
      <c r="C959" s="7">
        <f>G$12/-PV(Table7[Monthly mortgage rate], (12*Table7[Amortization period (yrs)]),1 )</f>
        <v>4377.9977174134756</v>
      </c>
      <c r="D959" s="11">
        <f>IF(Table1[[#This Row],[Month]]&lt;=(12*Table7[mortgage term (yrs)]),Table7[Monthly mortgage rate],Table7[Monthly Exp Renewal Rate])</f>
        <v>4.9038466830562122E-3</v>
      </c>
      <c r="E959" s="21">
        <f>Table1[[#This Row],[Current mortgage rate]]*G958</f>
        <v>-153331.63354104757</v>
      </c>
      <c r="F959" s="5">
        <f>Table1[[#This Row],[Payment amount]]-Table1[[#This Row],[Interest paid]]</f>
        <v>157709.63125846104</v>
      </c>
      <c r="G959" s="20">
        <f>G958-Table1[[#This Row],[Principal repaid]]-Table1[[#This Row],[Annual paym]]</f>
        <v>-31425333.488839399</v>
      </c>
      <c r="H959" s="20">
        <f>H958-(Table1[[#This Row],[Payment amount]]-Table1[[#This Row],[Interest Paid W/O LSP]])</f>
        <v>-20828688.149220064</v>
      </c>
      <c r="I959">
        <f>H958*Table1[[#This Row],[Current mortgage rate]]</f>
        <v>-101620.8909941492</v>
      </c>
      <c r="J959" s="25">
        <f>IF(Table1[[#This Row],[Month]]&gt;Table7[Amortization period (yrs)]*12,0,IF(Table1[[#This Row],[Month]]&lt;Table7[mortgage term (yrs)]*12,0,IF(Table1[[#This Row],[Month]]=Table7[mortgage term (yrs)]*12,-H$5,Table1[[#This Row],[Payment amount]]+B959)))</f>
        <v>0</v>
      </c>
    </row>
    <row r="960" spans="1:10" x14ac:dyDescent="0.25">
      <c r="A960" s="1">
        <v>948</v>
      </c>
      <c r="B960" s="1">
        <f t="shared" si="15"/>
        <v>0</v>
      </c>
      <c r="C960" s="7">
        <f>G$12/-PV(Table7[Monthly mortgage rate], (12*Table7[Amortization period (yrs)]),1 )</f>
        <v>4377.9977174134756</v>
      </c>
      <c r="D960" s="11">
        <f>IF(Table1[[#This Row],[Month]]&lt;=(12*Table7[mortgage term (yrs)]),Table7[Monthly mortgage rate],Table7[Monthly Exp Renewal Rate])</f>
        <v>4.9038466830562122E-3</v>
      </c>
      <c r="E960" s="21">
        <f>Table1[[#This Row],[Current mortgage rate]]*G959</f>
        <v>-154105.0173931804</v>
      </c>
      <c r="F960" s="5">
        <f>Table1[[#This Row],[Payment amount]]-Table1[[#This Row],[Interest paid]]</f>
        <v>158483.01511059387</v>
      </c>
      <c r="G960" s="20">
        <f>G959-Table1[[#This Row],[Principal repaid]]-Table1[[#This Row],[Annual paym]]</f>
        <v>-31583816.503949992</v>
      </c>
      <c r="H960" s="20">
        <f>H959-(Table1[[#This Row],[Payment amount]]-Table1[[#This Row],[Interest Paid W/O LSP]])</f>
        <v>-20935206.840230443</v>
      </c>
      <c r="I960">
        <f>H959*Table1[[#This Row],[Current mortgage rate]]</f>
        <v>-102140.69329296505</v>
      </c>
      <c r="J960" s="25">
        <f>IF(Table1[[#This Row],[Month]]&gt;Table7[Amortization period (yrs)]*12,0,IF(Table1[[#This Row],[Month]]&lt;Table7[mortgage term (yrs)]*12,0,IF(Table1[[#This Row],[Month]]=Table7[mortgage term (yrs)]*12,-H$5,Table1[[#This Row],[Payment amount]]+B960)))</f>
        <v>0</v>
      </c>
    </row>
    <row r="961" spans="1:10" x14ac:dyDescent="0.25">
      <c r="A961" s="1">
        <v>949</v>
      </c>
      <c r="B961" s="1">
        <f t="shared" si="15"/>
        <v>0</v>
      </c>
      <c r="C961" s="7">
        <f>G$12/-PV(Table7[Monthly mortgage rate], (12*Table7[Amortization period (yrs)]),1 )</f>
        <v>4377.9977174134756</v>
      </c>
      <c r="D961" s="11">
        <f>IF(Table1[[#This Row],[Month]]&lt;=(12*Table7[mortgage term (yrs)]),Table7[Monthly mortgage rate],Table7[Monthly Exp Renewal Rate])</f>
        <v>4.9038466830562122E-3</v>
      </c>
      <c r="E961" s="21">
        <f>Table1[[#This Row],[Current mortgage rate]]*G960</f>
        <v>-154882.19380115121</v>
      </c>
      <c r="F961" s="5">
        <f>Table1[[#This Row],[Payment amount]]-Table1[[#This Row],[Interest paid]]</f>
        <v>159260.19151856468</v>
      </c>
      <c r="G961" s="20">
        <f>G960-Table1[[#This Row],[Principal repaid]]-Table1[[#This Row],[Annual paym]]</f>
        <v>-31743076.695468556</v>
      </c>
      <c r="H961" s="20">
        <f>H960-(Table1[[#This Row],[Payment amount]]-Table1[[#This Row],[Interest Paid W/O LSP]])</f>
        <v>-21042247.882570416</v>
      </c>
      <c r="I961">
        <f>H960*Table1[[#This Row],[Current mortgage rate]]</f>
        <v>-102663.04462255978</v>
      </c>
      <c r="J961" s="25">
        <f>IF(Table1[[#This Row],[Month]]&gt;Table7[Amortization period (yrs)]*12,0,IF(Table1[[#This Row],[Month]]&lt;Table7[mortgage term (yrs)]*12,0,IF(Table1[[#This Row],[Month]]=Table7[mortgage term (yrs)]*12,-H$5,Table1[[#This Row],[Payment amount]]+B961)))</f>
        <v>0</v>
      </c>
    </row>
    <row r="962" spans="1:10" x14ac:dyDescent="0.25">
      <c r="A962" s="1">
        <v>950</v>
      </c>
      <c r="B962" s="1">
        <f t="shared" si="15"/>
        <v>0</v>
      </c>
      <c r="C962" s="7">
        <f>G$12/-PV(Table7[Monthly mortgage rate], (12*Table7[Amortization period (yrs)]),1 )</f>
        <v>4377.9977174134756</v>
      </c>
      <c r="D962" s="11">
        <f>IF(Table1[[#This Row],[Month]]&lt;=(12*Table7[mortgage term (yrs)]),Table7[Monthly mortgage rate],Table7[Monthly Exp Renewal Rate])</f>
        <v>4.9038466830562122E-3</v>
      </c>
      <c r="E962" s="21">
        <f>Table1[[#This Row],[Current mortgage rate]]*G961</f>
        <v>-155663.18136307242</v>
      </c>
      <c r="F962" s="5">
        <f>Table1[[#This Row],[Payment amount]]-Table1[[#This Row],[Interest paid]]</f>
        <v>160041.17908048589</v>
      </c>
      <c r="G962" s="20">
        <f>G961-Table1[[#This Row],[Principal repaid]]-Table1[[#This Row],[Annual paym]]</f>
        <v>-31903117.874549042</v>
      </c>
      <c r="H962" s="20">
        <f>H961-(Table1[[#This Row],[Payment amount]]-Table1[[#This Row],[Interest Paid W/O LSP]])</f>
        <v>-21149813.83777082</v>
      </c>
      <c r="I962">
        <f>H961*Table1[[#This Row],[Current mortgage rate]]</f>
        <v>-103187.95748298954</v>
      </c>
      <c r="J962" s="25">
        <f>IF(Table1[[#This Row],[Month]]&gt;Table7[Amortization period (yrs)]*12,0,IF(Table1[[#This Row],[Month]]&lt;Table7[mortgage term (yrs)]*12,0,IF(Table1[[#This Row],[Month]]=Table7[mortgage term (yrs)]*12,-H$5,Table1[[#This Row],[Payment amount]]+B962)))</f>
        <v>0</v>
      </c>
    </row>
    <row r="963" spans="1:10" x14ac:dyDescent="0.25">
      <c r="A963" s="1">
        <v>951</v>
      </c>
      <c r="B963" s="1">
        <f t="shared" si="15"/>
        <v>0</v>
      </c>
      <c r="C963" s="7">
        <f>G$12/-PV(Table7[Monthly mortgage rate], (12*Table7[Amortization period (yrs)]),1 )</f>
        <v>4377.9977174134756</v>
      </c>
      <c r="D963" s="11">
        <f>IF(Table1[[#This Row],[Month]]&lt;=(12*Table7[mortgage term (yrs)]),Table7[Monthly mortgage rate],Table7[Monthly Exp Renewal Rate])</f>
        <v>4.9038466830562122E-3</v>
      </c>
      <c r="E963" s="21">
        <f>Table1[[#This Row],[Current mortgage rate]]*G962</f>
        <v>-156447.99876825867</v>
      </c>
      <c r="F963" s="5">
        <f>Table1[[#This Row],[Payment amount]]-Table1[[#This Row],[Interest paid]]</f>
        <v>160825.99648567213</v>
      </c>
      <c r="G963" s="20">
        <f>G962-Table1[[#This Row],[Principal repaid]]-Table1[[#This Row],[Annual paym]]</f>
        <v>-32063943.871034715</v>
      </c>
      <c r="H963" s="20">
        <f>H962-(Table1[[#This Row],[Payment amount]]-Table1[[#This Row],[Interest Paid W/O LSP]])</f>
        <v>-21257907.279923841</v>
      </c>
      <c r="I963">
        <f>H962*Table1[[#This Row],[Current mortgage rate]]</f>
        <v>-103715.44443560881</v>
      </c>
      <c r="J963" s="25">
        <f>IF(Table1[[#This Row],[Month]]&gt;Table7[Amortization period (yrs)]*12,0,IF(Table1[[#This Row],[Month]]&lt;Table7[mortgage term (yrs)]*12,0,IF(Table1[[#This Row],[Month]]=Table7[mortgage term (yrs)]*12,-H$5,Table1[[#This Row],[Payment amount]]+B963)))</f>
        <v>0</v>
      </c>
    </row>
    <row r="964" spans="1:10" x14ac:dyDescent="0.25">
      <c r="A964" s="1">
        <v>952</v>
      </c>
      <c r="B964" s="1">
        <f t="shared" si="15"/>
        <v>0</v>
      </c>
      <c r="C964" s="7">
        <f>G$12/-PV(Table7[Monthly mortgage rate], (12*Table7[Amortization period (yrs)]),1 )</f>
        <v>4377.9977174134756</v>
      </c>
      <c r="D964" s="11">
        <f>IF(Table1[[#This Row],[Month]]&lt;=(12*Table7[mortgage term (yrs)]),Table7[Monthly mortgage rate],Table7[Monthly Exp Renewal Rate])</f>
        <v>4.9038466830562122E-3</v>
      </c>
      <c r="E964" s="21">
        <f>Table1[[#This Row],[Current mortgage rate]]*G963</f>
        <v>-157236.66479767417</v>
      </c>
      <c r="F964" s="5">
        <f>Table1[[#This Row],[Payment amount]]-Table1[[#This Row],[Interest paid]]</f>
        <v>161614.66251508764</v>
      </c>
      <c r="G964" s="20">
        <f>G963-Table1[[#This Row],[Principal repaid]]-Table1[[#This Row],[Annual paym]]</f>
        <v>-32225558.533549804</v>
      </c>
      <c r="H964" s="20">
        <f>H963-(Table1[[#This Row],[Payment amount]]-Table1[[#This Row],[Interest Paid W/O LSP]])</f>
        <v>-21366530.795744628</v>
      </c>
      <c r="I964">
        <f>H963*Table1[[#This Row],[Current mortgage rate]]</f>
        <v>-104245.51810337104</v>
      </c>
      <c r="J964" s="25">
        <f>IF(Table1[[#This Row],[Month]]&gt;Table7[Amortization period (yrs)]*12,0,IF(Table1[[#This Row],[Month]]&lt;Table7[mortgage term (yrs)]*12,0,IF(Table1[[#This Row],[Month]]=Table7[mortgage term (yrs)]*12,-H$5,Table1[[#This Row],[Payment amount]]+B964)))</f>
        <v>0</v>
      </c>
    </row>
    <row r="965" spans="1:10" x14ac:dyDescent="0.25">
      <c r="A965" s="1">
        <v>953</v>
      </c>
      <c r="B965" s="1">
        <f t="shared" si="15"/>
        <v>0</v>
      </c>
      <c r="C965" s="7">
        <f>G$12/-PV(Table7[Monthly mortgage rate], (12*Table7[Amortization period (yrs)]),1 )</f>
        <v>4377.9977174134756</v>
      </c>
      <c r="D965" s="11">
        <f>IF(Table1[[#This Row],[Month]]&lt;=(12*Table7[mortgage term (yrs)]),Table7[Monthly mortgage rate],Table7[Monthly Exp Renewal Rate])</f>
        <v>4.9038466830562122E-3</v>
      </c>
      <c r="E965" s="21">
        <f>Table1[[#This Row],[Current mortgage rate]]*G964</f>
        <v>-158029.19832438201</v>
      </c>
      <c r="F965" s="5">
        <f>Table1[[#This Row],[Payment amount]]-Table1[[#This Row],[Interest paid]]</f>
        <v>162407.19604179548</v>
      </c>
      <c r="G965" s="20">
        <f>G964-Table1[[#This Row],[Principal repaid]]-Table1[[#This Row],[Annual paym]]</f>
        <v>-32387965.729591601</v>
      </c>
      <c r="H965" s="20">
        <f>H964-(Table1[[#This Row],[Payment amount]]-Table1[[#This Row],[Interest Paid W/O LSP]])</f>
        <v>-21475686.98463317</v>
      </c>
      <c r="I965">
        <f>H964*Table1[[#This Row],[Current mortgage rate]]</f>
        <v>-104778.1911711307</v>
      </c>
      <c r="J965" s="25">
        <f>IF(Table1[[#This Row],[Month]]&gt;Table7[Amortization period (yrs)]*12,0,IF(Table1[[#This Row],[Month]]&lt;Table7[mortgage term (yrs)]*12,0,IF(Table1[[#This Row],[Month]]=Table7[mortgage term (yrs)]*12,-H$5,Table1[[#This Row],[Payment amount]]+B965)))</f>
        <v>0</v>
      </c>
    </row>
    <row r="966" spans="1:10" x14ac:dyDescent="0.25">
      <c r="A966" s="1">
        <v>954</v>
      </c>
      <c r="B966" s="1">
        <f t="shared" si="15"/>
        <v>0</v>
      </c>
      <c r="C966" s="7">
        <f>G$12/-PV(Table7[Monthly mortgage rate], (12*Table7[Amortization period (yrs)]),1 )</f>
        <v>4377.9977174134756</v>
      </c>
      <c r="D966" s="11">
        <f>IF(Table1[[#This Row],[Month]]&lt;=(12*Table7[mortgage term (yrs)]),Table7[Monthly mortgage rate],Table7[Monthly Exp Renewal Rate])</f>
        <v>4.9038466830562122E-3</v>
      </c>
      <c r="E966" s="21">
        <f>Table1[[#This Row],[Current mortgage rate]]*G965</f>
        <v>-158825.61831399603</v>
      </c>
      <c r="F966" s="5">
        <f>Table1[[#This Row],[Payment amount]]-Table1[[#This Row],[Interest paid]]</f>
        <v>163203.6160314095</v>
      </c>
      <c r="G966" s="20">
        <f>G965-Table1[[#This Row],[Principal repaid]]-Table1[[#This Row],[Annual paym]]</f>
        <v>-32551169.345623009</v>
      </c>
      <c r="H966" s="20">
        <f>H965-(Table1[[#This Row],[Payment amount]]-Table1[[#This Row],[Interest Paid W/O LSP]])</f>
        <v>-21585378.458736531</v>
      </c>
      <c r="I966">
        <f>H965*Table1[[#This Row],[Current mortgage rate]]</f>
        <v>-105313.47638594684</v>
      </c>
      <c r="J966" s="25">
        <f>IF(Table1[[#This Row],[Month]]&gt;Table7[Amortization period (yrs)]*12,0,IF(Table1[[#This Row],[Month]]&lt;Table7[mortgage term (yrs)]*12,0,IF(Table1[[#This Row],[Month]]=Table7[mortgage term (yrs)]*12,-H$5,Table1[[#This Row],[Payment amount]]+B966)))</f>
        <v>0</v>
      </c>
    </row>
    <row r="967" spans="1:10" x14ac:dyDescent="0.25">
      <c r="A967" s="1">
        <v>955</v>
      </c>
      <c r="B967" s="1">
        <f t="shared" si="15"/>
        <v>0</v>
      </c>
      <c r="C967" s="7">
        <f>G$12/-PV(Table7[Monthly mortgage rate], (12*Table7[Amortization period (yrs)]),1 )</f>
        <v>4377.9977174134756</v>
      </c>
      <c r="D967" s="11">
        <f>IF(Table1[[#This Row],[Month]]&lt;=(12*Table7[mortgage term (yrs)]),Table7[Monthly mortgage rate],Table7[Monthly Exp Renewal Rate])</f>
        <v>4.9038466830562122E-3</v>
      </c>
      <c r="E967" s="21">
        <f>Table1[[#This Row],[Current mortgage rate]]*G966</f>
        <v>-159625.94382513445</v>
      </c>
      <c r="F967" s="5">
        <f>Table1[[#This Row],[Payment amount]]-Table1[[#This Row],[Interest paid]]</f>
        <v>164003.94154254792</v>
      </c>
      <c r="G967" s="20">
        <f>G966-Table1[[#This Row],[Principal repaid]]-Table1[[#This Row],[Annual paym]]</f>
        <v>-32715173.287165556</v>
      </c>
      <c r="H967" s="20">
        <f>H966-(Table1[[#This Row],[Payment amount]]-Table1[[#This Row],[Interest Paid W/O LSP]])</f>
        <v>-21695607.843011335</v>
      </c>
      <c r="I967">
        <f>H966*Table1[[#This Row],[Current mortgage rate]]</f>
        <v>-105851.38655738815</v>
      </c>
      <c r="J967" s="25">
        <f>IF(Table1[[#This Row],[Month]]&gt;Table7[Amortization period (yrs)]*12,0,IF(Table1[[#This Row],[Month]]&lt;Table7[mortgage term (yrs)]*12,0,IF(Table1[[#This Row],[Month]]=Table7[mortgage term (yrs)]*12,-H$5,Table1[[#This Row],[Payment amount]]+B967)))</f>
        <v>0</v>
      </c>
    </row>
    <row r="968" spans="1:10" x14ac:dyDescent="0.25">
      <c r="A968" s="1">
        <v>956</v>
      </c>
      <c r="B968" s="1">
        <f t="shared" si="15"/>
        <v>0</v>
      </c>
      <c r="C968" s="7">
        <f>G$12/-PV(Table7[Monthly mortgage rate], (12*Table7[Amortization period (yrs)]),1 )</f>
        <v>4377.9977174134756</v>
      </c>
      <c r="D968" s="11">
        <f>IF(Table1[[#This Row],[Month]]&lt;=(12*Table7[mortgage term (yrs)]),Table7[Monthly mortgage rate],Table7[Monthly Exp Renewal Rate])</f>
        <v>4.9038466830562122E-3</v>
      </c>
      <c r="E968" s="21">
        <f>Table1[[#This Row],[Current mortgage rate]]*G967</f>
        <v>-160430.19400987602</v>
      </c>
      <c r="F968" s="5">
        <f>Table1[[#This Row],[Payment amount]]-Table1[[#This Row],[Interest paid]]</f>
        <v>164808.19172728949</v>
      </c>
      <c r="G968" s="20">
        <f>G967-Table1[[#This Row],[Principal repaid]]-Table1[[#This Row],[Annual paym]]</f>
        <v>-32879981.478892844</v>
      </c>
      <c r="H968" s="20">
        <f>H967-(Table1[[#This Row],[Payment amount]]-Table1[[#This Row],[Interest Paid W/O LSP]])</f>
        <v>-21806377.775286589</v>
      </c>
      <c r="I968">
        <f>H967*Table1[[#This Row],[Current mortgage rate]]</f>
        <v>-106391.93455783947</v>
      </c>
      <c r="J968" s="25">
        <f>IF(Table1[[#This Row],[Month]]&gt;Table7[Amortization period (yrs)]*12,0,IF(Table1[[#This Row],[Month]]&lt;Table7[mortgage term (yrs)]*12,0,IF(Table1[[#This Row],[Month]]=Table7[mortgage term (yrs)]*12,-H$5,Table1[[#This Row],[Payment amount]]+B968)))</f>
        <v>0</v>
      </c>
    </row>
    <row r="969" spans="1:10" x14ac:dyDescent="0.25">
      <c r="A969" s="1">
        <v>957</v>
      </c>
      <c r="B969" s="1">
        <f t="shared" si="15"/>
        <v>0</v>
      </c>
      <c r="C969" s="7">
        <f>G$12/-PV(Table7[Monthly mortgage rate], (12*Table7[Amortization period (yrs)]),1 )</f>
        <v>4377.9977174134756</v>
      </c>
      <c r="D969" s="11">
        <f>IF(Table1[[#This Row],[Month]]&lt;=(12*Table7[mortgage term (yrs)]),Table7[Monthly mortgage rate],Table7[Monthly Exp Renewal Rate])</f>
        <v>4.9038466830562122E-3</v>
      </c>
      <c r="E969" s="21">
        <f>Table1[[#This Row],[Current mortgage rate]]*G968</f>
        <v>-161238.38811421837</v>
      </c>
      <c r="F969" s="5">
        <f>Table1[[#This Row],[Payment amount]]-Table1[[#This Row],[Interest paid]]</f>
        <v>165616.38583163184</v>
      </c>
      <c r="G969" s="20">
        <f>G968-Table1[[#This Row],[Principal repaid]]-Table1[[#This Row],[Annual paym]]</f>
        <v>-33045597.864724476</v>
      </c>
      <c r="H969" s="20">
        <f>H968-(Table1[[#This Row],[Payment amount]]-Table1[[#This Row],[Interest Paid W/O LSP]])</f>
        <v>-21917690.906326812</v>
      </c>
      <c r="I969">
        <f>H968*Table1[[#This Row],[Current mortgage rate]]</f>
        <v>-106935.13332280984</v>
      </c>
      <c r="J969" s="25">
        <f>IF(Table1[[#This Row],[Month]]&gt;Table7[Amortization period (yrs)]*12,0,IF(Table1[[#This Row],[Month]]&lt;Table7[mortgage term (yrs)]*12,0,IF(Table1[[#This Row],[Month]]=Table7[mortgage term (yrs)]*12,-H$5,Table1[[#This Row],[Payment amount]]+B969)))</f>
        <v>0</v>
      </c>
    </row>
    <row r="970" spans="1:10" x14ac:dyDescent="0.25">
      <c r="A970" s="1">
        <v>958</v>
      </c>
      <c r="B970" s="1">
        <f t="shared" si="15"/>
        <v>0</v>
      </c>
      <c r="C970" s="7">
        <f>G$12/-PV(Table7[Monthly mortgage rate], (12*Table7[Amortization period (yrs)]),1 )</f>
        <v>4377.9977174134756</v>
      </c>
      <c r="D970" s="11">
        <f>IF(Table1[[#This Row],[Month]]&lt;=(12*Table7[mortgage term (yrs)]),Table7[Monthly mortgage rate],Table7[Monthly Exp Renewal Rate])</f>
        <v>4.9038466830562122E-3</v>
      </c>
      <c r="E970" s="21">
        <f>Table1[[#This Row],[Current mortgage rate]]*G969</f>
        <v>-162050.54547853858</v>
      </c>
      <c r="F970" s="5">
        <f>Table1[[#This Row],[Payment amount]]-Table1[[#This Row],[Interest paid]]</f>
        <v>166428.54319595205</v>
      </c>
      <c r="G970" s="20">
        <f>G969-Table1[[#This Row],[Principal repaid]]-Table1[[#This Row],[Annual paym]]</f>
        <v>-33212026.407920428</v>
      </c>
      <c r="H970" s="20">
        <f>H969-(Table1[[#This Row],[Payment amount]]-Table1[[#This Row],[Interest Paid W/O LSP]])</f>
        <v>-22029549.899895467</v>
      </c>
      <c r="I970">
        <f>H969*Table1[[#This Row],[Current mortgage rate]]</f>
        <v>-107480.99585124204</v>
      </c>
      <c r="J970" s="25">
        <f>IF(Table1[[#This Row],[Month]]&gt;Table7[Amortization period (yrs)]*12,0,IF(Table1[[#This Row],[Month]]&lt;Table7[mortgage term (yrs)]*12,0,IF(Table1[[#This Row],[Month]]=Table7[mortgage term (yrs)]*12,-H$5,Table1[[#This Row],[Payment amount]]+B970)))</f>
        <v>0</v>
      </c>
    </row>
    <row r="971" spans="1:10" x14ac:dyDescent="0.25">
      <c r="A971" s="1">
        <v>959</v>
      </c>
      <c r="B971" s="1">
        <f t="shared" si="15"/>
        <v>0</v>
      </c>
      <c r="C971" s="7">
        <f>G$12/-PV(Table7[Monthly mortgage rate], (12*Table7[Amortization period (yrs)]),1 )</f>
        <v>4377.9977174134756</v>
      </c>
      <c r="D971" s="11">
        <f>IF(Table1[[#This Row],[Month]]&lt;=(12*Table7[mortgage term (yrs)]),Table7[Monthly mortgage rate],Table7[Monthly Exp Renewal Rate])</f>
        <v>4.9038466830562122E-3</v>
      </c>
      <c r="E971" s="21">
        <f>Table1[[#This Row],[Current mortgage rate]]*G970</f>
        <v>-162866.68553805593</v>
      </c>
      <c r="F971" s="5">
        <f>Table1[[#This Row],[Payment amount]]-Table1[[#This Row],[Interest paid]]</f>
        <v>167244.6832554694</v>
      </c>
      <c r="G971" s="20">
        <f>G970-Table1[[#This Row],[Principal repaid]]-Table1[[#This Row],[Annual paym]]</f>
        <v>-33379271.091175895</v>
      </c>
      <c r="H971" s="20">
        <f>H970-(Table1[[#This Row],[Payment amount]]-Table1[[#This Row],[Interest Paid W/O LSP]])</f>
        <v>-22141957.432818703</v>
      </c>
      <c r="I971">
        <f>H970*Table1[[#This Row],[Current mortgage rate]]</f>
        <v>-108029.53520582369</v>
      </c>
      <c r="J971" s="25">
        <f>IF(Table1[[#This Row],[Month]]&gt;Table7[Amortization period (yrs)]*12,0,IF(Table1[[#This Row],[Month]]&lt;Table7[mortgage term (yrs)]*12,0,IF(Table1[[#This Row],[Month]]=Table7[mortgage term (yrs)]*12,-H$5,Table1[[#This Row],[Payment amount]]+B971)))</f>
        <v>0</v>
      </c>
    </row>
    <row r="972" spans="1:10" x14ac:dyDescent="0.25">
      <c r="A972" s="1">
        <v>960</v>
      </c>
      <c r="B972" s="1">
        <f t="shared" si="15"/>
        <v>0</v>
      </c>
      <c r="C972" s="7">
        <f>G$12/-PV(Table7[Monthly mortgage rate], (12*Table7[Amortization period (yrs)]),1 )</f>
        <v>4377.9977174134756</v>
      </c>
      <c r="D972" s="11">
        <f>IF(Table1[[#This Row],[Month]]&lt;=(12*Table7[mortgage term (yrs)]),Table7[Monthly mortgage rate],Table7[Monthly Exp Renewal Rate])</f>
        <v>4.9038466830562122E-3</v>
      </c>
      <c r="E972" s="21">
        <f>Table1[[#This Row],[Current mortgage rate]]*G971</f>
        <v>-163686.82782329703</v>
      </c>
      <c r="F972" s="5">
        <f>Table1[[#This Row],[Payment amount]]-Table1[[#This Row],[Interest paid]]</f>
        <v>168064.8255407105</v>
      </c>
      <c r="G972" s="20">
        <f>G971-Table1[[#This Row],[Principal repaid]]-Table1[[#This Row],[Annual paym]]</f>
        <v>-33547335.916716605</v>
      </c>
      <c r="H972" s="20">
        <f>H971-(Table1[[#This Row],[Payment amount]]-Table1[[#This Row],[Interest Paid W/O LSP]])</f>
        <v>-22254916.195049416</v>
      </c>
      <c r="I972">
        <f>H971*Table1[[#This Row],[Current mortgage rate]]</f>
        <v>-108580.76451329984</v>
      </c>
      <c r="J972" s="25">
        <f>IF(Table1[[#This Row],[Month]]&gt;Table7[Amortization period (yrs)]*12,0,IF(Table1[[#This Row],[Month]]&lt;Table7[mortgage term (yrs)]*12,0,IF(Table1[[#This Row],[Month]]=Table7[mortgage term (yrs)]*12,-H$5,Table1[[#This Row],[Payment amount]]+B972)))</f>
        <v>0</v>
      </c>
    </row>
    <row r="973" spans="1:10" x14ac:dyDescent="0.25">
      <c r="A973" s="1">
        <v>961</v>
      </c>
      <c r="B973" s="1">
        <f t="shared" si="15"/>
        <v>0</v>
      </c>
      <c r="C973" s="7">
        <f>G$12/-PV(Table7[Monthly mortgage rate], (12*Table7[Amortization period (yrs)]),1 )</f>
        <v>4377.9977174134756</v>
      </c>
      <c r="D973" s="11">
        <f>IF(Table1[[#This Row],[Month]]&lt;=(12*Table7[mortgage term (yrs)]),Table7[Monthly mortgage rate],Table7[Monthly Exp Renewal Rate])</f>
        <v>4.9038466830562122E-3</v>
      </c>
      <c r="E973" s="21">
        <f>Table1[[#This Row],[Current mortgage rate]]*G972</f>
        <v>-164510.99196056326</v>
      </c>
      <c r="F973" s="5">
        <f>Table1[[#This Row],[Payment amount]]-Table1[[#This Row],[Interest paid]]</f>
        <v>168888.98967797673</v>
      </c>
      <c r="G973" s="20">
        <f>G972-Table1[[#This Row],[Principal repaid]]-Table1[[#This Row],[Annual paym]]</f>
        <v>-33716224.906394579</v>
      </c>
      <c r="H973" s="20">
        <f>H972-(Table1[[#This Row],[Payment amount]]-Table1[[#This Row],[Interest Paid W/O LSP]])</f>
        <v>-22368428.889731616</v>
      </c>
      <c r="I973">
        <f>H972*Table1[[#This Row],[Current mortgage rate]]</f>
        <v>-109134.69696478706</v>
      </c>
      <c r="J973" s="25">
        <f>IF(Table1[[#This Row],[Month]]&gt;Table7[Amortization period (yrs)]*12,0,IF(Table1[[#This Row],[Month]]&lt;Table7[mortgage term (yrs)]*12,0,IF(Table1[[#This Row],[Month]]=Table7[mortgage term (yrs)]*12,-H$5,Table1[[#This Row],[Payment amount]]+B973)))</f>
        <v>0</v>
      </c>
    </row>
    <row r="974" spans="1:10" x14ac:dyDescent="0.25">
      <c r="A974" s="1">
        <v>962</v>
      </c>
      <c r="B974" s="1">
        <f t="shared" ref="B974:B1037" si="16">O973</f>
        <v>0</v>
      </c>
      <c r="C974" s="7">
        <f>G$12/-PV(Table7[Monthly mortgage rate], (12*Table7[Amortization period (yrs)]),1 )</f>
        <v>4377.9977174134756</v>
      </c>
      <c r="D974" s="11">
        <f>IF(Table1[[#This Row],[Month]]&lt;=(12*Table7[mortgage term (yrs)]),Table7[Monthly mortgage rate],Table7[Monthly Exp Renewal Rate])</f>
        <v>4.9038466830562122E-3</v>
      </c>
      <c r="E974" s="21">
        <f>Table1[[#This Row],[Current mortgage rate]]*G973</f>
        <v>-165339.1976724003</v>
      </c>
      <c r="F974" s="5">
        <f>Table1[[#This Row],[Payment amount]]-Table1[[#This Row],[Interest paid]]</f>
        <v>169717.19538981377</v>
      </c>
      <c r="G974" s="20">
        <f>G973-Table1[[#This Row],[Principal repaid]]-Table1[[#This Row],[Annual paym]]</f>
        <v>-33885942.101784393</v>
      </c>
      <c r="H974" s="20">
        <f>H973-(Table1[[#This Row],[Payment amount]]-Table1[[#This Row],[Interest Paid W/O LSP]])</f>
        <v>-22482498.233265117</v>
      </c>
      <c r="I974">
        <f>H973*Table1[[#This Row],[Current mortgage rate]]</f>
        <v>-109691.34581608913</v>
      </c>
      <c r="J974" s="25">
        <f>IF(Table1[[#This Row],[Month]]&gt;Table7[Amortization period (yrs)]*12,0,IF(Table1[[#This Row],[Month]]&lt;Table7[mortgage term (yrs)]*12,0,IF(Table1[[#This Row],[Month]]=Table7[mortgage term (yrs)]*12,-H$5,Table1[[#This Row],[Payment amount]]+B974)))</f>
        <v>0</v>
      </c>
    </row>
    <row r="975" spans="1:10" x14ac:dyDescent="0.25">
      <c r="A975" s="1">
        <v>963</v>
      </c>
      <c r="B975" s="1">
        <f t="shared" si="16"/>
        <v>0</v>
      </c>
      <c r="C975" s="7">
        <f>G$12/-PV(Table7[Monthly mortgage rate], (12*Table7[Amortization period (yrs)]),1 )</f>
        <v>4377.9977174134756</v>
      </c>
      <c r="D975" s="11">
        <f>IF(Table1[[#This Row],[Month]]&lt;=(12*Table7[mortgage term (yrs)]),Table7[Monthly mortgage rate],Table7[Monthly Exp Renewal Rate])</f>
        <v>4.9038466830562122E-3</v>
      </c>
      <c r="E975" s="21">
        <f>Table1[[#This Row],[Current mortgage rate]]*G974</f>
        <v>-166171.46477807025</v>
      </c>
      <c r="F975" s="5">
        <f>Table1[[#This Row],[Payment amount]]-Table1[[#This Row],[Interest paid]]</f>
        <v>170549.46249548372</v>
      </c>
      <c r="G975" s="20">
        <f>G974-Table1[[#This Row],[Principal repaid]]-Table1[[#This Row],[Annual paym]]</f>
        <v>-34056491.564279877</v>
      </c>
      <c r="H975" s="20">
        <f>H974-(Table1[[#This Row],[Payment amount]]-Table1[[#This Row],[Interest Paid W/O LSP]])</f>
        <v>-22597126.955370545</v>
      </c>
      <c r="I975">
        <f>H974*Table1[[#This Row],[Current mortgage rate]]</f>
        <v>-110250.72438801429</v>
      </c>
      <c r="J975" s="25">
        <f>IF(Table1[[#This Row],[Month]]&gt;Table7[Amortization period (yrs)]*12,0,IF(Table1[[#This Row],[Month]]&lt;Table7[mortgage term (yrs)]*12,0,IF(Table1[[#This Row],[Month]]=Table7[mortgage term (yrs)]*12,-H$5,Table1[[#This Row],[Payment amount]]+B975)))</f>
        <v>0</v>
      </c>
    </row>
    <row r="976" spans="1:10" x14ac:dyDescent="0.25">
      <c r="A976" s="1">
        <v>964</v>
      </c>
      <c r="B976" s="1">
        <f t="shared" si="16"/>
        <v>0</v>
      </c>
      <c r="C976" s="7">
        <f>G$12/-PV(Table7[Monthly mortgage rate], (12*Table7[Amortization period (yrs)]),1 )</f>
        <v>4377.9977174134756</v>
      </c>
      <c r="D976" s="11">
        <f>IF(Table1[[#This Row],[Month]]&lt;=(12*Table7[mortgage term (yrs)]),Table7[Monthly mortgage rate],Table7[Monthly Exp Renewal Rate])</f>
        <v>4.9038466830562122E-3</v>
      </c>
      <c r="E976" s="21">
        <f>Table1[[#This Row],[Current mortgage rate]]*G975</f>
        <v>-167007.81319402574</v>
      </c>
      <c r="F976" s="5">
        <f>Table1[[#This Row],[Payment amount]]-Table1[[#This Row],[Interest paid]]</f>
        <v>171385.81091143921</v>
      </c>
      <c r="G976" s="20">
        <f>G975-Table1[[#This Row],[Principal repaid]]-Table1[[#This Row],[Annual paym]]</f>
        <v>-34227877.375191316</v>
      </c>
      <c r="H976" s="20">
        <f>H975-(Table1[[#This Row],[Payment amount]]-Table1[[#This Row],[Interest Paid W/O LSP]])</f>
        <v>-22712317.799154654</v>
      </c>
      <c r="I976">
        <f>H975*Table1[[#This Row],[Current mortgage rate]]</f>
        <v>-110812.84606669398</v>
      </c>
      <c r="J976" s="25">
        <f>IF(Table1[[#This Row],[Month]]&gt;Table7[Amortization period (yrs)]*12,0,IF(Table1[[#This Row],[Month]]&lt;Table7[mortgage term (yrs)]*12,0,IF(Table1[[#This Row],[Month]]=Table7[mortgage term (yrs)]*12,-H$5,Table1[[#This Row],[Payment amount]]+B976)))</f>
        <v>0</v>
      </c>
    </row>
    <row r="977" spans="1:10" x14ac:dyDescent="0.25">
      <c r="A977" s="1">
        <v>965</v>
      </c>
      <c r="B977" s="1">
        <f t="shared" si="16"/>
        <v>0</v>
      </c>
      <c r="C977" s="7">
        <f>G$12/-PV(Table7[Monthly mortgage rate], (12*Table7[Amortization period (yrs)]),1 )</f>
        <v>4377.9977174134756</v>
      </c>
      <c r="D977" s="11">
        <f>IF(Table1[[#This Row],[Month]]&lt;=(12*Table7[mortgage term (yrs)]),Table7[Monthly mortgage rate],Table7[Monthly Exp Renewal Rate])</f>
        <v>4.9038466830562122E-3</v>
      </c>
      <c r="E977" s="21">
        <f>Table1[[#This Row],[Current mortgage rate]]*G976</f>
        <v>-167848.2629343867</v>
      </c>
      <c r="F977" s="5">
        <f>Table1[[#This Row],[Payment amount]]-Table1[[#This Row],[Interest paid]]</f>
        <v>172226.26065180017</v>
      </c>
      <c r="G977" s="20">
        <f>G976-Table1[[#This Row],[Principal repaid]]-Table1[[#This Row],[Annual paym]]</f>
        <v>-34400103.635843113</v>
      </c>
      <c r="H977" s="20">
        <f>H976-(Table1[[#This Row],[Payment amount]]-Table1[[#This Row],[Interest Paid W/O LSP]])</f>
        <v>-22828073.521175969</v>
      </c>
      <c r="I977">
        <f>H976*Table1[[#This Row],[Current mortgage rate]]</f>
        <v>-111377.72430390312</v>
      </c>
      <c r="J977" s="25">
        <f>IF(Table1[[#This Row],[Month]]&gt;Table7[Amortization period (yrs)]*12,0,IF(Table1[[#This Row],[Month]]&lt;Table7[mortgage term (yrs)]*12,0,IF(Table1[[#This Row],[Month]]=Table7[mortgage term (yrs)]*12,-H$5,Table1[[#This Row],[Payment amount]]+B977)))</f>
        <v>0</v>
      </c>
    </row>
    <row r="978" spans="1:10" x14ac:dyDescent="0.25">
      <c r="A978" s="1">
        <v>966</v>
      </c>
      <c r="B978" s="1">
        <f t="shared" si="16"/>
        <v>0</v>
      </c>
      <c r="C978" s="7">
        <f>G$12/-PV(Table7[Monthly mortgage rate], (12*Table7[Amortization period (yrs)]),1 )</f>
        <v>4377.9977174134756</v>
      </c>
      <c r="D978" s="11">
        <f>IF(Table1[[#This Row],[Month]]&lt;=(12*Table7[mortgage term (yrs)]),Table7[Monthly mortgage rate],Table7[Monthly Exp Renewal Rate])</f>
        <v>4.9038466830562122E-3</v>
      </c>
      <c r="E978" s="21">
        <f>Table1[[#This Row],[Current mortgage rate]]*G977</f>
        <v>-168692.83411141919</v>
      </c>
      <c r="F978" s="5">
        <f>Table1[[#This Row],[Payment amount]]-Table1[[#This Row],[Interest paid]]</f>
        <v>173070.83182883266</v>
      </c>
      <c r="G978" s="20">
        <f>G977-Table1[[#This Row],[Principal repaid]]-Table1[[#This Row],[Annual paym]]</f>
        <v>-34573174.467671946</v>
      </c>
      <c r="H978" s="20">
        <f>H977-(Table1[[#This Row],[Payment amount]]-Table1[[#This Row],[Interest Paid W/O LSP]])</f>
        <v>-22944396.891510766</v>
      </c>
      <c r="I978">
        <f>H977*Table1[[#This Row],[Current mortgage rate]]</f>
        <v>-111945.37261738212</v>
      </c>
      <c r="J978" s="25">
        <f>IF(Table1[[#This Row],[Month]]&gt;Table7[Amortization period (yrs)]*12,0,IF(Table1[[#This Row],[Month]]&lt;Table7[mortgage term (yrs)]*12,0,IF(Table1[[#This Row],[Month]]=Table7[mortgage term (yrs)]*12,-H$5,Table1[[#This Row],[Payment amount]]+B978)))</f>
        <v>0</v>
      </c>
    </row>
    <row r="979" spans="1:10" x14ac:dyDescent="0.25">
      <c r="A979" s="1">
        <v>967</v>
      </c>
      <c r="B979" s="1">
        <f t="shared" si="16"/>
        <v>0</v>
      </c>
      <c r="C979" s="7">
        <f>G$12/-PV(Table7[Monthly mortgage rate], (12*Table7[Amortization period (yrs)]),1 )</f>
        <v>4377.9977174134756</v>
      </c>
      <c r="D979" s="11">
        <f>IF(Table1[[#This Row],[Month]]&lt;=(12*Table7[mortgage term (yrs)]),Table7[Monthly mortgage rate],Table7[Monthly Exp Renewal Rate])</f>
        <v>4.9038466830562122E-3</v>
      </c>
      <c r="E979" s="21">
        <f>Table1[[#This Row],[Current mortgage rate]]*G978</f>
        <v>-169541.54693601679</v>
      </c>
      <c r="F979" s="5">
        <f>Table1[[#This Row],[Payment amount]]-Table1[[#This Row],[Interest paid]]</f>
        <v>173919.54465343026</v>
      </c>
      <c r="G979" s="20">
        <f>G978-Table1[[#This Row],[Principal repaid]]-Table1[[#This Row],[Annual paym]]</f>
        <v>-34747094.012325376</v>
      </c>
      <c r="H979" s="20">
        <f>H978-(Table1[[#This Row],[Payment amount]]-Table1[[#This Row],[Interest Paid W/O LSP]])</f>
        <v>-23061290.69381934</v>
      </c>
      <c r="I979">
        <f>H978*Table1[[#This Row],[Current mortgage rate]]</f>
        <v>-112515.80459116034</v>
      </c>
      <c r="J979" s="25">
        <f>IF(Table1[[#This Row],[Month]]&gt;Table7[Amortization period (yrs)]*12,0,IF(Table1[[#This Row],[Month]]&lt;Table7[mortgage term (yrs)]*12,0,IF(Table1[[#This Row],[Month]]=Table7[mortgage term (yrs)]*12,-H$5,Table1[[#This Row],[Payment amount]]+B979)))</f>
        <v>0</v>
      </c>
    </row>
    <row r="980" spans="1:10" x14ac:dyDescent="0.25">
      <c r="A980" s="1">
        <v>968</v>
      </c>
      <c r="B980" s="1">
        <f t="shared" si="16"/>
        <v>0</v>
      </c>
      <c r="C980" s="7">
        <f>G$12/-PV(Table7[Monthly mortgage rate], (12*Table7[Amortization period (yrs)]),1 )</f>
        <v>4377.9977174134756</v>
      </c>
      <c r="D980" s="11">
        <f>IF(Table1[[#This Row],[Month]]&lt;=(12*Table7[mortgage term (yrs)]),Table7[Monthly mortgage rate],Table7[Monthly Exp Renewal Rate])</f>
        <v>4.9038466830562122E-3</v>
      </c>
      <c r="E980" s="21">
        <f>Table1[[#This Row],[Current mortgage rate]]*G979</f>
        <v>-170394.42171818417</v>
      </c>
      <c r="F980" s="5">
        <f>Table1[[#This Row],[Payment amount]]-Table1[[#This Row],[Interest paid]]</f>
        <v>174772.41943559764</v>
      </c>
      <c r="G980" s="20">
        <f>G979-Table1[[#This Row],[Principal repaid]]-Table1[[#This Row],[Annual paym]]</f>
        <v>-34921866.431760974</v>
      </c>
      <c r="H980" s="20">
        <f>H979-(Table1[[#This Row],[Payment amount]]-Table1[[#This Row],[Interest Paid W/O LSP]])</f>
        <v>-23178757.725412633</v>
      </c>
      <c r="I980">
        <f>H979*Table1[[#This Row],[Current mortgage rate]]</f>
        <v>-113089.03387588107</v>
      </c>
      <c r="J980" s="25">
        <f>IF(Table1[[#This Row],[Month]]&gt;Table7[Amortization period (yrs)]*12,0,IF(Table1[[#This Row],[Month]]&lt;Table7[mortgage term (yrs)]*12,0,IF(Table1[[#This Row],[Month]]=Table7[mortgage term (yrs)]*12,-H$5,Table1[[#This Row],[Payment amount]]+B980)))</f>
        <v>0</v>
      </c>
    </row>
    <row r="981" spans="1:10" x14ac:dyDescent="0.25">
      <c r="A981" s="1">
        <v>969</v>
      </c>
      <c r="B981" s="1">
        <f t="shared" si="16"/>
        <v>0</v>
      </c>
      <c r="C981" s="7">
        <f>G$12/-PV(Table7[Monthly mortgage rate], (12*Table7[Amortization period (yrs)]),1 )</f>
        <v>4377.9977174134756</v>
      </c>
      <c r="D981" s="11">
        <f>IF(Table1[[#This Row],[Month]]&lt;=(12*Table7[mortgage term (yrs)]),Table7[Monthly mortgage rate],Table7[Monthly Exp Renewal Rate])</f>
        <v>4.9038466830562122E-3</v>
      </c>
      <c r="E981" s="21">
        <f>Table1[[#This Row],[Current mortgage rate]]*G980</f>
        <v>-171251.47886752314</v>
      </c>
      <c r="F981" s="5">
        <f>Table1[[#This Row],[Payment amount]]-Table1[[#This Row],[Interest paid]]</f>
        <v>175629.47658493661</v>
      </c>
      <c r="G981" s="20">
        <f>G980-Table1[[#This Row],[Principal repaid]]-Table1[[#This Row],[Annual paym]]</f>
        <v>-35097495.908345908</v>
      </c>
      <c r="H981" s="20">
        <f>H980-(Table1[[#This Row],[Payment amount]]-Table1[[#This Row],[Interest Paid W/O LSP]])</f>
        <v>-23296800.797319174</v>
      </c>
      <c r="I981">
        <f>H980*Table1[[#This Row],[Current mortgage rate]]</f>
        <v>-113665.0741891283</v>
      </c>
      <c r="J981" s="25">
        <f>IF(Table1[[#This Row],[Month]]&gt;Table7[Amortization period (yrs)]*12,0,IF(Table1[[#This Row],[Month]]&lt;Table7[mortgage term (yrs)]*12,0,IF(Table1[[#This Row],[Month]]=Table7[mortgage term (yrs)]*12,-H$5,Table1[[#This Row],[Payment amount]]+B981)))</f>
        <v>0</v>
      </c>
    </row>
    <row r="982" spans="1:10" x14ac:dyDescent="0.25">
      <c r="A982" s="1">
        <v>970</v>
      </c>
      <c r="B982" s="1">
        <f t="shared" si="16"/>
        <v>0</v>
      </c>
      <c r="C982" s="7">
        <f>G$12/-PV(Table7[Monthly mortgage rate], (12*Table7[Amortization period (yrs)]),1 )</f>
        <v>4377.9977174134756</v>
      </c>
      <c r="D982" s="11">
        <f>IF(Table1[[#This Row],[Month]]&lt;=(12*Table7[mortgage term (yrs)]),Table7[Monthly mortgage rate],Table7[Monthly Exp Renewal Rate])</f>
        <v>4.9038466830562122E-3</v>
      </c>
      <c r="E982" s="21">
        <f>Table1[[#This Row],[Current mortgage rate]]*G981</f>
        <v>-172112.73889372105</v>
      </c>
      <c r="F982" s="5">
        <f>Table1[[#This Row],[Payment amount]]-Table1[[#This Row],[Interest paid]]</f>
        <v>176490.73661113452</v>
      </c>
      <c r="G982" s="20">
        <f>G981-Table1[[#This Row],[Principal repaid]]-Table1[[#This Row],[Annual paym]]</f>
        <v>-35273986.644957043</v>
      </c>
      <c r="H982" s="20">
        <f>H981-(Table1[[#This Row],[Payment amount]]-Table1[[#This Row],[Interest Paid W/O LSP]])</f>
        <v>-23415422.734352343</v>
      </c>
      <c r="I982">
        <f>H981*Table1[[#This Row],[Current mortgage rate]]</f>
        <v>-114243.93931575495</v>
      </c>
      <c r="J982" s="25">
        <f>IF(Table1[[#This Row],[Month]]&gt;Table7[Amortization period (yrs)]*12,0,IF(Table1[[#This Row],[Month]]&lt;Table7[mortgage term (yrs)]*12,0,IF(Table1[[#This Row],[Month]]=Table7[mortgage term (yrs)]*12,-H$5,Table1[[#This Row],[Payment amount]]+B982)))</f>
        <v>0</v>
      </c>
    </row>
    <row r="983" spans="1:10" x14ac:dyDescent="0.25">
      <c r="A983" s="1">
        <v>971</v>
      </c>
      <c r="B983" s="1">
        <f t="shared" si="16"/>
        <v>0</v>
      </c>
      <c r="C983" s="7">
        <f>G$12/-PV(Table7[Monthly mortgage rate], (12*Table7[Amortization period (yrs)]),1 )</f>
        <v>4377.9977174134756</v>
      </c>
      <c r="D983" s="11">
        <f>IF(Table1[[#This Row],[Month]]&lt;=(12*Table7[mortgage term (yrs)]),Table7[Monthly mortgage rate],Table7[Monthly Exp Renewal Rate])</f>
        <v>4.9038466830562122E-3</v>
      </c>
      <c r="E983" s="21">
        <f>Table1[[#This Row],[Current mortgage rate]]*G982</f>
        <v>-172978.22240704173</v>
      </c>
      <c r="F983" s="5">
        <f>Table1[[#This Row],[Payment amount]]-Table1[[#This Row],[Interest paid]]</f>
        <v>177356.2201244552</v>
      </c>
      <c r="G983" s="20">
        <f>G982-Table1[[#This Row],[Principal repaid]]-Table1[[#This Row],[Annual paym]]</f>
        <v>-35451342.865081497</v>
      </c>
      <c r="H983" s="20">
        <f>H982-(Table1[[#This Row],[Payment amount]]-Table1[[#This Row],[Interest Paid W/O LSP]])</f>
        <v>-23534626.375177968</v>
      </c>
      <c r="I983">
        <f>H982*Table1[[#This Row],[Current mortgage rate]]</f>
        <v>-114825.64310821275</v>
      </c>
      <c r="J983" s="25">
        <f>IF(Table1[[#This Row],[Month]]&gt;Table7[Amortization period (yrs)]*12,0,IF(Table1[[#This Row],[Month]]&lt;Table7[mortgage term (yrs)]*12,0,IF(Table1[[#This Row],[Month]]=Table7[mortgage term (yrs)]*12,-H$5,Table1[[#This Row],[Payment amount]]+B983)))</f>
        <v>0</v>
      </c>
    </row>
    <row r="984" spans="1:10" x14ac:dyDescent="0.25">
      <c r="A984" s="1">
        <v>972</v>
      </c>
      <c r="B984" s="1">
        <f t="shared" si="16"/>
        <v>0</v>
      </c>
      <c r="C984" s="7">
        <f>G$12/-PV(Table7[Monthly mortgage rate], (12*Table7[Amortization period (yrs)]),1 )</f>
        <v>4377.9977174134756</v>
      </c>
      <c r="D984" s="11">
        <f>IF(Table1[[#This Row],[Month]]&lt;=(12*Table7[mortgage term (yrs)]),Table7[Monthly mortgage rate],Table7[Monthly Exp Renewal Rate])</f>
        <v>4.9038466830562122E-3</v>
      </c>
      <c r="E984" s="21">
        <f>Table1[[#This Row],[Current mortgage rate]]*G983</f>
        <v>-173847.95011881841</v>
      </c>
      <c r="F984" s="5">
        <f>Table1[[#This Row],[Payment amount]]-Table1[[#This Row],[Interest paid]]</f>
        <v>178225.94783623188</v>
      </c>
      <c r="G984" s="20">
        <f>G983-Table1[[#This Row],[Principal repaid]]-Table1[[#This Row],[Annual paym]]</f>
        <v>-35629568.812917732</v>
      </c>
      <c r="H984" s="20">
        <f>H983-(Table1[[#This Row],[Payment amount]]-Table1[[#This Row],[Interest Paid W/O LSP]])</f>
        <v>-23654414.572382264</v>
      </c>
      <c r="I984">
        <f>H983*Table1[[#This Row],[Current mortgage rate]]</f>
        <v>-115410.19948688372</v>
      </c>
      <c r="J984" s="25">
        <f>IF(Table1[[#This Row],[Month]]&gt;Table7[Amortization period (yrs)]*12,0,IF(Table1[[#This Row],[Month]]&lt;Table7[mortgage term (yrs)]*12,0,IF(Table1[[#This Row],[Month]]=Table7[mortgage term (yrs)]*12,-H$5,Table1[[#This Row],[Payment amount]]+B984)))</f>
        <v>0</v>
      </c>
    </row>
    <row r="985" spans="1:10" x14ac:dyDescent="0.25">
      <c r="A985" s="1">
        <v>973</v>
      </c>
      <c r="B985" s="1">
        <f t="shared" si="16"/>
        <v>0</v>
      </c>
      <c r="C985" s="7">
        <f>G$12/-PV(Table7[Monthly mortgage rate], (12*Table7[Amortization period (yrs)]),1 )</f>
        <v>4377.9977174134756</v>
      </c>
      <c r="D985" s="11">
        <f>IF(Table1[[#This Row],[Month]]&lt;=(12*Table7[mortgage term (yrs)]),Table7[Monthly mortgage rate],Table7[Monthly Exp Renewal Rate])</f>
        <v>4.9038466830562122E-3</v>
      </c>
      <c r="E985" s="21">
        <f>Table1[[#This Row],[Current mortgage rate]]*G984</f>
        <v>-174721.94284194967</v>
      </c>
      <c r="F985" s="5">
        <f>Table1[[#This Row],[Payment amount]]-Table1[[#This Row],[Interest paid]]</f>
        <v>179099.94055936314</v>
      </c>
      <c r="G985" s="20">
        <f>G984-Table1[[#This Row],[Principal repaid]]-Table1[[#This Row],[Annual paym]]</f>
        <v>-35808668.753477097</v>
      </c>
      <c r="H985" s="20">
        <f>H984-(Table1[[#This Row],[Payment amount]]-Table1[[#This Row],[Interest Paid W/O LSP]])</f>
        <v>-23774790.192540091</v>
      </c>
      <c r="I985">
        <f>H984*Table1[[#This Row],[Current mortgage rate]]</f>
        <v>-115997.6224404133</v>
      </c>
      <c r="J985" s="25">
        <f>IF(Table1[[#This Row],[Month]]&gt;Table7[Amortization period (yrs)]*12,0,IF(Table1[[#This Row],[Month]]&lt;Table7[mortgage term (yrs)]*12,0,IF(Table1[[#This Row],[Month]]=Table7[mortgage term (yrs)]*12,-H$5,Table1[[#This Row],[Payment amount]]+B985)))</f>
        <v>0</v>
      </c>
    </row>
    <row r="986" spans="1:10" x14ac:dyDescent="0.25">
      <c r="A986" s="1">
        <v>974</v>
      </c>
      <c r="B986" s="1">
        <f t="shared" si="16"/>
        <v>0</v>
      </c>
      <c r="C986" s="7">
        <f>G$12/-PV(Table7[Monthly mortgage rate], (12*Table7[Amortization period (yrs)]),1 )</f>
        <v>4377.9977174134756</v>
      </c>
      <c r="D986" s="11">
        <f>IF(Table1[[#This Row],[Month]]&lt;=(12*Table7[mortgage term (yrs)]),Table7[Monthly mortgage rate],Table7[Monthly Exp Renewal Rate])</f>
        <v>4.9038466830562122E-3</v>
      </c>
      <c r="E986" s="21">
        <f>Table1[[#This Row],[Current mortgage rate]]*G985</f>
        <v>-175600.2214913973</v>
      </c>
      <c r="F986" s="5">
        <f>Table1[[#This Row],[Payment amount]]-Table1[[#This Row],[Interest paid]]</f>
        <v>179978.21920881077</v>
      </c>
      <c r="G986" s="20">
        <f>G985-Table1[[#This Row],[Principal repaid]]-Table1[[#This Row],[Annual paym]]</f>
        <v>-35988646.972685911</v>
      </c>
      <c r="H986" s="20">
        <f>H985-(Table1[[#This Row],[Payment amount]]-Table1[[#This Row],[Interest Paid W/O LSP]])</f>
        <v>-23895756.116283551</v>
      </c>
      <c r="I986">
        <f>H985*Table1[[#This Row],[Current mortgage rate]]</f>
        <v>-116587.92602604508</v>
      </c>
      <c r="J986" s="25">
        <f>IF(Table1[[#This Row],[Month]]&gt;Table7[Amortization period (yrs)]*12,0,IF(Table1[[#This Row],[Month]]&lt;Table7[mortgage term (yrs)]*12,0,IF(Table1[[#This Row],[Month]]=Table7[mortgage term (yrs)]*12,-H$5,Table1[[#This Row],[Payment amount]]+B986)))</f>
        <v>0</v>
      </c>
    </row>
    <row r="987" spans="1:10" x14ac:dyDescent="0.25">
      <c r="A987" s="1">
        <v>975</v>
      </c>
      <c r="B987" s="1">
        <f t="shared" si="16"/>
        <v>0</v>
      </c>
      <c r="C987" s="7">
        <f>G$12/-PV(Table7[Monthly mortgage rate], (12*Table7[Amortization period (yrs)]),1 )</f>
        <v>4377.9977174134756</v>
      </c>
      <c r="D987" s="11">
        <f>IF(Table1[[#This Row],[Month]]&lt;=(12*Table7[mortgage term (yrs)]),Table7[Monthly mortgage rate],Table7[Monthly Exp Renewal Rate])</f>
        <v>4.9038466830562122E-3</v>
      </c>
      <c r="E987" s="21">
        <f>Table1[[#This Row],[Current mortgage rate]]*G986</f>
        <v>-176482.80708468679</v>
      </c>
      <c r="F987" s="5">
        <f>Table1[[#This Row],[Payment amount]]-Table1[[#This Row],[Interest paid]]</f>
        <v>180860.80480210026</v>
      </c>
      <c r="G987" s="20">
        <f>G986-Table1[[#This Row],[Principal repaid]]-Table1[[#This Row],[Annual paym]]</f>
        <v>-36169507.777488008</v>
      </c>
      <c r="H987" s="20">
        <f>H986-(Table1[[#This Row],[Payment amount]]-Table1[[#This Row],[Interest Paid W/O LSP]])</f>
        <v>-24017315.238370921</v>
      </c>
      <c r="I987">
        <f>H986*Table1[[#This Row],[Current mortgage rate]]</f>
        <v>-117181.12436995728</v>
      </c>
      <c r="J987" s="25">
        <f>IF(Table1[[#This Row],[Month]]&gt;Table7[Amortization period (yrs)]*12,0,IF(Table1[[#This Row],[Month]]&lt;Table7[mortgage term (yrs)]*12,0,IF(Table1[[#This Row],[Month]]=Table7[mortgage term (yrs)]*12,-H$5,Table1[[#This Row],[Payment amount]]+B987)))</f>
        <v>0</v>
      </c>
    </row>
    <row r="988" spans="1:10" x14ac:dyDescent="0.25">
      <c r="A988" s="1">
        <v>976</v>
      </c>
      <c r="B988" s="1">
        <f t="shared" si="16"/>
        <v>0</v>
      </c>
      <c r="C988" s="7">
        <f>G$12/-PV(Table7[Monthly mortgage rate], (12*Table7[Amortization period (yrs)]),1 )</f>
        <v>4377.9977174134756</v>
      </c>
      <c r="D988" s="11">
        <f>IF(Table1[[#This Row],[Month]]&lt;=(12*Table7[mortgage term (yrs)]),Table7[Monthly mortgage rate],Table7[Monthly Exp Renewal Rate])</f>
        <v>4.9038466830562122E-3</v>
      </c>
      <c r="E988" s="21">
        <f>Table1[[#This Row],[Current mortgage rate]]*G987</f>
        <v>-177369.72074241043</v>
      </c>
      <c r="F988" s="5">
        <f>Table1[[#This Row],[Payment amount]]-Table1[[#This Row],[Interest paid]]</f>
        <v>181747.7184598239</v>
      </c>
      <c r="G988" s="20">
        <f>G987-Table1[[#This Row],[Principal repaid]]-Table1[[#This Row],[Annual paym]]</f>
        <v>-36351255.49594783</v>
      </c>
      <c r="H988" s="20">
        <f>H987-(Table1[[#This Row],[Payment amount]]-Table1[[#This Row],[Interest Paid W/O LSP]])</f>
        <v>-24139470.467755936</v>
      </c>
      <c r="I988">
        <f>H987*Table1[[#This Row],[Current mortgage rate]]</f>
        <v>-117777.23166760066</v>
      </c>
      <c r="J988" s="25">
        <f>IF(Table1[[#This Row],[Month]]&gt;Table7[Amortization period (yrs)]*12,0,IF(Table1[[#This Row],[Month]]&lt;Table7[mortgage term (yrs)]*12,0,IF(Table1[[#This Row],[Month]]=Table7[mortgage term (yrs)]*12,-H$5,Table1[[#This Row],[Payment amount]]+B988)))</f>
        <v>0</v>
      </c>
    </row>
    <row r="989" spans="1:10" x14ac:dyDescent="0.25">
      <c r="A989" s="1">
        <v>977</v>
      </c>
      <c r="B989" s="1">
        <f t="shared" si="16"/>
        <v>0</v>
      </c>
      <c r="C989" s="7">
        <f>G$12/-PV(Table7[Monthly mortgage rate], (12*Table7[Amortization period (yrs)]),1 )</f>
        <v>4377.9977174134756</v>
      </c>
      <c r="D989" s="11">
        <f>IF(Table1[[#This Row],[Month]]&lt;=(12*Table7[mortgage term (yrs)]),Table7[Monthly mortgage rate],Table7[Monthly Exp Renewal Rate])</f>
        <v>4.9038466830562122E-3</v>
      </c>
      <c r="E989" s="21">
        <f>Table1[[#This Row],[Current mortgage rate]]*G988</f>
        <v>-178260.98368873267</v>
      </c>
      <c r="F989" s="5">
        <f>Table1[[#This Row],[Payment amount]]-Table1[[#This Row],[Interest paid]]</f>
        <v>182638.98140614614</v>
      </c>
      <c r="G989" s="20">
        <f>G988-Table1[[#This Row],[Principal repaid]]-Table1[[#This Row],[Annual paym]]</f>
        <v>-36533894.477353975</v>
      </c>
      <c r="H989" s="20">
        <f>H988-(Table1[[#This Row],[Payment amount]]-Table1[[#This Row],[Interest Paid W/O LSP]])</f>
        <v>-24262224.727657389</v>
      </c>
      <c r="I989">
        <f>H988*Table1[[#This Row],[Current mortgage rate]]</f>
        <v>-118376.26218403834</v>
      </c>
      <c r="J989" s="25">
        <f>IF(Table1[[#This Row],[Month]]&gt;Table7[Amortization period (yrs)]*12,0,IF(Table1[[#This Row],[Month]]&lt;Table7[mortgage term (yrs)]*12,0,IF(Table1[[#This Row],[Month]]=Table7[mortgage term (yrs)]*12,-H$5,Table1[[#This Row],[Payment amount]]+B989)))</f>
        <v>0</v>
      </c>
    </row>
    <row r="990" spans="1:10" x14ac:dyDescent="0.25">
      <c r="A990" s="1">
        <v>978</v>
      </c>
      <c r="B990" s="1">
        <f t="shared" si="16"/>
        <v>0</v>
      </c>
      <c r="C990" s="7">
        <f>G$12/-PV(Table7[Monthly mortgage rate], (12*Table7[Amortization period (yrs)]),1 )</f>
        <v>4377.9977174134756</v>
      </c>
      <c r="D990" s="11">
        <f>IF(Table1[[#This Row],[Month]]&lt;=(12*Table7[mortgage term (yrs)]),Table7[Monthly mortgage rate],Table7[Monthly Exp Renewal Rate])</f>
        <v>4.9038466830562122E-3</v>
      </c>
      <c r="E990" s="21">
        <f>Table1[[#This Row],[Current mortgage rate]]*G989</f>
        <v>-179156.61725189796</v>
      </c>
      <c r="F990" s="5">
        <f>Table1[[#This Row],[Payment amount]]-Table1[[#This Row],[Interest paid]]</f>
        <v>183534.61496931143</v>
      </c>
      <c r="G990" s="20">
        <f>G989-Table1[[#This Row],[Principal repaid]]-Table1[[#This Row],[Annual paym]]</f>
        <v>-36717429.092323288</v>
      </c>
      <c r="H990" s="20">
        <f>H989-(Table1[[#This Row],[Payment amount]]-Table1[[#This Row],[Interest Paid W/O LSP]])</f>
        <v>-24385580.955629088</v>
      </c>
      <c r="I990">
        <f>H989*Table1[[#This Row],[Current mortgage rate]]</f>
        <v>-118978.2302542871</v>
      </c>
      <c r="J990" s="25">
        <f>IF(Table1[[#This Row],[Month]]&gt;Table7[Amortization period (yrs)]*12,0,IF(Table1[[#This Row],[Month]]&lt;Table7[mortgage term (yrs)]*12,0,IF(Table1[[#This Row],[Month]]=Table7[mortgage term (yrs)]*12,-H$5,Table1[[#This Row],[Payment amount]]+B990)))</f>
        <v>0</v>
      </c>
    </row>
    <row r="991" spans="1:10" x14ac:dyDescent="0.25">
      <c r="A991" s="1">
        <v>979</v>
      </c>
      <c r="B991" s="1">
        <f t="shared" si="16"/>
        <v>0</v>
      </c>
      <c r="C991" s="7">
        <f>G$12/-PV(Table7[Monthly mortgage rate], (12*Table7[Amortization period (yrs)]),1 )</f>
        <v>4377.9977174134756</v>
      </c>
      <c r="D991" s="11">
        <f>IF(Table1[[#This Row],[Month]]&lt;=(12*Table7[mortgage term (yrs)]),Table7[Monthly mortgage rate],Table7[Monthly Exp Renewal Rate])</f>
        <v>4.9038466830562122E-3</v>
      </c>
      <c r="E991" s="21">
        <f>Table1[[#This Row],[Current mortgage rate]]*G990</f>
        <v>-180056.64286474124</v>
      </c>
      <c r="F991" s="5">
        <f>Table1[[#This Row],[Payment amount]]-Table1[[#This Row],[Interest paid]]</f>
        <v>184434.64058215471</v>
      </c>
      <c r="G991" s="20">
        <f>G990-Table1[[#This Row],[Principal repaid]]-Table1[[#This Row],[Annual paym]]</f>
        <v>-36901863.73290544</v>
      </c>
      <c r="H991" s="20">
        <f>H990-(Table1[[#This Row],[Payment amount]]-Table1[[#This Row],[Interest Paid W/O LSP]])</f>
        <v>-24509542.103630163</v>
      </c>
      <c r="I991">
        <f>H990*Table1[[#This Row],[Current mortgage rate]]</f>
        <v>-119583.15028366043</v>
      </c>
      <c r="J991" s="25">
        <f>IF(Table1[[#This Row],[Month]]&gt;Table7[Amortization period (yrs)]*12,0,IF(Table1[[#This Row],[Month]]&lt;Table7[mortgage term (yrs)]*12,0,IF(Table1[[#This Row],[Month]]=Table7[mortgage term (yrs)]*12,-H$5,Table1[[#This Row],[Payment amount]]+B991)))</f>
        <v>0</v>
      </c>
    </row>
    <row r="992" spans="1:10" x14ac:dyDescent="0.25">
      <c r="A992" s="1">
        <v>980</v>
      </c>
      <c r="B992" s="1">
        <f t="shared" si="16"/>
        <v>0</v>
      </c>
      <c r="C992" s="7">
        <f>G$12/-PV(Table7[Monthly mortgage rate], (12*Table7[Amortization period (yrs)]),1 )</f>
        <v>4377.9977174134756</v>
      </c>
      <c r="D992" s="11">
        <f>IF(Table1[[#This Row],[Month]]&lt;=(12*Table7[mortgage term (yrs)]),Table7[Monthly mortgage rate],Table7[Monthly Exp Renewal Rate])</f>
        <v>4.9038466830562122E-3</v>
      </c>
      <c r="E992" s="21">
        <f>Table1[[#This Row],[Current mortgage rate]]*G991</f>
        <v>-180961.08206520067</v>
      </c>
      <c r="F992" s="5">
        <f>Table1[[#This Row],[Payment amount]]-Table1[[#This Row],[Interest paid]]</f>
        <v>185339.07978261414</v>
      </c>
      <c r="G992" s="20">
        <f>G991-Table1[[#This Row],[Principal repaid]]-Table1[[#This Row],[Annual paym]]</f>
        <v>-37087202.812688053</v>
      </c>
      <c r="H992" s="20">
        <f>H991-(Table1[[#This Row],[Payment amount]]-Table1[[#This Row],[Interest Paid W/O LSP]])</f>
        <v>-24634111.138095688</v>
      </c>
      <c r="I992">
        <f>H991*Table1[[#This Row],[Current mortgage rate]]</f>
        <v>-120191.03674811336</v>
      </c>
      <c r="J992" s="25">
        <f>IF(Table1[[#This Row],[Month]]&gt;Table7[Amortization period (yrs)]*12,0,IF(Table1[[#This Row],[Month]]&lt;Table7[mortgage term (yrs)]*12,0,IF(Table1[[#This Row],[Month]]=Table7[mortgage term (yrs)]*12,-H$5,Table1[[#This Row],[Payment amount]]+B992)))</f>
        <v>0</v>
      </c>
    </row>
    <row r="993" spans="1:10" x14ac:dyDescent="0.25">
      <c r="A993" s="1">
        <v>981</v>
      </c>
      <c r="B993" s="1">
        <f t="shared" si="16"/>
        <v>0</v>
      </c>
      <c r="C993" s="7">
        <f>G$12/-PV(Table7[Monthly mortgage rate], (12*Table7[Amortization period (yrs)]),1 )</f>
        <v>4377.9977174134756</v>
      </c>
      <c r="D993" s="11">
        <f>IF(Table1[[#This Row],[Month]]&lt;=(12*Table7[mortgage term (yrs)]),Table7[Monthly mortgage rate],Table7[Monthly Exp Renewal Rate])</f>
        <v>4.9038466830562122E-3</v>
      </c>
      <c r="E993" s="21">
        <f>Table1[[#This Row],[Current mortgage rate]]*G992</f>
        <v>-181869.95649683333</v>
      </c>
      <c r="F993" s="5">
        <f>Table1[[#This Row],[Payment amount]]-Table1[[#This Row],[Interest paid]]</f>
        <v>186247.9542142468</v>
      </c>
      <c r="G993" s="20">
        <f>G992-Table1[[#This Row],[Principal repaid]]-Table1[[#This Row],[Annual paym]]</f>
        <v>-37273450.766902298</v>
      </c>
      <c r="H993" s="20">
        <f>H992-(Table1[[#This Row],[Payment amount]]-Table1[[#This Row],[Interest Paid W/O LSP]])</f>
        <v>-24759291.040007692</v>
      </c>
      <c r="I993">
        <f>H992*Table1[[#This Row],[Current mortgage rate]]</f>
        <v>-120801.90419458863</v>
      </c>
      <c r="J993" s="25">
        <f>IF(Table1[[#This Row],[Month]]&gt;Table7[Amortization period (yrs)]*12,0,IF(Table1[[#This Row],[Month]]&lt;Table7[mortgage term (yrs)]*12,0,IF(Table1[[#This Row],[Month]]=Table7[mortgage term (yrs)]*12,-H$5,Table1[[#This Row],[Payment amount]]+B993)))</f>
        <v>0</v>
      </c>
    </row>
    <row r="994" spans="1:10" x14ac:dyDescent="0.25">
      <c r="A994" s="1">
        <v>982</v>
      </c>
      <c r="B994" s="1">
        <f t="shared" si="16"/>
        <v>0</v>
      </c>
      <c r="C994" s="7">
        <f>G$12/-PV(Table7[Monthly mortgage rate], (12*Table7[Amortization period (yrs)]),1 )</f>
        <v>4377.9977174134756</v>
      </c>
      <c r="D994" s="11">
        <f>IF(Table1[[#This Row],[Month]]&lt;=(12*Table7[mortgage term (yrs)]),Table7[Monthly mortgage rate],Table7[Monthly Exp Renewal Rate])</f>
        <v>4.9038466830562122E-3</v>
      </c>
      <c r="E994" s="21">
        <f>Table1[[#This Row],[Current mortgage rate]]*G993</f>
        <v>-182783.28790933287</v>
      </c>
      <c r="F994" s="5">
        <f>Table1[[#This Row],[Payment amount]]-Table1[[#This Row],[Interest paid]]</f>
        <v>187161.28562674634</v>
      </c>
      <c r="G994" s="20">
        <f>G993-Table1[[#This Row],[Principal repaid]]-Table1[[#This Row],[Annual paym]]</f>
        <v>-37460612.052529044</v>
      </c>
      <c r="H994" s="20">
        <f>H993-(Table1[[#This Row],[Payment amount]]-Table1[[#This Row],[Interest Paid W/O LSP]])</f>
        <v>-24885084.804966472</v>
      </c>
      <c r="I994">
        <f>H993*Table1[[#This Row],[Current mortgage rate]]</f>
        <v>-121415.76724136512</v>
      </c>
      <c r="J994" s="25">
        <f>IF(Table1[[#This Row],[Month]]&gt;Table7[Amortization period (yrs)]*12,0,IF(Table1[[#This Row],[Month]]&lt;Table7[mortgage term (yrs)]*12,0,IF(Table1[[#This Row],[Month]]=Table7[mortgage term (yrs)]*12,-H$5,Table1[[#This Row],[Payment amount]]+B994)))</f>
        <v>0</v>
      </c>
    </row>
    <row r="995" spans="1:10" x14ac:dyDescent="0.25">
      <c r="A995" s="1">
        <v>983</v>
      </c>
      <c r="B995" s="1">
        <f t="shared" si="16"/>
        <v>0</v>
      </c>
      <c r="C995" s="7">
        <f>G$12/-PV(Table7[Monthly mortgage rate], (12*Table7[Amortization period (yrs)]),1 )</f>
        <v>4377.9977174134756</v>
      </c>
      <c r="D995" s="11">
        <f>IF(Table1[[#This Row],[Month]]&lt;=(12*Table7[mortgage term (yrs)]),Table7[Monthly mortgage rate],Table7[Monthly Exp Renewal Rate])</f>
        <v>4.9038466830562122E-3</v>
      </c>
      <c r="E995" s="21">
        <f>Table1[[#This Row],[Current mortgage rate]]*G994</f>
        <v>-183701.09815905013</v>
      </c>
      <c r="F995" s="5">
        <f>Table1[[#This Row],[Payment amount]]-Table1[[#This Row],[Interest paid]]</f>
        <v>188079.0958764636</v>
      </c>
      <c r="G995" s="20">
        <f>G994-Table1[[#This Row],[Principal repaid]]-Table1[[#This Row],[Annual paym]]</f>
        <v>-37648691.148405507</v>
      </c>
      <c r="H995" s="20">
        <f>H994-(Table1[[#This Row],[Payment amount]]-Table1[[#This Row],[Interest Paid W/O LSP]])</f>
        <v>-25011495.443262294</v>
      </c>
      <c r="I995">
        <f>H994*Table1[[#This Row],[Current mortgage rate]]</f>
        <v>-122032.64057840739</v>
      </c>
      <c r="J995" s="25">
        <f>IF(Table1[[#This Row],[Month]]&gt;Table7[Amortization period (yrs)]*12,0,IF(Table1[[#This Row],[Month]]&lt;Table7[mortgage term (yrs)]*12,0,IF(Table1[[#This Row],[Month]]=Table7[mortgage term (yrs)]*12,-H$5,Table1[[#This Row],[Payment amount]]+B995)))</f>
        <v>0</v>
      </c>
    </row>
    <row r="996" spans="1:10" x14ac:dyDescent="0.25">
      <c r="A996" s="1">
        <v>984</v>
      </c>
      <c r="B996" s="1">
        <f t="shared" si="16"/>
        <v>0</v>
      </c>
      <c r="C996" s="7">
        <f>G$12/-PV(Table7[Monthly mortgage rate], (12*Table7[Amortization period (yrs)]),1 )</f>
        <v>4377.9977174134756</v>
      </c>
      <c r="D996" s="11">
        <f>IF(Table1[[#This Row],[Month]]&lt;=(12*Table7[mortgage term (yrs)]),Table7[Monthly mortgage rate],Table7[Monthly Exp Renewal Rate])</f>
        <v>4.9038466830562122E-3</v>
      </c>
      <c r="E996" s="21">
        <f>Table1[[#This Row],[Current mortgage rate]]*G995</f>
        <v>-184623.40920951613</v>
      </c>
      <c r="F996" s="5">
        <f>Table1[[#This Row],[Payment amount]]-Table1[[#This Row],[Interest paid]]</f>
        <v>189001.4069269296</v>
      </c>
      <c r="G996" s="20">
        <f>G995-Table1[[#This Row],[Principal repaid]]-Table1[[#This Row],[Annual paym]]</f>
        <v>-37837692.555332437</v>
      </c>
      <c r="H996" s="20">
        <f>H995-(Table1[[#This Row],[Payment amount]]-Table1[[#This Row],[Interest Paid W/O LSP]])</f>
        <v>-25138525.979947425</v>
      </c>
      <c r="I996">
        <f>H995*Table1[[#This Row],[Current mortgage rate]]</f>
        <v>-122652.53896771737</v>
      </c>
      <c r="J996" s="25">
        <f>IF(Table1[[#This Row],[Month]]&gt;Table7[Amortization period (yrs)]*12,0,IF(Table1[[#This Row],[Month]]&lt;Table7[mortgage term (yrs)]*12,0,IF(Table1[[#This Row],[Month]]=Table7[mortgage term (yrs)]*12,-H$5,Table1[[#This Row],[Payment amount]]+B996)))</f>
        <v>0</v>
      </c>
    </row>
    <row r="997" spans="1:10" x14ac:dyDescent="0.25">
      <c r="A997" s="1">
        <v>985</v>
      </c>
      <c r="B997" s="1">
        <f t="shared" si="16"/>
        <v>0</v>
      </c>
      <c r="C997" s="7">
        <f>G$12/-PV(Table7[Monthly mortgage rate], (12*Table7[Amortization period (yrs)]),1 )</f>
        <v>4377.9977174134756</v>
      </c>
      <c r="D997" s="11">
        <f>IF(Table1[[#This Row],[Month]]&lt;=(12*Table7[mortgage term (yrs)]),Table7[Monthly mortgage rate],Table7[Monthly Exp Renewal Rate])</f>
        <v>4.9038466830562122E-3</v>
      </c>
      <c r="E997" s="21">
        <f>Table1[[#This Row],[Current mortgage rate]]*G996</f>
        <v>-185550.2431319677</v>
      </c>
      <c r="F997" s="5">
        <f>Table1[[#This Row],[Payment amount]]-Table1[[#This Row],[Interest paid]]</f>
        <v>189928.24084938117</v>
      </c>
      <c r="G997" s="20">
        <f>G996-Table1[[#This Row],[Principal repaid]]-Table1[[#This Row],[Annual paym]]</f>
        <v>-38027620.79618182</v>
      </c>
      <c r="H997" s="20">
        <f>H996-(Table1[[#This Row],[Payment amount]]-Table1[[#This Row],[Interest Paid W/O LSP]])</f>
        <v>-25266179.454908527</v>
      </c>
      <c r="I997">
        <f>H996*Table1[[#This Row],[Current mortgage rate]]</f>
        <v>-123275.47724368759</v>
      </c>
      <c r="J997" s="25">
        <f>IF(Table1[[#This Row],[Month]]&gt;Table7[Amortization period (yrs)]*12,0,IF(Table1[[#This Row],[Month]]&lt;Table7[mortgage term (yrs)]*12,0,IF(Table1[[#This Row],[Month]]=Table7[mortgage term (yrs)]*12,-H$5,Table1[[#This Row],[Payment amount]]+B997)))</f>
        <v>0</v>
      </c>
    </row>
    <row r="998" spans="1:10" x14ac:dyDescent="0.25">
      <c r="A998" s="1">
        <v>986</v>
      </c>
      <c r="B998" s="1">
        <f t="shared" si="16"/>
        <v>0</v>
      </c>
      <c r="C998" s="7">
        <f>G$12/-PV(Table7[Monthly mortgage rate], (12*Table7[Amortization period (yrs)]),1 )</f>
        <v>4377.9977174134756</v>
      </c>
      <c r="D998" s="11">
        <f>IF(Table1[[#This Row],[Month]]&lt;=(12*Table7[mortgage term (yrs)]),Table7[Monthly mortgage rate],Table7[Monthly Exp Renewal Rate])</f>
        <v>4.9038466830562122E-3</v>
      </c>
      <c r="E998" s="21">
        <f>Table1[[#This Row],[Current mortgage rate]]*G997</f>
        <v>-186481.62210587566</v>
      </c>
      <c r="F998" s="5">
        <f>Table1[[#This Row],[Payment amount]]-Table1[[#This Row],[Interest paid]]</f>
        <v>190859.61982328913</v>
      </c>
      <c r="G998" s="20">
        <f>G997-Table1[[#This Row],[Principal repaid]]-Table1[[#This Row],[Annual paym]]</f>
        <v>-38218480.416005112</v>
      </c>
      <c r="H998" s="20">
        <f>H997-(Table1[[#This Row],[Payment amount]]-Table1[[#This Row],[Interest Paid W/O LSP]])</f>
        <v>-25394458.922939397</v>
      </c>
      <c r="I998">
        <f>H997*Table1[[#This Row],[Current mortgage rate]]</f>
        <v>-123901.4703134562</v>
      </c>
      <c r="J998" s="25">
        <f>IF(Table1[[#This Row],[Month]]&gt;Table7[Amortization period (yrs)]*12,0,IF(Table1[[#This Row],[Month]]&lt;Table7[mortgage term (yrs)]*12,0,IF(Table1[[#This Row],[Month]]=Table7[mortgage term (yrs)]*12,-H$5,Table1[[#This Row],[Payment amount]]+B998)))</f>
        <v>0</v>
      </c>
    </row>
    <row r="999" spans="1:10" x14ac:dyDescent="0.25">
      <c r="A999" s="1">
        <v>987</v>
      </c>
      <c r="B999" s="1">
        <f t="shared" si="16"/>
        <v>0</v>
      </c>
      <c r="C999" s="7">
        <f>G$12/-PV(Table7[Monthly mortgage rate], (12*Table7[Amortization period (yrs)]),1 )</f>
        <v>4377.9977174134756</v>
      </c>
      <c r="D999" s="11">
        <f>IF(Table1[[#This Row],[Month]]&lt;=(12*Table7[mortgage term (yrs)]),Table7[Monthly mortgage rate],Table7[Monthly Exp Renewal Rate])</f>
        <v>4.9038466830562122E-3</v>
      </c>
      <c r="E999" s="21">
        <f>Table1[[#This Row],[Current mortgage rate]]*G998</f>
        <v>-187417.56841947549</v>
      </c>
      <c r="F999" s="5">
        <f>Table1[[#This Row],[Payment amount]]-Table1[[#This Row],[Interest paid]]</f>
        <v>191795.56613688896</v>
      </c>
      <c r="G999" s="20">
        <f>G998-Table1[[#This Row],[Principal repaid]]-Table1[[#This Row],[Annual paym]]</f>
        <v>-38410275.982142001</v>
      </c>
      <c r="H999" s="20">
        <f>H998-(Table1[[#This Row],[Payment amount]]-Table1[[#This Row],[Interest Paid W/O LSP]])</f>
        <v>-25523367.453814074</v>
      </c>
      <c r="I999">
        <f>H998*Table1[[#This Row],[Current mortgage rate]]</f>
        <v>-124530.53315726359</v>
      </c>
      <c r="J999" s="25">
        <f>IF(Table1[[#This Row],[Month]]&gt;Table7[Amortization period (yrs)]*12,0,IF(Table1[[#This Row],[Month]]&lt;Table7[mortgage term (yrs)]*12,0,IF(Table1[[#This Row],[Month]]=Table7[mortgage term (yrs)]*12,-H$5,Table1[[#This Row],[Payment amount]]+B999)))</f>
        <v>0</v>
      </c>
    </row>
    <row r="1000" spans="1:10" x14ac:dyDescent="0.25">
      <c r="A1000" s="1">
        <v>988</v>
      </c>
      <c r="B1000" s="1">
        <f t="shared" si="16"/>
        <v>0</v>
      </c>
      <c r="C1000" s="7">
        <f>G$12/-PV(Table7[Monthly mortgage rate], (12*Table7[Amortization period (yrs)]),1 )</f>
        <v>4377.9977174134756</v>
      </c>
      <c r="D1000" s="11">
        <f>IF(Table1[[#This Row],[Month]]&lt;=(12*Table7[mortgage term (yrs)]),Table7[Monthly mortgage rate],Table7[Monthly Exp Renewal Rate])</f>
        <v>4.9038466830562122E-3</v>
      </c>
      <c r="E1000" s="21">
        <f>Table1[[#This Row],[Current mortgage rate]]*G999</f>
        <v>-188358.10447030075</v>
      </c>
      <c r="F1000" s="5">
        <f>Table1[[#This Row],[Payment amount]]-Table1[[#This Row],[Interest paid]]</f>
        <v>192736.10218771422</v>
      </c>
      <c r="G1000" s="20">
        <f>G999-Table1[[#This Row],[Principal repaid]]-Table1[[#This Row],[Annual paym]]</f>
        <v>-38603012.084329717</v>
      </c>
      <c r="H1000" s="20">
        <f>H999-(Table1[[#This Row],[Payment amount]]-Table1[[#This Row],[Interest Paid W/O LSP]])</f>
        <v>-25652908.132360298</v>
      </c>
      <c r="I1000">
        <f>H999*Table1[[#This Row],[Current mortgage rate]]</f>
        <v>-125162.68082881103</v>
      </c>
      <c r="J1000" s="25">
        <f>IF(Table1[[#This Row],[Month]]&gt;Table7[Amortization period (yrs)]*12,0,IF(Table1[[#This Row],[Month]]&lt;Table7[mortgage term (yrs)]*12,0,IF(Table1[[#This Row],[Month]]=Table7[mortgage term (yrs)]*12,-H$5,Table1[[#This Row],[Payment amount]]+B1000)))</f>
        <v>0</v>
      </c>
    </row>
    <row r="1001" spans="1:10" x14ac:dyDescent="0.25">
      <c r="A1001" s="1">
        <v>989</v>
      </c>
      <c r="B1001" s="1">
        <f t="shared" si="16"/>
        <v>0</v>
      </c>
      <c r="C1001" s="7">
        <f>G$12/-PV(Table7[Monthly mortgage rate], (12*Table7[Amortization period (yrs)]),1 )</f>
        <v>4377.9977174134756</v>
      </c>
      <c r="D1001" s="11">
        <f>IF(Table1[[#This Row],[Month]]&lt;=(12*Table7[mortgage term (yrs)]),Table7[Monthly mortgage rate],Table7[Monthly Exp Renewal Rate])</f>
        <v>4.9038466830562122E-3</v>
      </c>
      <c r="E1001" s="21">
        <f>Table1[[#This Row],[Current mortgage rate]]*G1000</f>
        <v>-189303.25276571917</v>
      </c>
      <c r="F1001" s="5">
        <f>Table1[[#This Row],[Payment amount]]-Table1[[#This Row],[Interest paid]]</f>
        <v>193681.25048313264</v>
      </c>
      <c r="G1001" s="20">
        <f>G1000-Table1[[#This Row],[Principal repaid]]-Table1[[#This Row],[Annual paym]]</f>
        <v>-38796693.33481285</v>
      </c>
      <c r="H1001" s="20">
        <f>H1000-(Table1[[#This Row],[Payment amount]]-Table1[[#This Row],[Interest Paid W/O LSP]])</f>
        <v>-25783084.058533333</v>
      </c>
      <c r="I1001">
        <f>H1000*Table1[[#This Row],[Current mortgage rate]]</f>
        <v>-125797.92845562079</v>
      </c>
      <c r="J1001" s="25">
        <f>IF(Table1[[#This Row],[Month]]&gt;Table7[Amortization period (yrs)]*12,0,IF(Table1[[#This Row],[Month]]&lt;Table7[mortgage term (yrs)]*12,0,IF(Table1[[#This Row],[Month]]=Table7[mortgage term (yrs)]*12,-H$5,Table1[[#This Row],[Payment amount]]+B1001)))</f>
        <v>0</v>
      </c>
    </row>
    <row r="1002" spans="1:10" x14ac:dyDescent="0.25">
      <c r="A1002" s="1">
        <v>990</v>
      </c>
      <c r="B1002" s="1">
        <f t="shared" si="16"/>
        <v>0</v>
      </c>
      <c r="C1002" s="7">
        <f>G$12/-PV(Table7[Monthly mortgage rate], (12*Table7[Amortization period (yrs)]),1 )</f>
        <v>4377.9977174134756</v>
      </c>
      <c r="D1002" s="11">
        <f>IF(Table1[[#This Row],[Month]]&lt;=(12*Table7[mortgage term (yrs)]),Table7[Monthly mortgage rate],Table7[Monthly Exp Renewal Rate])</f>
        <v>4.9038466830562122E-3</v>
      </c>
      <c r="E1002" s="21">
        <f>Table1[[#This Row],[Current mortgage rate]]*G1001</f>
        <v>-190253.03592347106</v>
      </c>
      <c r="F1002" s="5">
        <f>Table1[[#This Row],[Payment amount]]-Table1[[#This Row],[Interest paid]]</f>
        <v>194631.03364088453</v>
      </c>
      <c r="G1002" s="20">
        <f>G1001-Table1[[#This Row],[Principal repaid]]-Table1[[#This Row],[Annual paym]]</f>
        <v>-38991324.368453734</v>
      </c>
      <c r="H1002" s="20">
        <f>H1001-(Table1[[#This Row],[Payment amount]]-Table1[[#This Row],[Interest Paid W/O LSP]])</f>
        <v>-25913898.347490147</v>
      </c>
      <c r="I1002">
        <f>H1001*Table1[[#This Row],[Current mortgage rate]]</f>
        <v>-126436.29123939818</v>
      </c>
      <c r="J1002" s="25">
        <f>IF(Table1[[#This Row],[Month]]&gt;Table7[Amortization period (yrs)]*12,0,IF(Table1[[#This Row],[Month]]&lt;Table7[mortgage term (yrs)]*12,0,IF(Table1[[#This Row],[Month]]=Table7[mortgage term (yrs)]*12,-H$5,Table1[[#This Row],[Payment amount]]+B1002)))</f>
        <v>0</v>
      </c>
    </row>
    <row r="1003" spans="1:10" x14ac:dyDescent="0.25">
      <c r="A1003" s="1">
        <v>991</v>
      </c>
      <c r="B1003" s="1">
        <f t="shared" si="16"/>
        <v>0</v>
      </c>
      <c r="C1003" s="7">
        <f>G$12/-PV(Table7[Monthly mortgage rate], (12*Table7[Amortization period (yrs)]),1 )</f>
        <v>4377.9977174134756</v>
      </c>
      <c r="D1003" s="11">
        <f>IF(Table1[[#This Row],[Month]]&lt;=(12*Table7[mortgage term (yrs)]),Table7[Monthly mortgage rate],Table7[Monthly Exp Renewal Rate])</f>
        <v>4.9038466830562122E-3</v>
      </c>
      <c r="E1003" s="21">
        <f>Table1[[#This Row],[Current mortgage rate]]*G1002</f>
        <v>-191207.4766722107</v>
      </c>
      <c r="F1003" s="5">
        <f>Table1[[#This Row],[Payment amount]]-Table1[[#This Row],[Interest paid]]</f>
        <v>195585.47438962417</v>
      </c>
      <c r="G1003" s="20">
        <f>G1002-Table1[[#This Row],[Principal repaid]]-Table1[[#This Row],[Annual paym]]</f>
        <v>-39186909.842843361</v>
      </c>
      <c r="H1003" s="20">
        <f>H1002-(Table1[[#This Row],[Payment amount]]-Table1[[#This Row],[Interest Paid W/O LSP]])</f>
        <v>-26045354.129663955</v>
      </c>
      <c r="I1003">
        <f>H1002*Table1[[#This Row],[Current mortgage rate]]</f>
        <v>-127077.78445639541</v>
      </c>
      <c r="J1003" s="25">
        <f>IF(Table1[[#This Row],[Month]]&gt;Table7[Amortization period (yrs)]*12,0,IF(Table1[[#This Row],[Month]]&lt;Table7[mortgage term (yrs)]*12,0,IF(Table1[[#This Row],[Month]]=Table7[mortgage term (yrs)]*12,-H$5,Table1[[#This Row],[Payment amount]]+B1003)))</f>
        <v>0</v>
      </c>
    </row>
    <row r="1004" spans="1:10" x14ac:dyDescent="0.25">
      <c r="A1004" s="1">
        <v>992</v>
      </c>
      <c r="B1004" s="1">
        <f t="shared" si="16"/>
        <v>0</v>
      </c>
      <c r="C1004" s="7">
        <f>G$12/-PV(Table7[Monthly mortgage rate], (12*Table7[Amortization period (yrs)]),1 )</f>
        <v>4377.9977174134756</v>
      </c>
      <c r="D1004" s="11">
        <f>IF(Table1[[#This Row],[Month]]&lt;=(12*Table7[mortgage term (yrs)]),Table7[Monthly mortgage rate],Table7[Monthly Exp Renewal Rate])</f>
        <v>4.9038466830562122E-3</v>
      </c>
      <c r="E1004" s="21">
        <f>Table1[[#This Row],[Current mortgage rate]]*G1003</f>
        <v>-192166.59785205024</v>
      </c>
      <c r="F1004" s="5">
        <f>Table1[[#This Row],[Payment amount]]-Table1[[#This Row],[Interest paid]]</f>
        <v>196544.59556946371</v>
      </c>
      <c r="G1004" s="20">
        <f>G1003-Table1[[#This Row],[Principal repaid]]-Table1[[#This Row],[Annual paym]]</f>
        <v>-39383454.438412823</v>
      </c>
      <c r="H1004" s="20">
        <f>H1003-(Table1[[#This Row],[Payment amount]]-Table1[[#This Row],[Interest Paid W/O LSP]])</f>
        <v>-26177454.550839145</v>
      </c>
      <c r="I1004">
        <f>H1003*Table1[[#This Row],[Current mortgage rate]]</f>
        <v>-127722.42345777701</v>
      </c>
      <c r="J1004" s="25">
        <f>IF(Table1[[#This Row],[Month]]&gt;Table7[Amortization period (yrs)]*12,0,IF(Table1[[#This Row],[Month]]&lt;Table7[mortgage term (yrs)]*12,0,IF(Table1[[#This Row],[Month]]=Table7[mortgage term (yrs)]*12,-H$5,Table1[[#This Row],[Payment amount]]+B1004)))</f>
        <v>0</v>
      </c>
    </row>
    <row r="1005" spans="1:10" x14ac:dyDescent="0.25">
      <c r="A1005" s="1">
        <v>993</v>
      </c>
      <c r="B1005" s="1">
        <f t="shared" si="16"/>
        <v>0</v>
      </c>
      <c r="C1005" s="7">
        <f>G$12/-PV(Table7[Monthly mortgage rate], (12*Table7[Amortization period (yrs)]),1 )</f>
        <v>4377.9977174134756</v>
      </c>
      <c r="D1005" s="11">
        <f>IF(Table1[[#This Row],[Month]]&lt;=(12*Table7[mortgage term (yrs)]),Table7[Monthly mortgage rate],Table7[Monthly Exp Renewal Rate])</f>
        <v>4.9038466830562122E-3</v>
      </c>
      <c r="E1005" s="21">
        <f>Table1[[#This Row],[Current mortgage rate]]*G1004</f>
        <v>-193130.42241510618</v>
      </c>
      <c r="F1005" s="5">
        <f>Table1[[#This Row],[Payment amount]]-Table1[[#This Row],[Interest paid]]</f>
        <v>197508.42013251965</v>
      </c>
      <c r="G1005" s="20">
        <f>G1004-Table1[[#This Row],[Principal repaid]]-Table1[[#This Row],[Annual paym]]</f>
        <v>-39580962.858545341</v>
      </c>
      <c r="H1005" s="20">
        <f>H1004-(Table1[[#This Row],[Payment amount]]-Table1[[#This Row],[Interest Paid W/O LSP]])</f>
        <v>-26310202.772226546</v>
      </c>
      <c r="I1005">
        <f>H1004*Table1[[#This Row],[Current mortgage rate]]</f>
        <v>-128370.22366998729</v>
      </c>
      <c r="J1005" s="25">
        <f>IF(Table1[[#This Row],[Month]]&gt;Table7[Amortization period (yrs)]*12,0,IF(Table1[[#This Row],[Month]]&lt;Table7[mortgage term (yrs)]*12,0,IF(Table1[[#This Row],[Month]]=Table7[mortgage term (yrs)]*12,-H$5,Table1[[#This Row],[Payment amount]]+B1005)))</f>
        <v>0</v>
      </c>
    </row>
    <row r="1006" spans="1:10" x14ac:dyDescent="0.25">
      <c r="A1006" s="1">
        <v>994</v>
      </c>
      <c r="B1006" s="1">
        <f t="shared" si="16"/>
        <v>0</v>
      </c>
      <c r="C1006" s="7">
        <f>G$12/-PV(Table7[Monthly mortgage rate], (12*Table7[Amortization period (yrs)]),1 )</f>
        <v>4377.9977174134756</v>
      </c>
      <c r="D1006" s="11">
        <f>IF(Table1[[#This Row],[Month]]&lt;=(12*Table7[mortgage term (yrs)]),Table7[Monthly mortgage rate],Table7[Monthly Exp Renewal Rate])</f>
        <v>4.9038466830562122E-3</v>
      </c>
      <c r="E1006" s="21">
        <f>Table1[[#This Row],[Current mortgage rate]]*G1005</f>
        <v>-194098.9734260487</v>
      </c>
      <c r="F1006" s="5">
        <f>Table1[[#This Row],[Payment amount]]-Table1[[#This Row],[Interest paid]]</f>
        <v>198476.97114346217</v>
      </c>
      <c r="G1006" s="20">
        <f>G1005-Table1[[#This Row],[Principal repaid]]-Table1[[#This Row],[Annual paym]]</f>
        <v>-39779439.829688802</v>
      </c>
      <c r="H1006" s="20">
        <f>H1005-(Table1[[#This Row],[Payment amount]]-Table1[[#This Row],[Interest Paid W/O LSP]])</f>
        <v>-26443601.970539078</v>
      </c>
      <c r="I1006">
        <f>H1005*Table1[[#This Row],[Current mortgage rate]]</f>
        <v>-129021.2005951195</v>
      </c>
      <c r="J1006" s="25">
        <f>IF(Table1[[#This Row],[Month]]&gt;Table7[Amortization period (yrs)]*12,0,IF(Table1[[#This Row],[Month]]&lt;Table7[mortgage term (yrs)]*12,0,IF(Table1[[#This Row],[Month]]=Table7[mortgage term (yrs)]*12,-H$5,Table1[[#This Row],[Payment amount]]+B1006)))</f>
        <v>0</v>
      </c>
    </row>
    <row r="1007" spans="1:10" x14ac:dyDescent="0.25">
      <c r="A1007" s="1">
        <v>995</v>
      </c>
      <c r="B1007" s="1">
        <f t="shared" si="16"/>
        <v>0</v>
      </c>
      <c r="C1007" s="7">
        <f>G$12/-PV(Table7[Monthly mortgage rate], (12*Table7[Amortization period (yrs)]),1 )</f>
        <v>4377.9977174134756</v>
      </c>
      <c r="D1007" s="11">
        <f>IF(Table1[[#This Row],[Month]]&lt;=(12*Table7[mortgage term (yrs)]),Table7[Monthly mortgage rate],Table7[Monthly Exp Renewal Rate])</f>
        <v>4.9038466830562122E-3</v>
      </c>
      <c r="E1007" s="21">
        <f>Table1[[#This Row],[Current mortgage rate]]*G1006</f>
        <v>-195072.2740626536</v>
      </c>
      <c r="F1007" s="5">
        <f>Table1[[#This Row],[Payment amount]]-Table1[[#This Row],[Interest paid]]</f>
        <v>199450.27178006707</v>
      </c>
      <c r="G1007" s="20">
        <f>G1006-Table1[[#This Row],[Principal repaid]]-Table1[[#This Row],[Annual paym]]</f>
        <v>-39978890.101468869</v>
      </c>
      <c r="H1007" s="20">
        <f>H1006-(Table1[[#This Row],[Payment amount]]-Table1[[#This Row],[Interest Paid W/O LSP]])</f>
        <v>-26577655.338067777</v>
      </c>
      <c r="I1007">
        <f>H1006*Table1[[#This Row],[Current mortgage rate]]</f>
        <v>-129675.36981128677</v>
      </c>
      <c r="J1007" s="25">
        <f>IF(Table1[[#This Row],[Month]]&gt;Table7[Amortization period (yrs)]*12,0,IF(Table1[[#This Row],[Month]]&lt;Table7[mortgage term (yrs)]*12,0,IF(Table1[[#This Row],[Month]]=Table7[mortgage term (yrs)]*12,-H$5,Table1[[#This Row],[Payment amount]]+B1007)))</f>
        <v>0</v>
      </c>
    </row>
    <row r="1008" spans="1:10" x14ac:dyDescent="0.25">
      <c r="A1008" s="1">
        <v>996</v>
      </c>
      <c r="B1008" s="1">
        <f t="shared" si="16"/>
        <v>0</v>
      </c>
      <c r="C1008" s="7">
        <f>G$12/-PV(Table7[Monthly mortgage rate], (12*Table7[Amortization period (yrs)]),1 )</f>
        <v>4377.9977174134756</v>
      </c>
      <c r="D1008" s="11">
        <f>IF(Table1[[#This Row],[Month]]&lt;=(12*Table7[mortgage term (yrs)]),Table7[Monthly mortgage rate],Table7[Monthly Exp Renewal Rate])</f>
        <v>4.9038466830562122E-3</v>
      </c>
      <c r="E1008" s="21">
        <f>Table1[[#This Row],[Current mortgage rate]]*G1007</f>
        <v>-196050.34761635694</v>
      </c>
      <c r="F1008" s="5">
        <f>Table1[[#This Row],[Payment amount]]-Table1[[#This Row],[Interest paid]]</f>
        <v>200428.34533377041</v>
      </c>
      <c r="G1008" s="20">
        <f>G1007-Table1[[#This Row],[Principal repaid]]-Table1[[#This Row],[Annual paym]]</f>
        <v>-40179318.446802638</v>
      </c>
      <c r="H1008" s="20">
        <f>H1007-(Table1[[#This Row],[Payment amount]]-Table1[[#This Row],[Interest Paid W/O LSP]])</f>
        <v>-26712366.082758185</v>
      </c>
      <c r="I1008">
        <f>H1007*Table1[[#This Row],[Current mortgage rate]]</f>
        <v>-130332.74697299491</v>
      </c>
      <c r="J1008" s="25">
        <f>IF(Table1[[#This Row],[Month]]&gt;Table7[Amortization period (yrs)]*12,0,IF(Table1[[#This Row],[Month]]&lt;Table7[mortgage term (yrs)]*12,0,IF(Table1[[#This Row],[Month]]=Table7[mortgage term (yrs)]*12,-H$5,Table1[[#This Row],[Payment amount]]+B1008)))</f>
        <v>0</v>
      </c>
    </row>
    <row r="1009" spans="1:10" x14ac:dyDescent="0.25">
      <c r="A1009" s="1">
        <v>997</v>
      </c>
      <c r="B1009" s="1">
        <f t="shared" si="16"/>
        <v>0</v>
      </c>
      <c r="C1009" s="7">
        <f>G$12/-PV(Table7[Monthly mortgage rate], (12*Table7[Amortization period (yrs)]),1 )</f>
        <v>4377.9977174134756</v>
      </c>
      <c r="D1009" s="11">
        <f>IF(Table1[[#This Row],[Month]]&lt;=(12*Table7[mortgage term (yrs)]),Table7[Monthly mortgage rate],Table7[Monthly Exp Renewal Rate])</f>
        <v>4.9038466830562122E-3</v>
      </c>
      <c r="E1009" s="21">
        <f>Table1[[#This Row],[Current mortgage rate]]*G1008</f>
        <v>-197033.2174928124</v>
      </c>
      <c r="F1009" s="5">
        <f>Table1[[#This Row],[Payment amount]]-Table1[[#This Row],[Interest paid]]</f>
        <v>201411.21521022587</v>
      </c>
      <c r="G1009" s="20">
        <f>G1008-Table1[[#This Row],[Principal repaid]]-Table1[[#This Row],[Annual paym]]</f>
        <v>-40380729.662012868</v>
      </c>
      <c r="H1009" s="20">
        <f>H1008-(Table1[[#This Row],[Payment amount]]-Table1[[#This Row],[Interest Paid W/O LSP]])</f>
        <v>-26847737.428287115</v>
      </c>
      <c r="I1009">
        <f>H1008*Table1[[#This Row],[Current mortgage rate]]</f>
        <v>-130993.34781151699</v>
      </c>
      <c r="J1009" s="25">
        <f>IF(Table1[[#This Row],[Month]]&gt;Table7[Amortization period (yrs)]*12,0,IF(Table1[[#This Row],[Month]]&lt;Table7[mortgage term (yrs)]*12,0,IF(Table1[[#This Row],[Month]]=Table7[mortgage term (yrs)]*12,-H$5,Table1[[#This Row],[Payment amount]]+B1009)))</f>
        <v>0</v>
      </c>
    </row>
    <row r="1010" spans="1:10" x14ac:dyDescent="0.25">
      <c r="A1010" s="1">
        <v>998</v>
      </c>
      <c r="B1010" s="1">
        <f t="shared" si="16"/>
        <v>0</v>
      </c>
      <c r="C1010" s="7">
        <f>G$12/-PV(Table7[Monthly mortgage rate], (12*Table7[Amortization period (yrs)]),1 )</f>
        <v>4377.9977174134756</v>
      </c>
      <c r="D1010" s="11">
        <f>IF(Table1[[#This Row],[Month]]&lt;=(12*Table7[mortgage term (yrs)]),Table7[Monthly mortgage rate],Table7[Monthly Exp Renewal Rate])</f>
        <v>4.9038466830562122E-3</v>
      </c>
      <c r="E1010" s="21">
        <f>Table1[[#This Row],[Current mortgage rate]]*G1009</f>
        <v>-198020.90721245139</v>
      </c>
      <c r="F1010" s="5">
        <f>Table1[[#This Row],[Payment amount]]-Table1[[#This Row],[Interest paid]]</f>
        <v>202398.90492986486</v>
      </c>
      <c r="G1010" s="20">
        <f>G1009-Table1[[#This Row],[Principal repaid]]-Table1[[#This Row],[Annual paym]]</f>
        <v>-40583128.566942729</v>
      </c>
      <c r="H1010" s="20">
        <f>H1009-(Table1[[#This Row],[Payment amount]]-Table1[[#This Row],[Interest Paid W/O LSP]])</f>
        <v>-26983772.614139799</v>
      </c>
      <c r="I1010">
        <f>H1009*Table1[[#This Row],[Current mortgage rate]]</f>
        <v>-131657.18813526988</v>
      </c>
      <c r="J1010" s="25">
        <f>IF(Table1[[#This Row],[Month]]&gt;Table7[Amortization period (yrs)]*12,0,IF(Table1[[#This Row],[Month]]&lt;Table7[mortgage term (yrs)]*12,0,IF(Table1[[#This Row],[Month]]=Table7[mortgage term (yrs)]*12,-H$5,Table1[[#This Row],[Payment amount]]+B1010)))</f>
        <v>0</v>
      </c>
    </row>
    <row r="1011" spans="1:10" x14ac:dyDescent="0.25">
      <c r="A1011" s="1">
        <v>999</v>
      </c>
      <c r="B1011" s="1">
        <f t="shared" si="16"/>
        <v>0</v>
      </c>
      <c r="C1011" s="7">
        <f>G$12/-PV(Table7[Monthly mortgage rate], (12*Table7[Amortization period (yrs)]),1 )</f>
        <v>4377.9977174134756</v>
      </c>
      <c r="D1011" s="11">
        <f>IF(Table1[[#This Row],[Month]]&lt;=(12*Table7[mortgage term (yrs)]),Table7[Monthly mortgage rate],Table7[Monthly Exp Renewal Rate])</f>
        <v>4.9038466830562122E-3</v>
      </c>
      <c r="E1011" s="21">
        <f>Table1[[#This Row],[Current mortgage rate]]*G1010</f>
        <v>-199013.44041104591</v>
      </c>
      <c r="F1011" s="5">
        <f>Table1[[#This Row],[Payment amount]]-Table1[[#This Row],[Interest paid]]</f>
        <v>203391.43812845938</v>
      </c>
      <c r="G1011" s="20">
        <f>G1010-Table1[[#This Row],[Principal repaid]]-Table1[[#This Row],[Annual paym]]</f>
        <v>-40786520.005071186</v>
      </c>
      <c r="H1011" s="20">
        <f>H1010-(Table1[[#This Row],[Payment amount]]-Table1[[#This Row],[Interest Paid W/O LSP]])</f>
        <v>-27120474.895687405</v>
      </c>
      <c r="I1011">
        <f>H1010*Table1[[#This Row],[Current mortgage rate]]</f>
        <v>-132324.28383019252</v>
      </c>
      <c r="J1011" s="25">
        <f>IF(Table1[[#This Row],[Month]]&gt;Table7[Amortization period (yrs)]*12,0,IF(Table1[[#This Row],[Month]]&lt;Table7[mortgage term (yrs)]*12,0,IF(Table1[[#This Row],[Month]]=Table7[mortgage term (yrs)]*12,-H$5,Table1[[#This Row],[Payment amount]]+B1011)))</f>
        <v>0</v>
      </c>
    </row>
    <row r="1012" spans="1:10" x14ac:dyDescent="0.25">
      <c r="A1012" s="1">
        <v>1000</v>
      </c>
      <c r="B1012" s="1">
        <f t="shared" si="16"/>
        <v>0</v>
      </c>
      <c r="C1012" s="7">
        <f>G$12/-PV(Table7[Monthly mortgage rate], (12*Table7[Amortization period (yrs)]),1 )</f>
        <v>4377.9977174134756</v>
      </c>
      <c r="D1012" s="11">
        <f>IF(Table1[[#This Row],[Month]]&lt;=(12*Table7[mortgage term (yrs)]),Table7[Monthly mortgage rate],Table7[Monthly Exp Renewal Rate])</f>
        <v>4.9038466830562122E-3</v>
      </c>
      <c r="E1012" s="21">
        <f>Table1[[#This Row],[Current mortgage rate]]*G1011</f>
        <v>-200010.84084027418</v>
      </c>
      <c r="F1012" s="5">
        <f>Table1[[#This Row],[Payment amount]]-Table1[[#This Row],[Interest paid]]</f>
        <v>204388.83855768765</v>
      </c>
      <c r="G1012" s="20">
        <f>G1011-Table1[[#This Row],[Principal repaid]]-Table1[[#This Row],[Annual paym]]</f>
        <v>-40990908.843628876</v>
      </c>
      <c r="H1012" s="20">
        <f>H1011-(Table1[[#This Row],[Payment amount]]-Table1[[#This Row],[Interest Paid W/O LSP]])</f>
        <v>-27257847.544264946</v>
      </c>
      <c r="I1012">
        <f>H1011*Table1[[#This Row],[Current mortgage rate]]</f>
        <v>-132994.65086012596</v>
      </c>
      <c r="J1012" s="25">
        <f>IF(Table1[[#This Row],[Month]]&gt;Table7[Amortization period (yrs)]*12,0,IF(Table1[[#This Row],[Month]]&lt;Table7[mortgage term (yrs)]*12,0,IF(Table1[[#This Row],[Month]]=Table7[mortgage term (yrs)]*12,-H$5,Table1[[#This Row],[Payment amount]]+B1012)))</f>
        <v>0</v>
      </c>
    </row>
    <row r="1013" spans="1:10" x14ac:dyDescent="0.25">
      <c r="A1013" s="1">
        <v>1001</v>
      </c>
      <c r="B1013" s="1">
        <f t="shared" si="16"/>
        <v>0</v>
      </c>
      <c r="C1013" s="7">
        <f>G$12/-PV(Table7[Monthly mortgage rate], (12*Table7[Amortization period (yrs)]),1 )</f>
        <v>4377.9977174134756</v>
      </c>
      <c r="D1013" s="11">
        <f>IF(Table1[[#This Row],[Month]]&lt;=(12*Table7[mortgage term (yrs)]),Table7[Monthly mortgage rate],Table7[Monthly Exp Renewal Rate])</f>
        <v>4.9038466830562122E-3</v>
      </c>
      <c r="E1013" s="21">
        <f>Table1[[#This Row],[Current mortgage rate]]*G1012</f>
        <v>-201013.13236828902</v>
      </c>
      <c r="F1013" s="5">
        <f>Table1[[#This Row],[Payment amount]]-Table1[[#This Row],[Interest paid]]</f>
        <v>205391.13008570249</v>
      </c>
      <c r="G1013" s="20">
        <f>G1012-Table1[[#This Row],[Principal repaid]]-Table1[[#This Row],[Annual paym]]</f>
        <v>-41196299.973714575</v>
      </c>
      <c r="H1013" s="20">
        <f>H1012-(Table1[[#This Row],[Payment amount]]-Table1[[#This Row],[Interest Paid W/O LSP]])</f>
        <v>-27395893.847249556</v>
      </c>
      <c r="I1013">
        <f>H1012*Table1[[#This Row],[Current mortgage rate]]</f>
        <v>-133668.30526719557</v>
      </c>
      <c r="J1013" s="25">
        <f>IF(Table1[[#This Row],[Month]]&gt;Table7[Amortization period (yrs)]*12,0,IF(Table1[[#This Row],[Month]]&lt;Table7[mortgage term (yrs)]*12,0,IF(Table1[[#This Row],[Month]]=Table7[mortgage term (yrs)]*12,-H$5,Table1[[#This Row],[Payment amount]]+B1013)))</f>
        <v>0</v>
      </c>
    </row>
    <row r="1014" spans="1:10" x14ac:dyDescent="0.25">
      <c r="A1014" s="1">
        <v>1002</v>
      </c>
      <c r="B1014" s="1">
        <f t="shared" si="16"/>
        <v>0</v>
      </c>
      <c r="C1014" s="7">
        <f>G$12/-PV(Table7[Monthly mortgage rate], (12*Table7[Amortization period (yrs)]),1 )</f>
        <v>4377.9977174134756</v>
      </c>
      <c r="D1014" s="11">
        <f>IF(Table1[[#This Row],[Month]]&lt;=(12*Table7[mortgage term (yrs)]),Table7[Monthly mortgage rate],Table7[Monthly Exp Renewal Rate])</f>
        <v>4.9038466830562122E-3</v>
      </c>
      <c r="E1014" s="21">
        <f>Table1[[#This Row],[Current mortgage rate]]*G1013</f>
        <v>-202020.33898028894</v>
      </c>
      <c r="F1014" s="5">
        <f>Table1[[#This Row],[Payment amount]]-Table1[[#This Row],[Interest paid]]</f>
        <v>206398.33669770241</v>
      </c>
      <c r="G1014" s="20">
        <f>G1013-Table1[[#This Row],[Principal repaid]]-Table1[[#This Row],[Annual paym]]</f>
        <v>-41402698.31041228</v>
      </c>
      <c r="H1014" s="20">
        <f>H1013-(Table1[[#This Row],[Payment amount]]-Table1[[#This Row],[Interest Paid W/O LSP]])</f>
        <v>-27534617.108139165</v>
      </c>
      <c r="I1014">
        <f>H1013*Table1[[#This Row],[Current mortgage rate]]</f>
        <v>-134345.26317219483</v>
      </c>
      <c r="J1014" s="25">
        <f>IF(Table1[[#This Row],[Month]]&gt;Table7[Amortization period (yrs)]*12,0,IF(Table1[[#This Row],[Month]]&lt;Table7[mortgage term (yrs)]*12,0,IF(Table1[[#This Row],[Month]]=Table7[mortgage term (yrs)]*12,-H$5,Table1[[#This Row],[Payment amount]]+B1014)))</f>
        <v>0</v>
      </c>
    </row>
    <row r="1015" spans="1:10" x14ac:dyDescent="0.25">
      <c r="A1015" s="1">
        <v>1003</v>
      </c>
      <c r="B1015" s="1">
        <f t="shared" si="16"/>
        <v>0</v>
      </c>
      <c r="C1015" s="7">
        <f>G$12/-PV(Table7[Monthly mortgage rate], (12*Table7[Amortization period (yrs)]),1 )</f>
        <v>4377.9977174134756</v>
      </c>
      <c r="D1015" s="11">
        <f>IF(Table1[[#This Row],[Month]]&lt;=(12*Table7[mortgage term (yrs)]),Table7[Monthly mortgage rate],Table7[Monthly Exp Renewal Rate])</f>
        <v>4.9038466830562122E-3</v>
      </c>
      <c r="E1015" s="21">
        <f>Table1[[#This Row],[Current mortgage rate]]*G1014</f>
        <v>-203032.48477909231</v>
      </c>
      <c r="F1015" s="5">
        <f>Table1[[#This Row],[Payment amount]]-Table1[[#This Row],[Interest paid]]</f>
        <v>207410.48249650578</v>
      </c>
      <c r="G1015" s="20">
        <f>G1014-Table1[[#This Row],[Principal repaid]]-Table1[[#This Row],[Annual paym]]</f>
        <v>-41610108.792908788</v>
      </c>
      <c r="H1015" s="20">
        <f>H1014-(Table1[[#This Row],[Payment amount]]-Table1[[#This Row],[Interest Paid W/O LSP]])</f>
        <v>-27674020.64663155</v>
      </c>
      <c r="I1015">
        <f>H1014*Table1[[#This Row],[Current mortgage rate]]</f>
        <v>-135025.54077497107</v>
      </c>
      <c r="J1015" s="25">
        <f>IF(Table1[[#This Row],[Month]]&gt;Table7[Amortization period (yrs)]*12,0,IF(Table1[[#This Row],[Month]]&lt;Table7[mortgage term (yrs)]*12,0,IF(Table1[[#This Row],[Month]]=Table7[mortgage term (yrs)]*12,-H$5,Table1[[#This Row],[Payment amount]]+B1015)))</f>
        <v>0</v>
      </c>
    </row>
    <row r="1016" spans="1:10" x14ac:dyDescent="0.25">
      <c r="A1016" s="1">
        <v>1004</v>
      </c>
      <c r="B1016" s="1">
        <f t="shared" si="16"/>
        <v>0</v>
      </c>
      <c r="C1016" s="7">
        <f>G$12/-PV(Table7[Monthly mortgage rate], (12*Table7[Amortization period (yrs)]),1 )</f>
        <v>4377.9977174134756</v>
      </c>
      <c r="D1016" s="11">
        <f>IF(Table1[[#This Row],[Month]]&lt;=(12*Table7[mortgage term (yrs)]),Table7[Monthly mortgage rate],Table7[Monthly Exp Renewal Rate])</f>
        <v>4.9038466830562122E-3</v>
      </c>
      <c r="E1016" s="21">
        <f>Table1[[#This Row],[Current mortgage rate]]*G1015</f>
        <v>-204049.5939857139</v>
      </c>
      <c r="F1016" s="5">
        <f>Table1[[#This Row],[Payment amount]]-Table1[[#This Row],[Interest paid]]</f>
        <v>208427.59170312737</v>
      </c>
      <c r="G1016" s="20">
        <f>G1015-Table1[[#This Row],[Principal repaid]]-Table1[[#This Row],[Annual paym]]</f>
        <v>-41818536.384611912</v>
      </c>
      <c r="H1016" s="20">
        <f>H1015-(Table1[[#This Row],[Payment amount]]-Table1[[#This Row],[Interest Paid W/O LSP]])</f>
        <v>-27814107.798703779</v>
      </c>
      <c r="I1016">
        <f>H1015*Table1[[#This Row],[Current mortgage rate]]</f>
        <v>-135709.15435481325</v>
      </c>
      <c r="J1016" s="25">
        <f>IF(Table1[[#This Row],[Month]]&gt;Table7[Amortization period (yrs)]*12,0,IF(Table1[[#This Row],[Month]]&lt;Table7[mortgage term (yrs)]*12,0,IF(Table1[[#This Row],[Month]]=Table7[mortgage term (yrs)]*12,-H$5,Table1[[#This Row],[Payment amount]]+B1016)))</f>
        <v>0</v>
      </c>
    </row>
    <row r="1017" spans="1:10" x14ac:dyDescent="0.25">
      <c r="A1017" s="1">
        <v>1005</v>
      </c>
      <c r="B1017" s="1">
        <f t="shared" si="16"/>
        <v>0</v>
      </c>
      <c r="C1017" s="7">
        <f>G$12/-PV(Table7[Monthly mortgage rate], (12*Table7[Amortization period (yrs)]),1 )</f>
        <v>4377.9977174134756</v>
      </c>
      <c r="D1017" s="11">
        <f>IF(Table1[[#This Row],[Month]]&lt;=(12*Table7[mortgage term (yrs)]),Table7[Monthly mortgage rate],Table7[Monthly Exp Renewal Rate])</f>
        <v>4.9038466830562122E-3</v>
      </c>
      <c r="E1017" s="21">
        <f>Table1[[#This Row],[Current mortgage rate]]*G1016</f>
        <v>-205071.69093994464</v>
      </c>
      <c r="F1017" s="5">
        <f>Table1[[#This Row],[Payment amount]]-Table1[[#This Row],[Interest paid]]</f>
        <v>209449.68865735811</v>
      </c>
      <c r="G1017" s="20">
        <f>G1016-Table1[[#This Row],[Principal repaid]]-Table1[[#This Row],[Annual paym]]</f>
        <v>-42027986.07326927</v>
      </c>
      <c r="H1017" s="20">
        <f>H1016-(Table1[[#This Row],[Payment amount]]-Table1[[#This Row],[Interest Paid W/O LSP]])</f>
        <v>-27954881.916692033</v>
      </c>
      <c r="I1017">
        <f>H1016*Table1[[#This Row],[Current mortgage rate]]</f>
        <v>-136396.12027084143</v>
      </c>
      <c r="J1017" s="25">
        <f>IF(Table1[[#This Row],[Month]]&gt;Table7[Amortization period (yrs)]*12,0,IF(Table1[[#This Row],[Month]]&lt;Table7[mortgage term (yrs)]*12,0,IF(Table1[[#This Row],[Month]]=Table7[mortgage term (yrs)]*12,-H$5,Table1[[#This Row],[Payment amount]]+B1017)))</f>
        <v>0</v>
      </c>
    </row>
    <row r="1018" spans="1:10" x14ac:dyDescent="0.25">
      <c r="A1018" s="1">
        <v>1006</v>
      </c>
      <c r="B1018" s="1">
        <f t="shared" si="16"/>
        <v>0</v>
      </c>
      <c r="C1018" s="7">
        <f>G$12/-PV(Table7[Monthly mortgage rate], (12*Table7[Amortization period (yrs)]),1 )</f>
        <v>4377.9977174134756</v>
      </c>
      <c r="D1018" s="11">
        <f>IF(Table1[[#This Row],[Month]]&lt;=(12*Table7[mortgage term (yrs)]),Table7[Monthly mortgage rate],Table7[Monthly Exp Renewal Rate])</f>
        <v>4.9038466830562122E-3</v>
      </c>
      <c r="E1018" s="21">
        <f>Table1[[#This Row],[Current mortgage rate]]*G1017</f>
        <v>-206098.8001009342</v>
      </c>
      <c r="F1018" s="5">
        <f>Table1[[#This Row],[Payment amount]]-Table1[[#This Row],[Interest paid]]</f>
        <v>210476.79781834767</v>
      </c>
      <c r="G1018" s="20">
        <f>G1017-Table1[[#This Row],[Principal repaid]]-Table1[[#This Row],[Annual paym]]</f>
        <v>-42238462.871087618</v>
      </c>
      <c r="H1018" s="20">
        <f>H1017-(Table1[[#This Row],[Payment amount]]-Table1[[#This Row],[Interest Paid W/O LSP]])</f>
        <v>-28096346.369371846</v>
      </c>
      <c r="I1018">
        <f>H1017*Table1[[#This Row],[Current mortgage rate]]</f>
        <v>-137086.4549623983</v>
      </c>
      <c r="J1018" s="25">
        <f>IF(Table1[[#This Row],[Month]]&gt;Table7[Amortization period (yrs)]*12,0,IF(Table1[[#This Row],[Month]]&lt;Table7[mortgage term (yrs)]*12,0,IF(Table1[[#This Row],[Month]]=Table7[mortgage term (yrs)]*12,-H$5,Table1[[#This Row],[Payment amount]]+B1018)))</f>
        <v>0</v>
      </c>
    </row>
    <row r="1019" spans="1:10" x14ac:dyDescent="0.25">
      <c r="A1019" s="1">
        <v>1007</v>
      </c>
      <c r="B1019" s="1">
        <f t="shared" si="16"/>
        <v>0</v>
      </c>
      <c r="C1019" s="7">
        <f>G$12/-PV(Table7[Monthly mortgage rate], (12*Table7[Amortization period (yrs)]),1 )</f>
        <v>4377.9977174134756</v>
      </c>
      <c r="D1019" s="11">
        <f>IF(Table1[[#This Row],[Month]]&lt;=(12*Table7[mortgage term (yrs)]),Table7[Monthly mortgage rate],Table7[Monthly Exp Renewal Rate])</f>
        <v>4.9038466830562122E-3</v>
      </c>
      <c r="E1019" s="21">
        <f>Table1[[#This Row],[Current mortgage rate]]*G1018</f>
        <v>-207130.946047776</v>
      </c>
      <c r="F1019" s="5">
        <f>Table1[[#This Row],[Payment amount]]-Table1[[#This Row],[Interest paid]]</f>
        <v>211508.94376518947</v>
      </c>
      <c r="G1019" s="20">
        <f>G1018-Table1[[#This Row],[Principal repaid]]-Table1[[#This Row],[Annual paym]]</f>
        <v>-42449971.814852804</v>
      </c>
      <c r="H1019" s="20">
        <f>H1018-(Table1[[#This Row],[Payment amount]]-Table1[[#This Row],[Interest Paid W/O LSP]])</f>
        <v>-28238504.542038701</v>
      </c>
      <c r="I1019">
        <f>H1018*Table1[[#This Row],[Current mortgage rate]]</f>
        <v>-137780.17494944259</v>
      </c>
      <c r="J1019" s="25">
        <f>IF(Table1[[#This Row],[Month]]&gt;Table7[Amortization period (yrs)]*12,0,IF(Table1[[#This Row],[Month]]&lt;Table7[mortgage term (yrs)]*12,0,IF(Table1[[#This Row],[Month]]=Table7[mortgage term (yrs)]*12,-H$5,Table1[[#This Row],[Payment amount]]+B1019)))</f>
        <v>0</v>
      </c>
    </row>
    <row r="1020" spans="1:10" x14ac:dyDescent="0.25">
      <c r="A1020" s="1">
        <v>1008</v>
      </c>
      <c r="B1020" s="1">
        <f t="shared" si="16"/>
        <v>0</v>
      </c>
      <c r="C1020" s="7">
        <f>G$12/-PV(Table7[Monthly mortgage rate], (12*Table7[Amortization period (yrs)]),1 )</f>
        <v>4377.9977174134756</v>
      </c>
      <c r="D1020" s="11">
        <f>IF(Table1[[#This Row],[Month]]&lt;=(12*Table7[mortgage term (yrs)]),Table7[Monthly mortgage rate],Table7[Monthly Exp Renewal Rate])</f>
        <v>4.9038466830562122E-3</v>
      </c>
      <c r="E1020" s="21">
        <f>Table1[[#This Row],[Current mortgage rate]]*G1019</f>
        <v>-208168.15348009561</v>
      </c>
      <c r="F1020" s="5">
        <f>Table1[[#This Row],[Payment amount]]-Table1[[#This Row],[Interest paid]]</f>
        <v>212546.15119750908</v>
      </c>
      <c r="G1020" s="20">
        <f>G1019-Table1[[#This Row],[Principal repaid]]-Table1[[#This Row],[Annual paym]]</f>
        <v>-42662517.966050312</v>
      </c>
      <c r="H1020" s="20">
        <f>H1019-(Table1[[#This Row],[Payment amount]]-Table1[[#This Row],[Interest Paid W/O LSP]])</f>
        <v>-28381359.836589061</v>
      </c>
      <c r="I1020">
        <f>H1019*Table1[[#This Row],[Current mortgage rate]]</f>
        <v>-138477.29683294427</v>
      </c>
      <c r="J1020" s="25">
        <f>IF(Table1[[#This Row],[Month]]&gt;Table7[Amortization period (yrs)]*12,0,IF(Table1[[#This Row],[Month]]&lt;Table7[mortgage term (yrs)]*12,0,IF(Table1[[#This Row],[Month]]=Table7[mortgage term (yrs)]*12,-H$5,Table1[[#This Row],[Payment amount]]+B1020)))</f>
        <v>0</v>
      </c>
    </row>
    <row r="1021" spans="1:10" x14ac:dyDescent="0.25">
      <c r="A1021" s="1">
        <v>1009</v>
      </c>
      <c r="B1021" s="1">
        <f t="shared" si="16"/>
        <v>0</v>
      </c>
      <c r="C1021" s="7">
        <f>G$12/-PV(Table7[Monthly mortgage rate], (12*Table7[Amortization period (yrs)]),1 )</f>
        <v>4377.9977174134756</v>
      </c>
      <c r="D1021" s="11">
        <f>IF(Table1[[#This Row],[Month]]&lt;=(12*Table7[mortgage term (yrs)]),Table7[Monthly mortgage rate],Table7[Monthly Exp Renewal Rate])</f>
        <v>4.9038466830562122E-3</v>
      </c>
      <c r="E1021" s="21">
        <f>Table1[[#This Row],[Current mortgage rate]]*G1020</f>
        <v>-209210.44721864187</v>
      </c>
      <c r="F1021" s="5">
        <f>Table1[[#This Row],[Payment amount]]-Table1[[#This Row],[Interest paid]]</f>
        <v>213588.44493605534</v>
      </c>
      <c r="G1021" s="20">
        <f>G1020-Table1[[#This Row],[Principal repaid]]-Table1[[#This Row],[Annual paym]]</f>
        <v>-42876106.410986364</v>
      </c>
      <c r="H1021" s="20">
        <f>H1020-(Table1[[#This Row],[Payment amount]]-Table1[[#This Row],[Interest Paid W/O LSP]])</f>
        <v>-28524915.671601757</v>
      </c>
      <c r="I1021">
        <f>H1020*Table1[[#This Row],[Current mortgage rate]]</f>
        <v>-139177.83729528208</v>
      </c>
      <c r="J1021" s="25">
        <f>IF(Table1[[#This Row],[Month]]&gt;Table7[Amortization period (yrs)]*12,0,IF(Table1[[#This Row],[Month]]&lt;Table7[mortgage term (yrs)]*12,0,IF(Table1[[#This Row],[Month]]=Table7[mortgage term (yrs)]*12,-H$5,Table1[[#This Row],[Payment amount]]+B1021)))</f>
        <v>0</v>
      </c>
    </row>
    <row r="1022" spans="1:10" x14ac:dyDescent="0.25">
      <c r="A1022" s="1">
        <v>1010</v>
      </c>
      <c r="B1022" s="1">
        <f t="shared" si="16"/>
        <v>0</v>
      </c>
      <c r="C1022" s="7">
        <f>G$12/-PV(Table7[Monthly mortgage rate], (12*Table7[Amortization period (yrs)]),1 )</f>
        <v>4377.9977174134756</v>
      </c>
      <c r="D1022" s="11">
        <f>IF(Table1[[#This Row],[Month]]&lt;=(12*Table7[mortgage term (yrs)]),Table7[Monthly mortgage rate],Table7[Monthly Exp Renewal Rate])</f>
        <v>4.9038466830562122E-3</v>
      </c>
      <c r="E1022" s="21">
        <f>Table1[[#This Row],[Current mortgage rate]]*G1021</f>
        <v>-210257.85220588068</v>
      </c>
      <c r="F1022" s="5">
        <f>Table1[[#This Row],[Payment amount]]-Table1[[#This Row],[Interest paid]]</f>
        <v>214635.84992329415</v>
      </c>
      <c r="G1022" s="20">
        <f>G1021-Table1[[#This Row],[Principal repaid]]-Table1[[#This Row],[Annual paym]]</f>
        <v>-43090742.260909662</v>
      </c>
      <c r="H1022" s="20">
        <f>H1021-(Table1[[#This Row],[Payment amount]]-Table1[[#This Row],[Interest Paid W/O LSP]])</f>
        <v>-28669175.482419815</v>
      </c>
      <c r="I1022">
        <f>H1021*Table1[[#This Row],[Current mortgage rate]]</f>
        <v>-139881.81310064244</v>
      </c>
      <c r="J1022" s="25">
        <f>IF(Table1[[#This Row],[Month]]&gt;Table7[Amortization period (yrs)]*12,0,IF(Table1[[#This Row],[Month]]&lt;Table7[mortgage term (yrs)]*12,0,IF(Table1[[#This Row],[Month]]=Table7[mortgage term (yrs)]*12,-H$5,Table1[[#This Row],[Payment amount]]+B1022)))</f>
        <v>0</v>
      </c>
    </row>
    <row r="1023" spans="1:10" x14ac:dyDescent="0.25">
      <c r="A1023" s="1">
        <v>1011</v>
      </c>
      <c r="B1023" s="1">
        <f t="shared" si="16"/>
        <v>0</v>
      </c>
      <c r="C1023" s="7">
        <f>G$12/-PV(Table7[Monthly mortgage rate], (12*Table7[Amortization period (yrs)]),1 )</f>
        <v>4377.9977174134756</v>
      </c>
      <c r="D1023" s="11">
        <f>IF(Table1[[#This Row],[Month]]&lt;=(12*Table7[mortgage term (yrs)]),Table7[Monthly mortgage rate],Table7[Monthly Exp Renewal Rate])</f>
        <v>4.9038466830562122E-3</v>
      </c>
      <c r="E1023" s="21">
        <f>Table1[[#This Row],[Current mortgage rate]]*G1022</f>
        <v>-211310.39350659199</v>
      </c>
      <c r="F1023" s="5">
        <f>Table1[[#This Row],[Payment amount]]-Table1[[#This Row],[Interest paid]]</f>
        <v>215688.39122400546</v>
      </c>
      <c r="G1023" s="20">
        <f>G1022-Table1[[#This Row],[Principal repaid]]-Table1[[#This Row],[Annual paym]]</f>
        <v>-43306430.652133666</v>
      </c>
      <c r="H1023" s="20">
        <f>H1022-(Table1[[#This Row],[Payment amount]]-Table1[[#This Row],[Interest Paid W/O LSP]])</f>
        <v>-28814142.721232649</v>
      </c>
      <c r="I1023">
        <f>H1022*Table1[[#This Row],[Current mortgage rate]]</f>
        <v>-140589.2410954209</v>
      </c>
      <c r="J1023" s="25">
        <f>IF(Table1[[#This Row],[Month]]&gt;Table7[Amortization period (yrs)]*12,0,IF(Table1[[#This Row],[Month]]&lt;Table7[mortgage term (yrs)]*12,0,IF(Table1[[#This Row],[Month]]=Table7[mortgage term (yrs)]*12,-H$5,Table1[[#This Row],[Payment amount]]+B1023)))</f>
        <v>0</v>
      </c>
    </row>
    <row r="1024" spans="1:10" x14ac:dyDescent="0.25">
      <c r="A1024" s="1">
        <v>1012</v>
      </c>
      <c r="B1024" s="1">
        <f t="shared" si="16"/>
        <v>0</v>
      </c>
      <c r="C1024" s="7">
        <f>G$12/-PV(Table7[Monthly mortgage rate], (12*Table7[Amortization period (yrs)]),1 )</f>
        <v>4377.9977174134756</v>
      </c>
      <c r="D1024" s="11">
        <f>IF(Table1[[#This Row],[Month]]&lt;=(12*Table7[mortgage term (yrs)]),Table7[Monthly mortgage rate],Table7[Monthly Exp Renewal Rate])</f>
        <v>4.9038466830562122E-3</v>
      </c>
      <c r="E1024" s="21">
        <f>Table1[[#This Row],[Current mortgage rate]]*G1023</f>
        <v>-212368.09630846954</v>
      </c>
      <c r="F1024" s="5">
        <f>Table1[[#This Row],[Payment amount]]-Table1[[#This Row],[Interest paid]]</f>
        <v>216746.09402588301</v>
      </c>
      <c r="G1024" s="20">
        <f>G1023-Table1[[#This Row],[Principal repaid]]-Table1[[#This Row],[Annual paym]]</f>
        <v>-43523176.746159546</v>
      </c>
      <c r="H1024" s="20">
        <f>H1023-(Table1[[#This Row],[Payment amount]]-Table1[[#This Row],[Interest Paid W/O LSP]])</f>
        <v>-28959820.857158687</v>
      </c>
      <c r="I1024">
        <f>H1023*Table1[[#This Row],[Current mortgage rate]]</f>
        <v>-141300.13820862502</v>
      </c>
      <c r="J1024" s="25">
        <f>IF(Table1[[#This Row],[Month]]&gt;Table7[Amortization period (yrs)]*12,0,IF(Table1[[#This Row],[Month]]&lt;Table7[mortgage term (yrs)]*12,0,IF(Table1[[#This Row],[Month]]=Table7[mortgage term (yrs)]*12,-H$5,Table1[[#This Row],[Payment amount]]+B1024)))</f>
        <v>0</v>
      </c>
    </row>
    <row r="1025" spans="1:10" x14ac:dyDescent="0.25">
      <c r="A1025" s="1">
        <v>1013</v>
      </c>
      <c r="B1025" s="1">
        <f t="shared" si="16"/>
        <v>0</v>
      </c>
      <c r="C1025" s="7">
        <f>G$12/-PV(Table7[Monthly mortgage rate], (12*Table7[Amortization period (yrs)]),1 )</f>
        <v>4377.9977174134756</v>
      </c>
      <c r="D1025" s="11">
        <f>IF(Table1[[#This Row],[Month]]&lt;=(12*Table7[mortgage term (yrs)]),Table7[Monthly mortgage rate],Table7[Monthly Exp Renewal Rate])</f>
        <v>4.9038466830562122E-3</v>
      </c>
      <c r="E1025" s="21">
        <f>Table1[[#This Row],[Current mortgage rate]]*G1024</f>
        <v>-213430.98592272375</v>
      </c>
      <c r="F1025" s="5">
        <f>Table1[[#This Row],[Payment amount]]-Table1[[#This Row],[Interest paid]]</f>
        <v>217808.98364013722</v>
      </c>
      <c r="G1025" s="20">
        <f>G1024-Table1[[#This Row],[Principal repaid]]-Table1[[#This Row],[Annual paym]]</f>
        <v>-43740985.72979968</v>
      </c>
      <c r="H1025" s="20">
        <f>H1024-(Table1[[#This Row],[Payment amount]]-Table1[[#This Row],[Interest Paid W/O LSP]])</f>
        <v>-29106213.376328379</v>
      </c>
      <c r="I1025">
        <f>H1024*Table1[[#This Row],[Current mortgage rate]]</f>
        <v>-142014.52145227973</v>
      </c>
      <c r="J1025" s="25">
        <f>IF(Table1[[#This Row],[Month]]&gt;Table7[Amortization period (yrs)]*12,0,IF(Table1[[#This Row],[Month]]&lt;Table7[mortgage term (yrs)]*12,0,IF(Table1[[#This Row],[Month]]=Table7[mortgage term (yrs)]*12,-H$5,Table1[[#This Row],[Payment amount]]+B1025)))</f>
        <v>0</v>
      </c>
    </row>
    <row r="1026" spans="1:10" x14ac:dyDescent="0.25">
      <c r="A1026" s="1">
        <v>1014</v>
      </c>
      <c r="B1026" s="1">
        <f t="shared" si="16"/>
        <v>0</v>
      </c>
      <c r="C1026" s="7">
        <f>G$12/-PV(Table7[Monthly mortgage rate], (12*Table7[Amortization period (yrs)]),1 )</f>
        <v>4377.9977174134756</v>
      </c>
      <c r="D1026" s="11">
        <f>IF(Table1[[#This Row],[Month]]&lt;=(12*Table7[mortgage term (yrs)]),Table7[Monthly mortgage rate],Table7[Monthly Exp Renewal Rate])</f>
        <v>4.9038466830562122E-3</v>
      </c>
      <c r="E1026" s="21">
        <f>Table1[[#This Row],[Current mortgage rate]]*G1025</f>
        <v>-214499.08778468726</v>
      </c>
      <c r="F1026" s="5">
        <f>Table1[[#This Row],[Payment amount]]-Table1[[#This Row],[Interest paid]]</f>
        <v>218877.08550210073</v>
      </c>
      <c r="G1026" s="20">
        <f>G1025-Table1[[#This Row],[Principal repaid]]-Table1[[#This Row],[Annual paym]]</f>
        <v>-43959862.815301783</v>
      </c>
      <c r="H1026" s="20">
        <f>H1025-(Table1[[#This Row],[Payment amount]]-Table1[[#This Row],[Interest Paid W/O LSP]])</f>
        <v>-29253323.781967625</v>
      </c>
      <c r="I1026">
        <f>H1025*Table1[[#This Row],[Current mortgage rate]]</f>
        <v>-142732.40792183427</v>
      </c>
      <c r="J1026" s="25">
        <f>IF(Table1[[#This Row],[Month]]&gt;Table7[Amortization period (yrs)]*12,0,IF(Table1[[#This Row],[Month]]&lt;Table7[mortgage term (yrs)]*12,0,IF(Table1[[#This Row],[Month]]=Table7[mortgage term (yrs)]*12,-H$5,Table1[[#This Row],[Payment amount]]+B1026)))</f>
        <v>0</v>
      </c>
    </row>
    <row r="1027" spans="1:10" x14ac:dyDescent="0.25">
      <c r="A1027" s="1">
        <v>1015</v>
      </c>
      <c r="B1027" s="1">
        <f t="shared" si="16"/>
        <v>0</v>
      </c>
      <c r="C1027" s="7">
        <f>G$12/-PV(Table7[Monthly mortgage rate], (12*Table7[Amortization period (yrs)]),1 )</f>
        <v>4377.9977174134756</v>
      </c>
      <c r="D1027" s="11">
        <f>IF(Table1[[#This Row],[Month]]&lt;=(12*Table7[mortgage term (yrs)]),Table7[Monthly mortgage rate],Table7[Monthly Exp Renewal Rate])</f>
        <v>4.9038466830562122E-3</v>
      </c>
      <c r="E1027" s="21">
        <f>Table1[[#This Row],[Current mortgage rate]]*G1026</f>
        <v>-215572.42745442377</v>
      </c>
      <c r="F1027" s="5">
        <f>Table1[[#This Row],[Payment amount]]-Table1[[#This Row],[Interest paid]]</f>
        <v>219950.42517183724</v>
      </c>
      <c r="G1027" s="20">
        <f>G1026-Table1[[#This Row],[Principal repaid]]-Table1[[#This Row],[Annual paym]]</f>
        <v>-44179813.240473621</v>
      </c>
      <c r="H1027" s="20">
        <f>H1026-(Table1[[#This Row],[Payment amount]]-Table1[[#This Row],[Interest Paid W/O LSP]])</f>
        <v>-29401155.59448161</v>
      </c>
      <c r="I1027">
        <f>H1026*Table1[[#This Row],[Current mortgage rate]]</f>
        <v>-143453.81479657136</v>
      </c>
      <c r="J1027" s="25">
        <f>IF(Table1[[#This Row],[Month]]&gt;Table7[Amortization period (yrs)]*12,0,IF(Table1[[#This Row],[Month]]&lt;Table7[mortgage term (yrs)]*12,0,IF(Table1[[#This Row],[Month]]=Table7[mortgage term (yrs)]*12,-H$5,Table1[[#This Row],[Payment amount]]+B1027)))</f>
        <v>0</v>
      </c>
    </row>
    <row r="1028" spans="1:10" x14ac:dyDescent="0.25">
      <c r="A1028" s="1">
        <v>1016</v>
      </c>
      <c r="B1028" s="1">
        <f t="shared" si="16"/>
        <v>0</v>
      </c>
      <c r="C1028" s="7">
        <f>G$12/-PV(Table7[Monthly mortgage rate], (12*Table7[Amortization period (yrs)]),1 )</f>
        <v>4377.9977174134756</v>
      </c>
      <c r="D1028" s="11">
        <f>IF(Table1[[#This Row],[Month]]&lt;=(12*Table7[mortgage term (yrs)]),Table7[Monthly mortgage rate],Table7[Monthly Exp Renewal Rate])</f>
        <v>4.9038466830562122E-3</v>
      </c>
      <c r="E1028" s="21">
        <f>Table1[[#This Row],[Current mortgage rate]]*G1027</f>
        <v>-216651.03061733948</v>
      </c>
      <c r="F1028" s="5">
        <f>Table1[[#This Row],[Payment amount]]-Table1[[#This Row],[Interest paid]]</f>
        <v>221029.02833475295</v>
      </c>
      <c r="G1028" s="20">
        <f>G1027-Table1[[#This Row],[Principal repaid]]-Table1[[#This Row],[Annual paym]]</f>
        <v>-44400842.268808372</v>
      </c>
      <c r="H1028" s="20">
        <f>H1027-(Table1[[#This Row],[Payment amount]]-Table1[[#This Row],[Interest Paid W/O LSP]])</f>
        <v>-29549712.351539042</v>
      </c>
      <c r="I1028">
        <f>H1027*Table1[[#This Row],[Current mortgage rate]]</f>
        <v>-144178.75934001824</v>
      </c>
      <c r="J1028" s="25">
        <f>IF(Table1[[#This Row],[Month]]&gt;Table7[Amortization period (yrs)]*12,0,IF(Table1[[#This Row],[Month]]&lt;Table7[mortgage term (yrs)]*12,0,IF(Table1[[#This Row],[Month]]=Table7[mortgage term (yrs)]*12,-H$5,Table1[[#This Row],[Payment amount]]+B1028)))</f>
        <v>0</v>
      </c>
    </row>
    <row r="1029" spans="1:10" x14ac:dyDescent="0.25">
      <c r="A1029" s="1">
        <v>1017</v>
      </c>
      <c r="B1029" s="1">
        <f t="shared" si="16"/>
        <v>0</v>
      </c>
      <c r="C1029" s="7">
        <f>G$12/-PV(Table7[Monthly mortgage rate], (12*Table7[Amortization period (yrs)]),1 )</f>
        <v>4377.9977174134756</v>
      </c>
      <c r="D1029" s="11">
        <f>IF(Table1[[#This Row],[Month]]&lt;=(12*Table7[mortgage term (yrs)]),Table7[Monthly mortgage rate],Table7[Monthly Exp Renewal Rate])</f>
        <v>4.9038466830562122E-3</v>
      </c>
      <c r="E1029" s="21">
        <f>Table1[[#This Row],[Current mortgage rate]]*G1028</f>
        <v>-217734.92308479801</v>
      </c>
      <c r="F1029" s="5">
        <f>Table1[[#This Row],[Payment amount]]-Table1[[#This Row],[Interest paid]]</f>
        <v>222112.92080221148</v>
      </c>
      <c r="G1029" s="20">
        <f>G1028-Table1[[#This Row],[Principal repaid]]-Table1[[#This Row],[Annual paym]]</f>
        <v>-44622955.189610586</v>
      </c>
      <c r="H1029" s="20">
        <f>H1028-(Table1[[#This Row],[Payment amount]]-Table1[[#This Row],[Interest Paid W/O LSP]])</f>
        <v>-29698997.608156815</v>
      </c>
      <c r="I1029">
        <f>H1028*Table1[[#This Row],[Current mortgage rate]]</f>
        <v>-144907.25890035991</v>
      </c>
      <c r="J1029" s="25">
        <f>IF(Table1[[#This Row],[Month]]&gt;Table7[Amortization period (yrs)]*12,0,IF(Table1[[#This Row],[Month]]&lt;Table7[mortgage term (yrs)]*12,0,IF(Table1[[#This Row],[Month]]=Table7[mortgage term (yrs)]*12,-H$5,Table1[[#This Row],[Payment amount]]+B1029)))</f>
        <v>0</v>
      </c>
    </row>
    <row r="1030" spans="1:10" x14ac:dyDescent="0.25">
      <c r="A1030" s="1">
        <v>1018</v>
      </c>
      <c r="B1030" s="1">
        <f t="shared" si="16"/>
        <v>0</v>
      </c>
      <c r="C1030" s="7">
        <f>G$12/-PV(Table7[Monthly mortgage rate], (12*Table7[Amortization period (yrs)]),1 )</f>
        <v>4377.9977174134756</v>
      </c>
      <c r="D1030" s="11">
        <f>IF(Table1[[#This Row],[Month]]&lt;=(12*Table7[mortgage term (yrs)]),Table7[Monthly mortgage rate],Table7[Monthly Exp Renewal Rate])</f>
        <v>4.9038466830562122E-3</v>
      </c>
      <c r="E1030" s="21">
        <f>Table1[[#This Row],[Current mortgage rate]]*G1029</f>
        <v>-218824.13079473787</v>
      </c>
      <c r="F1030" s="5">
        <f>Table1[[#This Row],[Payment amount]]-Table1[[#This Row],[Interest paid]]</f>
        <v>223202.12851215134</v>
      </c>
      <c r="G1030" s="20">
        <f>G1029-Table1[[#This Row],[Principal repaid]]-Table1[[#This Row],[Annual paym]]</f>
        <v>-44846157.318122737</v>
      </c>
      <c r="H1030" s="20">
        <f>H1029-(Table1[[#This Row],[Payment amount]]-Table1[[#This Row],[Interest Paid W/O LSP]])</f>
        <v>-29849014.936785083</v>
      </c>
      <c r="I1030">
        <f>H1029*Table1[[#This Row],[Current mortgage rate]]</f>
        <v>-145639.33091085419</v>
      </c>
      <c r="J1030" s="25">
        <f>IF(Table1[[#This Row],[Month]]&gt;Table7[Amortization period (yrs)]*12,0,IF(Table1[[#This Row],[Month]]&lt;Table7[mortgage term (yrs)]*12,0,IF(Table1[[#This Row],[Month]]=Table7[mortgage term (yrs)]*12,-H$5,Table1[[#This Row],[Payment amount]]+B1030)))</f>
        <v>0</v>
      </c>
    </row>
    <row r="1031" spans="1:10" x14ac:dyDescent="0.25">
      <c r="A1031" s="1">
        <v>1019</v>
      </c>
      <c r="B1031" s="1">
        <f t="shared" si="16"/>
        <v>0</v>
      </c>
      <c r="C1031" s="7">
        <f>G$12/-PV(Table7[Monthly mortgage rate], (12*Table7[Amortization period (yrs)]),1 )</f>
        <v>4377.9977174134756</v>
      </c>
      <c r="D1031" s="11">
        <f>IF(Table1[[#This Row],[Month]]&lt;=(12*Table7[mortgage term (yrs)]),Table7[Monthly mortgage rate],Table7[Monthly Exp Renewal Rate])</f>
        <v>4.9038466830562122E-3</v>
      </c>
      <c r="E1031" s="21">
        <f>Table1[[#This Row],[Current mortgage rate]]*G1030</f>
        <v>-219918.67981229327</v>
      </c>
      <c r="F1031" s="5">
        <f>Table1[[#This Row],[Payment amount]]-Table1[[#This Row],[Interest paid]]</f>
        <v>224296.67752970674</v>
      </c>
      <c r="G1031" s="20">
        <f>G1030-Table1[[#This Row],[Principal repaid]]-Table1[[#This Row],[Annual paym]]</f>
        <v>-45070453.995652445</v>
      </c>
      <c r="H1031" s="20">
        <f>H1030-(Table1[[#This Row],[Payment amount]]-Table1[[#This Row],[Interest Paid W/O LSP]])</f>
        <v>-29999767.927392747</v>
      </c>
      <c r="I1031">
        <f>H1030*Table1[[#This Row],[Current mortgage rate]]</f>
        <v>-146374.99289024886</v>
      </c>
      <c r="J1031" s="25">
        <f>IF(Table1[[#This Row],[Month]]&gt;Table7[Amortization period (yrs)]*12,0,IF(Table1[[#This Row],[Month]]&lt;Table7[mortgage term (yrs)]*12,0,IF(Table1[[#This Row],[Month]]=Table7[mortgage term (yrs)]*12,-H$5,Table1[[#This Row],[Payment amount]]+B1031)))</f>
        <v>0</v>
      </c>
    </row>
    <row r="1032" spans="1:10" x14ac:dyDescent="0.25">
      <c r="A1032" s="1">
        <v>1020</v>
      </c>
      <c r="B1032" s="1">
        <f t="shared" si="16"/>
        <v>0</v>
      </c>
      <c r="C1032" s="7">
        <f>G$12/-PV(Table7[Monthly mortgage rate], (12*Table7[Amortization period (yrs)]),1 )</f>
        <v>4377.9977174134756</v>
      </c>
      <c r="D1032" s="11">
        <f>IF(Table1[[#This Row],[Month]]&lt;=(12*Table7[mortgage term (yrs)]),Table7[Monthly mortgage rate],Table7[Monthly Exp Renewal Rate])</f>
        <v>4.9038466830562122E-3</v>
      </c>
      <c r="E1032" s="21">
        <f>Table1[[#This Row],[Current mortgage rate]]*G1031</f>
        <v>-221018.59633041784</v>
      </c>
      <c r="F1032" s="5">
        <f>Table1[[#This Row],[Payment amount]]-Table1[[#This Row],[Interest paid]]</f>
        <v>225396.59404783131</v>
      </c>
      <c r="G1032" s="20">
        <f>G1031-Table1[[#This Row],[Principal repaid]]-Table1[[#This Row],[Annual paym]]</f>
        <v>-45295850.589700274</v>
      </c>
      <c r="H1032" s="20">
        <f>H1031-(Table1[[#This Row],[Payment amount]]-Table1[[#This Row],[Interest Paid W/O LSP]])</f>
        <v>-30151260.187553361</v>
      </c>
      <c r="I1032">
        <f>H1031*Table1[[#This Row],[Current mortgage rate]]</f>
        <v>-147114.26244320106</v>
      </c>
      <c r="J1032" s="25">
        <f>IF(Table1[[#This Row],[Month]]&gt;Table7[Amortization period (yrs)]*12,0,IF(Table1[[#This Row],[Month]]&lt;Table7[mortgage term (yrs)]*12,0,IF(Table1[[#This Row],[Month]]=Table7[mortgage term (yrs)]*12,-H$5,Table1[[#This Row],[Payment amount]]+B1032)))</f>
        <v>0</v>
      </c>
    </row>
    <row r="1033" spans="1:10" x14ac:dyDescent="0.25">
      <c r="A1033" s="1">
        <v>1021</v>
      </c>
      <c r="B1033" s="1">
        <f t="shared" si="16"/>
        <v>0</v>
      </c>
      <c r="C1033" s="7">
        <f>G$12/-PV(Table7[Monthly mortgage rate], (12*Table7[Amortization period (yrs)]),1 )</f>
        <v>4377.9977174134756</v>
      </c>
      <c r="D1033" s="11">
        <f>IF(Table1[[#This Row],[Month]]&lt;=(12*Table7[mortgage term (yrs)]),Table7[Monthly mortgage rate],Table7[Monthly Exp Renewal Rate])</f>
        <v>4.9038466830562122E-3</v>
      </c>
      <c r="E1033" s="21">
        <f>Table1[[#This Row],[Current mortgage rate]]*G1032</f>
        <v>-222123.90667051147</v>
      </c>
      <c r="F1033" s="5">
        <f>Table1[[#This Row],[Payment amount]]-Table1[[#This Row],[Interest paid]]</f>
        <v>226501.90438792494</v>
      </c>
      <c r="G1033" s="20">
        <f>G1032-Table1[[#This Row],[Principal repaid]]-Table1[[#This Row],[Annual paym]]</f>
        <v>-45522352.494088203</v>
      </c>
      <c r="H1033" s="20">
        <f>H1032-(Table1[[#This Row],[Payment amount]]-Table1[[#This Row],[Interest Paid W/O LSP]])</f>
        <v>-30303495.342531472</v>
      </c>
      <c r="I1033">
        <f>H1032*Table1[[#This Row],[Current mortgage rate]]</f>
        <v>-147857.15726069838</v>
      </c>
      <c r="J1033" s="25">
        <f>IF(Table1[[#This Row],[Month]]&gt;Table7[Amortization period (yrs)]*12,0,IF(Table1[[#This Row],[Month]]&lt;Table7[mortgage term (yrs)]*12,0,IF(Table1[[#This Row],[Month]]=Table7[mortgage term (yrs)]*12,-H$5,Table1[[#This Row],[Payment amount]]+B1033)))</f>
        <v>0</v>
      </c>
    </row>
    <row r="1034" spans="1:10" x14ac:dyDescent="0.25">
      <c r="A1034" s="1">
        <v>1022</v>
      </c>
      <c r="B1034" s="1">
        <f t="shared" si="16"/>
        <v>0</v>
      </c>
      <c r="C1034" s="7">
        <f>G$12/-PV(Table7[Monthly mortgage rate], (12*Table7[Amortization period (yrs)]),1 )</f>
        <v>4377.9977174134756</v>
      </c>
      <c r="D1034" s="11">
        <f>IF(Table1[[#This Row],[Month]]&lt;=(12*Table7[mortgage term (yrs)]),Table7[Monthly mortgage rate],Table7[Monthly Exp Renewal Rate])</f>
        <v>4.9038466830562122E-3</v>
      </c>
      <c r="E1034" s="21">
        <f>Table1[[#This Row],[Current mortgage rate]]*G1033</f>
        <v>-223234.63728305014</v>
      </c>
      <c r="F1034" s="5">
        <f>Table1[[#This Row],[Payment amount]]-Table1[[#This Row],[Interest paid]]</f>
        <v>227612.6350004636</v>
      </c>
      <c r="G1034" s="20">
        <f>G1033-Table1[[#This Row],[Principal repaid]]-Table1[[#This Row],[Annual paym]]</f>
        <v>-45749965.12908867</v>
      </c>
      <c r="H1034" s="20">
        <f>H1033-(Table1[[#This Row],[Payment amount]]-Table1[[#This Row],[Interest Paid W/O LSP]])</f>
        <v>-30456477.035369366</v>
      </c>
      <c r="I1034">
        <f>H1033*Table1[[#This Row],[Current mortgage rate]]</f>
        <v>-148603.69512048233</v>
      </c>
      <c r="J1034" s="25">
        <f>IF(Table1[[#This Row],[Month]]&gt;Table7[Amortization period (yrs)]*12,0,IF(Table1[[#This Row],[Month]]&lt;Table7[mortgage term (yrs)]*12,0,IF(Table1[[#This Row],[Month]]=Table7[mortgage term (yrs)]*12,-H$5,Table1[[#This Row],[Payment amount]]+B1034)))</f>
        <v>0</v>
      </c>
    </row>
    <row r="1035" spans="1:10" x14ac:dyDescent="0.25">
      <c r="A1035" s="1">
        <v>1023</v>
      </c>
      <c r="B1035" s="1">
        <f t="shared" si="16"/>
        <v>0</v>
      </c>
      <c r="C1035" s="7">
        <f>G$12/-PV(Table7[Monthly mortgage rate], (12*Table7[Amortization period (yrs)]),1 )</f>
        <v>4377.9977174134756</v>
      </c>
      <c r="D1035" s="11">
        <f>IF(Table1[[#This Row],[Month]]&lt;=(12*Table7[mortgage term (yrs)]),Table7[Monthly mortgage rate],Table7[Monthly Exp Renewal Rate])</f>
        <v>4.9038466830562122E-3</v>
      </c>
      <c r="E1035" s="21">
        <f>Table1[[#This Row],[Current mortgage rate]]*G1034</f>
        <v>-224350.81474821884</v>
      </c>
      <c r="F1035" s="5">
        <f>Table1[[#This Row],[Payment amount]]-Table1[[#This Row],[Interest paid]]</f>
        <v>228728.81246563231</v>
      </c>
      <c r="G1035" s="20">
        <f>G1034-Table1[[#This Row],[Principal repaid]]-Table1[[#This Row],[Annual paym]]</f>
        <v>-45978693.9415543</v>
      </c>
      <c r="H1035" s="20">
        <f>H1034-(Table1[[#This Row],[Payment amount]]-Table1[[#This Row],[Interest Paid W/O LSP]])</f>
        <v>-30610208.926974252</v>
      </c>
      <c r="I1035">
        <f>H1034*Table1[[#This Row],[Current mortgage rate]]</f>
        <v>-149353.89388747377</v>
      </c>
      <c r="J1035" s="25">
        <f>IF(Table1[[#This Row],[Month]]&gt;Table7[Amortization period (yrs)]*12,0,IF(Table1[[#This Row],[Month]]&lt;Table7[mortgage term (yrs)]*12,0,IF(Table1[[#This Row],[Month]]=Table7[mortgage term (yrs)]*12,-H$5,Table1[[#This Row],[Payment amount]]+B1035)))</f>
        <v>0</v>
      </c>
    </row>
    <row r="1036" spans="1:10" x14ac:dyDescent="0.25">
      <c r="A1036" s="1">
        <v>1024</v>
      </c>
      <c r="B1036" s="1">
        <f t="shared" si="16"/>
        <v>0</v>
      </c>
      <c r="C1036" s="7">
        <f>G$12/-PV(Table7[Monthly mortgage rate], (12*Table7[Amortization period (yrs)]),1 )</f>
        <v>4377.9977174134756</v>
      </c>
      <c r="D1036" s="11">
        <f>IF(Table1[[#This Row],[Month]]&lt;=(12*Table7[mortgage term (yrs)]),Table7[Monthly mortgage rate],Table7[Monthly Exp Renewal Rate])</f>
        <v>4.9038466830562122E-3</v>
      </c>
      <c r="E1036" s="21">
        <f>Table1[[#This Row],[Current mortgage rate]]*G1035</f>
        <v>-225472.46577654782</v>
      </c>
      <c r="F1036" s="5">
        <f>Table1[[#This Row],[Payment amount]]-Table1[[#This Row],[Interest paid]]</f>
        <v>229850.46349396129</v>
      </c>
      <c r="G1036" s="20">
        <f>G1035-Table1[[#This Row],[Principal repaid]]-Table1[[#This Row],[Annual paym]]</f>
        <v>-46208544.405048259</v>
      </c>
      <c r="H1036" s="20">
        <f>H1035-(Table1[[#This Row],[Payment amount]]-Table1[[#This Row],[Interest Paid W/O LSP]])</f>
        <v>-30764694.696205866</v>
      </c>
      <c r="I1036">
        <f>H1035*Table1[[#This Row],[Current mortgage rate]]</f>
        <v>-150107.77151420034</v>
      </c>
      <c r="J1036" s="25">
        <f>IF(Table1[[#This Row],[Month]]&gt;Table7[Amortization period (yrs)]*12,0,IF(Table1[[#This Row],[Month]]&lt;Table7[mortgage term (yrs)]*12,0,IF(Table1[[#This Row],[Month]]=Table7[mortgage term (yrs)]*12,-H$5,Table1[[#This Row],[Payment amount]]+B1036)))</f>
        <v>0</v>
      </c>
    </row>
    <row r="1037" spans="1:10" x14ac:dyDescent="0.25">
      <c r="A1037" s="1">
        <v>1025</v>
      </c>
      <c r="B1037" s="1">
        <f t="shared" si="16"/>
        <v>0</v>
      </c>
      <c r="C1037" s="7">
        <f>G$12/-PV(Table7[Monthly mortgage rate], (12*Table7[Amortization period (yrs)]),1 )</f>
        <v>4377.9977174134756</v>
      </c>
      <c r="D1037" s="11">
        <f>IF(Table1[[#This Row],[Month]]&lt;=(12*Table7[mortgage term (yrs)]),Table7[Monthly mortgage rate],Table7[Monthly Exp Renewal Rate])</f>
        <v>4.9038466830562122E-3</v>
      </c>
      <c r="E1037" s="21">
        <f>Table1[[#This Row],[Current mortgage rate]]*G1036</f>
        <v>-226599.61720955159</v>
      </c>
      <c r="F1037" s="5">
        <f>Table1[[#This Row],[Payment amount]]-Table1[[#This Row],[Interest paid]]</f>
        <v>230977.61492696506</v>
      </c>
      <c r="G1037" s="20">
        <f>G1036-Table1[[#This Row],[Principal repaid]]-Table1[[#This Row],[Annual paym]]</f>
        <v>-46439522.019975223</v>
      </c>
      <c r="H1037" s="20">
        <f>H1036-(Table1[[#This Row],[Payment amount]]-Table1[[#This Row],[Interest Paid W/O LSP]])</f>
        <v>-30919938.039964505</v>
      </c>
      <c r="I1037">
        <f>H1036*Table1[[#This Row],[Current mortgage rate]]</f>
        <v>-150865.34604122618</v>
      </c>
      <c r="J1037" s="25">
        <f>IF(Table1[[#This Row],[Month]]&gt;Table7[Amortization period (yrs)]*12,0,IF(Table1[[#This Row],[Month]]&lt;Table7[mortgage term (yrs)]*12,0,IF(Table1[[#This Row],[Month]]=Table7[mortgage term (yrs)]*12,-H$5,Table1[[#This Row],[Payment amount]]+B1037)))</f>
        <v>0</v>
      </c>
    </row>
    <row r="1038" spans="1:10" x14ac:dyDescent="0.25">
      <c r="A1038" s="1">
        <v>1026</v>
      </c>
      <c r="B1038" s="1">
        <f t="shared" ref="B1038:B1101" si="17">O1037</f>
        <v>0</v>
      </c>
      <c r="C1038" s="7">
        <f>G$12/-PV(Table7[Monthly mortgage rate], (12*Table7[Amortization period (yrs)]),1 )</f>
        <v>4377.9977174134756</v>
      </c>
      <c r="D1038" s="11">
        <f>IF(Table1[[#This Row],[Month]]&lt;=(12*Table7[mortgage term (yrs)]),Table7[Monthly mortgage rate],Table7[Monthly Exp Renewal Rate])</f>
        <v>4.9038466830562122E-3</v>
      </c>
      <c r="E1038" s="21">
        <f>Table1[[#This Row],[Current mortgage rate]]*G1037</f>
        <v>-227732.29602037143</v>
      </c>
      <c r="F1038" s="5">
        <f>Table1[[#This Row],[Payment amount]]-Table1[[#This Row],[Interest paid]]</f>
        <v>232110.2937377849</v>
      </c>
      <c r="G1038" s="20">
        <f>G1037-Table1[[#This Row],[Principal repaid]]-Table1[[#This Row],[Annual paym]]</f>
        <v>-46671632.313713007</v>
      </c>
      <c r="H1038" s="20">
        <f>H1037-(Table1[[#This Row],[Payment amount]]-Table1[[#This Row],[Interest Paid W/O LSP]])</f>
        <v>-31075942.673279501</v>
      </c>
      <c r="I1038">
        <f>H1037*Table1[[#This Row],[Current mortgage rate]]</f>
        <v>-151626.63559758355</v>
      </c>
      <c r="J1038" s="25">
        <f>IF(Table1[[#This Row],[Month]]&gt;Table7[Amortization period (yrs)]*12,0,IF(Table1[[#This Row],[Month]]&lt;Table7[mortgage term (yrs)]*12,0,IF(Table1[[#This Row],[Month]]=Table7[mortgage term (yrs)]*12,-H$5,Table1[[#This Row],[Payment amount]]+B1038)))</f>
        <v>0</v>
      </c>
    </row>
    <row r="1039" spans="1:10" x14ac:dyDescent="0.25">
      <c r="A1039" s="1">
        <v>1027</v>
      </c>
      <c r="B1039" s="1">
        <f t="shared" si="17"/>
        <v>0</v>
      </c>
      <c r="C1039" s="7">
        <f>G$12/-PV(Table7[Monthly mortgage rate], (12*Table7[Amortization period (yrs)]),1 )</f>
        <v>4377.9977174134756</v>
      </c>
      <c r="D1039" s="11">
        <f>IF(Table1[[#This Row],[Month]]&lt;=(12*Table7[mortgage term (yrs)]),Table7[Monthly mortgage rate],Table7[Monthly Exp Renewal Rate])</f>
        <v>4.9038466830562122E-3</v>
      </c>
      <c r="E1039" s="21">
        <f>Table1[[#This Row],[Current mortgage rate]]*G1038</f>
        <v>-228870.52931442065</v>
      </c>
      <c r="F1039" s="5">
        <f>Table1[[#This Row],[Payment amount]]-Table1[[#This Row],[Interest paid]]</f>
        <v>233248.52703183412</v>
      </c>
      <c r="G1039" s="20">
        <f>G1038-Table1[[#This Row],[Principal repaid]]-Table1[[#This Row],[Annual paym]]</f>
        <v>-46904880.840744838</v>
      </c>
      <c r="H1039" s="20">
        <f>H1038-(Table1[[#This Row],[Payment amount]]-Table1[[#This Row],[Interest Paid W/O LSP]])</f>
        <v>-31232712.329398122</v>
      </c>
      <c r="I1039">
        <f>H1038*Table1[[#This Row],[Current mortgage rate]]</f>
        <v>-152391.65840120669</v>
      </c>
      <c r="J1039" s="25">
        <f>IF(Table1[[#This Row],[Month]]&gt;Table7[Amortization period (yrs)]*12,0,IF(Table1[[#This Row],[Month]]&lt;Table7[mortgage term (yrs)]*12,0,IF(Table1[[#This Row],[Month]]=Table7[mortgage term (yrs)]*12,-H$5,Table1[[#This Row],[Payment amount]]+B1039)))</f>
        <v>0</v>
      </c>
    </row>
    <row r="1040" spans="1:10" x14ac:dyDescent="0.25">
      <c r="A1040" s="1">
        <v>1028</v>
      </c>
      <c r="B1040" s="1">
        <f t="shared" si="17"/>
        <v>0</v>
      </c>
      <c r="C1040" s="7">
        <f>G$12/-PV(Table7[Monthly mortgage rate], (12*Table7[Amortization period (yrs)]),1 )</f>
        <v>4377.9977174134756</v>
      </c>
      <c r="D1040" s="11">
        <f>IF(Table1[[#This Row],[Month]]&lt;=(12*Table7[mortgage term (yrs)]),Table7[Monthly mortgage rate],Table7[Monthly Exp Renewal Rate])</f>
        <v>4.9038466830562122E-3</v>
      </c>
      <c r="E1040" s="21">
        <f>Table1[[#This Row],[Current mortgage rate]]*G1039</f>
        <v>-230014.34433003346</v>
      </c>
      <c r="F1040" s="5">
        <f>Table1[[#This Row],[Payment amount]]-Table1[[#This Row],[Interest paid]]</f>
        <v>234392.34204744693</v>
      </c>
      <c r="G1040" s="20">
        <f>G1039-Table1[[#This Row],[Principal repaid]]-Table1[[#This Row],[Annual paym]]</f>
        <v>-47139273.182792284</v>
      </c>
      <c r="H1040" s="20">
        <f>H1039-(Table1[[#This Row],[Payment amount]]-Table1[[#This Row],[Interest Paid W/O LSP]])</f>
        <v>-31390250.759874903</v>
      </c>
      <c r="I1040">
        <f>H1039*Table1[[#This Row],[Current mortgage rate]]</f>
        <v>-153160.43275936783</v>
      </c>
      <c r="J1040" s="25">
        <f>IF(Table1[[#This Row],[Month]]&gt;Table7[Amortization period (yrs)]*12,0,IF(Table1[[#This Row],[Month]]&lt;Table7[mortgage term (yrs)]*12,0,IF(Table1[[#This Row],[Month]]=Table7[mortgage term (yrs)]*12,-H$5,Table1[[#This Row],[Payment amount]]+B1040)))</f>
        <v>0</v>
      </c>
    </row>
    <row r="1041" spans="1:43" x14ac:dyDescent="0.25">
      <c r="A1041" s="1">
        <v>1029</v>
      </c>
      <c r="B1041" s="1">
        <f t="shared" si="17"/>
        <v>0</v>
      </c>
      <c r="C1041" s="7">
        <f>G$12/-PV(Table7[Monthly mortgage rate], (12*Table7[Amortization period (yrs)]),1 )</f>
        <v>4377.9977174134756</v>
      </c>
      <c r="D1041" s="11">
        <f>IF(Table1[[#This Row],[Month]]&lt;=(12*Table7[mortgage term (yrs)]),Table7[Monthly mortgage rate],Table7[Monthly Exp Renewal Rate])</f>
        <v>4.9038466830562122E-3</v>
      </c>
      <c r="E1041" s="21">
        <f>Table1[[#This Row],[Current mortgage rate]]*G1040</f>
        <v>-231163.7684391166</v>
      </c>
      <c r="F1041" s="5">
        <f>Table1[[#This Row],[Payment amount]]-Table1[[#This Row],[Interest paid]]</f>
        <v>235541.76615653007</v>
      </c>
      <c r="G1041" s="20">
        <f>G1040-Table1[[#This Row],[Principal repaid]]-Table1[[#This Row],[Annual paym]]</f>
        <v>-47374814.948948815</v>
      </c>
      <c r="H1041" s="20">
        <f>H1040-(Table1[[#This Row],[Payment amount]]-Table1[[#This Row],[Interest Paid W/O LSP]])</f>
        <v>-31548561.73466143</v>
      </c>
      <c r="I1041">
        <f>H1040*Table1[[#This Row],[Current mortgage rate]]</f>
        <v>-153932.9770691153</v>
      </c>
      <c r="J1041" s="25">
        <f>IF(Table1[[#This Row],[Month]]&gt;Table7[Amortization period (yrs)]*12,0,IF(Table1[[#This Row],[Month]]&lt;Table7[mortgage term (yrs)]*12,0,IF(Table1[[#This Row],[Month]]=Table7[mortgage term (yrs)]*12,-H$5,Table1[[#This Row],[Payment amount]]+B1041)))</f>
        <v>0</v>
      </c>
    </row>
    <row r="1042" spans="1:43" x14ac:dyDescent="0.25">
      <c r="A1042" s="1">
        <v>1030</v>
      </c>
      <c r="B1042" s="1">
        <f t="shared" si="17"/>
        <v>0</v>
      </c>
      <c r="C1042" s="7">
        <f>G$12/-PV(Table7[Monthly mortgage rate], (12*Table7[Amortization period (yrs)]),1 )</f>
        <v>4377.9977174134756</v>
      </c>
      <c r="D1042" s="11">
        <f>IF(Table1[[#This Row],[Month]]&lt;=(12*Table7[mortgage term (yrs)]),Table7[Monthly mortgage rate],Table7[Monthly Exp Renewal Rate])</f>
        <v>4.9038466830562122E-3</v>
      </c>
      <c r="E1042" s="21">
        <f>Table1[[#This Row],[Current mortgage rate]]*G1041</f>
        <v>-232318.8291478045</v>
      </c>
      <c r="F1042" s="5">
        <f>Table1[[#This Row],[Payment amount]]-Table1[[#This Row],[Interest paid]]</f>
        <v>236696.82686521797</v>
      </c>
      <c r="G1042" s="20">
        <f>G1041-Table1[[#This Row],[Principal repaid]]-Table1[[#This Row],[Annual paym]]</f>
        <v>-47611511.775814034</v>
      </c>
      <c r="H1042" s="20">
        <f>H1041-(Table1[[#This Row],[Payment amount]]-Table1[[#This Row],[Interest Paid W/O LSP]])</f>
        <v>-31707649.042196557</v>
      </c>
      <c r="I1042">
        <f>H1041*Table1[[#This Row],[Current mortgage rate]]</f>
        <v>-154709.3098177136</v>
      </c>
      <c r="J1042" s="25">
        <f>IF(Table1[[#This Row],[Month]]&gt;Table7[Amortization period (yrs)]*12,0,IF(Table1[[#This Row],[Month]]&lt;Table7[mortgage term (yrs)]*12,0,IF(Table1[[#This Row],[Month]]=Table7[mortgage term (yrs)]*12,-H$5,Table1[[#This Row],[Payment amount]]+B1042)))</f>
        <v>0</v>
      </c>
    </row>
    <row r="1043" spans="1:43" x14ac:dyDescent="0.25">
      <c r="A1043" s="1">
        <v>1031</v>
      </c>
      <c r="B1043" s="1">
        <f t="shared" si="17"/>
        <v>0</v>
      </c>
      <c r="C1043" s="7">
        <f>G$12/-PV(Table7[Monthly mortgage rate], (12*Table7[Amortization period (yrs)]),1 )</f>
        <v>4377.9977174134756</v>
      </c>
      <c r="D1043" s="11">
        <f>IF(Table1[[#This Row],[Month]]&lt;=(12*Table7[mortgage term (yrs)]),Table7[Monthly mortgage rate],Table7[Monthly Exp Renewal Rate])</f>
        <v>4.9038466830562122E-3</v>
      </c>
      <c r="E1043" s="21">
        <f>Table1[[#This Row],[Current mortgage rate]]*G1042</f>
        <v>-233479.55409711745</v>
      </c>
      <c r="F1043" s="5">
        <f>Table1[[#This Row],[Payment amount]]-Table1[[#This Row],[Interest paid]]</f>
        <v>237857.55181453092</v>
      </c>
      <c r="G1043" s="20">
        <f>G1042-Table1[[#This Row],[Principal repaid]]-Table1[[#This Row],[Annual paym]]</f>
        <v>-47849369.327628568</v>
      </c>
      <c r="H1043" s="20">
        <f>H1042-(Table1[[#This Row],[Payment amount]]-Table1[[#This Row],[Interest Paid W/O LSP]])</f>
        <v>-31867516.489497058</v>
      </c>
      <c r="I1043">
        <f>H1042*Table1[[#This Row],[Current mortgage rate]]</f>
        <v>-155489.44958308607</v>
      </c>
      <c r="J1043" s="25">
        <f>IF(Table1[[#This Row],[Month]]&gt;Table7[Amortization period (yrs)]*12,0,IF(Table1[[#This Row],[Month]]&lt;Table7[mortgage term (yrs)]*12,0,IF(Table1[[#This Row],[Month]]=Table7[mortgage term (yrs)]*12,-H$5,Table1[[#This Row],[Payment amount]]+B1043)))</f>
        <v>0</v>
      </c>
    </row>
    <row r="1044" spans="1:43" x14ac:dyDescent="0.25">
      <c r="A1044" s="1">
        <v>1032</v>
      </c>
      <c r="B1044" s="1">
        <f t="shared" si="17"/>
        <v>0</v>
      </c>
      <c r="C1044" s="7">
        <f>G$12/-PV(Table7[Monthly mortgage rate], (12*Table7[Amortization period (yrs)]),1 )</f>
        <v>4377.9977174134756</v>
      </c>
      <c r="D1044" s="11">
        <f>IF(Table1[[#This Row],[Month]]&lt;=(12*Table7[mortgage term (yrs)]),Table7[Monthly mortgage rate],Table7[Monthly Exp Renewal Rate])</f>
        <v>4.9038466830562122E-3</v>
      </c>
      <c r="E1044" s="21">
        <f>Table1[[#This Row],[Current mortgage rate]]*G1043</f>
        <v>-234645.971063623</v>
      </c>
      <c r="F1044" s="5">
        <f>Table1[[#This Row],[Payment amount]]-Table1[[#This Row],[Interest paid]]</f>
        <v>239023.96878103647</v>
      </c>
      <c r="G1044" s="20">
        <f>G1043-Table1[[#This Row],[Principal repaid]]-Table1[[#This Row],[Annual paym]]</f>
        <v>-48088393.296409607</v>
      </c>
      <c r="H1044" s="20">
        <f>H1043-(Table1[[#This Row],[Payment amount]]-Table1[[#This Row],[Interest Paid W/O LSP]])</f>
        <v>-32028167.902248729</v>
      </c>
      <c r="I1044">
        <f>H1043*Table1[[#This Row],[Current mortgage rate]]</f>
        <v>-156273.41503425929</v>
      </c>
      <c r="J1044" s="25">
        <f>IF(Table1[[#This Row],[Month]]&gt;Table7[Amortization period (yrs)]*12,0,IF(Table1[[#This Row],[Month]]&lt;Table7[mortgage term (yrs)]*12,0,IF(Table1[[#This Row],[Month]]=Table7[mortgage term (yrs)]*12,-H$5,Table1[[#This Row],[Payment amount]]+B1044)))</f>
        <v>0</v>
      </c>
      <c r="R1044" s="1"/>
      <c r="S1044" s="1"/>
      <c r="T1044" s="7"/>
      <c r="U1044" s="11"/>
      <c r="V1044" s="21"/>
      <c r="W1044" s="5"/>
      <c r="X1044" s="20"/>
      <c r="Y1044" s="2"/>
      <c r="AJ1044" s="1"/>
      <c r="AK1044" s="1"/>
      <c r="AL1044" s="7"/>
      <c r="AM1044" s="11"/>
      <c r="AN1044" s="21"/>
      <c r="AO1044" s="5"/>
      <c r="AP1044" s="20"/>
      <c r="AQ1044" s="2"/>
    </row>
    <row r="1045" spans="1:43" x14ac:dyDescent="0.25">
      <c r="A1045" s="1">
        <v>1033</v>
      </c>
      <c r="B1045" s="1">
        <f t="shared" si="17"/>
        <v>0</v>
      </c>
      <c r="C1045" s="7">
        <f>G$12/-PV(Table7[Monthly mortgage rate], (12*Table7[Amortization period (yrs)]),1 )</f>
        <v>4377.9977174134756</v>
      </c>
      <c r="D1045" s="11">
        <f>IF(Table1[[#This Row],[Month]]&lt;=(12*Table7[mortgage term (yrs)]),Table7[Monthly mortgage rate],Table7[Monthly Exp Renewal Rate])</f>
        <v>4.9038466830562122E-3</v>
      </c>
      <c r="E1045" s="21">
        <f>Table1[[#This Row],[Current mortgage rate]]*G1044</f>
        <v>-235818.10796010084</v>
      </c>
      <c r="F1045" s="5">
        <f>Table1[[#This Row],[Payment amount]]-Table1[[#This Row],[Interest paid]]</f>
        <v>240196.10567751431</v>
      </c>
      <c r="G1045" s="20">
        <f>G1044-Table1[[#This Row],[Principal repaid]]-Table1[[#This Row],[Annual paym]]</f>
        <v>-48328589.402087122</v>
      </c>
      <c r="H1045" s="20">
        <f>H1044-(Table1[[#This Row],[Payment amount]]-Table1[[#This Row],[Interest Paid W/O LSP]])</f>
        <v>-32189607.124897953</v>
      </c>
      <c r="I1045">
        <f>H1044*Table1[[#This Row],[Current mortgage rate]]</f>
        <v>-157061.22493180988</v>
      </c>
      <c r="J1045" s="25">
        <f>IF(Table1[[#This Row],[Month]]&gt;Table7[Amortization period (yrs)]*12,0,IF(Table1[[#This Row],[Month]]&lt;Table7[mortgage term (yrs)]*12,0,IF(Table1[[#This Row],[Month]]=Table7[mortgage term (yrs)]*12,-H$5,Table1[[#This Row],[Payment amount]]+B1045)))</f>
        <v>0</v>
      </c>
      <c r="R1045" s="1"/>
      <c r="S1045" s="1"/>
      <c r="T1045" s="7"/>
      <c r="U1045" s="11"/>
      <c r="V1045" s="21"/>
      <c r="W1045" s="5"/>
      <c r="X1045" s="20"/>
      <c r="Y1045" s="2"/>
      <c r="AJ1045" s="1"/>
      <c r="AK1045" s="1"/>
      <c r="AL1045" s="7"/>
      <c r="AM1045" s="11"/>
      <c r="AN1045" s="21"/>
      <c r="AO1045" s="5"/>
      <c r="AP1045" s="20"/>
      <c r="AQ1045" s="2"/>
    </row>
    <row r="1046" spans="1:43" x14ac:dyDescent="0.25">
      <c r="A1046" s="1">
        <v>1034</v>
      </c>
      <c r="B1046" s="1">
        <f t="shared" si="17"/>
        <v>0</v>
      </c>
      <c r="C1046" s="7">
        <f>G$12/-PV(Table7[Monthly mortgage rate], (12*Table7[Amortization period (yrs)]),1 )</f>
        <v>4377.9977174134756</v>
      </c>
      <c r="D1046" s="11">
        <f>IF(Table1[[#This Row],[Month]]&lt;=(12*Table7[mortgage term (yrs)]),Table7[Monthly mortgage rate],Table7[Monthly Exp Renewal Rate])</f>
        <v>4.9038466830562122E-3</v>
      </c>
      <c r="E1046" s="21">
        <f>Table1[[#This Row],[Current mortgage rate]]*G1045</f>
        <v>-236995.99283621056</v>
      </c>
      <c r="F1046" s="5">
        <f>Table1[[#This Row],[Payment amount]]-Table1[[#This Row],[Interest paid]]</f>
        <v>241373.99055362403</v>
      </c>
      <c r="G1046" s="20">
        <f>G1045-Table1[[#This Row],[Principal repaid]]-Table1[[#This Row],[Annual paym]]</f>
        <v>-48569963.392640747</v>
      </c>
      <c r="H1046" s="20">
        <f>H1045-(Table1[[#This Row],[Payment amount]]-Table1[[#This Row],[Interest Paid W/O LSP]])</f>
        <v>-32351838.020743679</v>
      </c>
      <c r="I1046">
        <f>H1045*Table1[[#This Row],[Current mortgage rate]]</f>
        <v>-157852.89812831345</v>
      </c>
      <c r="J1046" s="25">
        <f>IF(Table1[[#This Row],[Month]]&gt;Table7[Amortization period (yrs)]*12,0,IF(Table1[[#This Row],[Month]]&lt;Table7[mortgage term (yrs)]*12,0,IF(Table1[[#This Row],[Month]]=Table7[mortgage term (yrs)]*12,-H$5,Table1[[#This Row],[Payment amount]]+B1046)))</f>
        <v>0</v>
      </c>
      <c r="R1046" s="1"/>
      <c r="S1046" s="1"/>
      <c r="T1046" s="7"/>
      <c r="U1046" s="11"/>
      <c r="V1046" s="21"/>
      <c r="W1046" s="5"/>
      <c r="X1046" s="20"/>
      <c r="Y1046" s="2"/>
      <c r="AJ1046" s="1"/>
      <c r="AK1046" s="1"/>
      <c r="AL1046" s="7"/>
      <c r="AM1046" s="11"/>
      <c r="AN1046" s="21"/>
      <c r="AO1046" s="5"/>
      <c r="AP1046" s="20"/>
      <c r="AQ1046" s="2"/>
    </row>
    <row r="1047" spans="1:43" x14ac:dyDescent="0.25">
      <c r="A1047" s="1">
        <v>1035</v>
      </c>
      <c r="B1047" s="1">
        <f t="shared" si="17"/>
        <v>0</v>
      </c>
      <c r="C1047" s="7">
        <f>G$12/-PV(Table7[Monthly mortgage rate], (12*Table7[Amortization period (yrs)]),1 )</f>
        <v>4377.9977174134756</v>
      </c>
      <c r="D1047" s="11">
        <f>IF(Table1[[#This Row],[Month]]&lt;=(12*Table7[mortgage term (yrs)]),Table7[Monthly mortgage rate],Table7[Monthly Exp Renewal Rate])</f>
        <v>4.9038466830562122E-3</v>
      </c>
      <c r="E1047" s="21">
        <f>Table1[[#This Row],[Current mortgage rate]]*G1046</f>
        <v>-238179.65387916297</v>
      </c>
      <c r="F1047" s="5">
        <f>Table1[[#This Row],[Payment amount]]-Table1[[#This Row],[Interest paid]]</f>
        <v>242557.65159657644</v>
      </c>
      <c r="G1047" s="20">
        <f>G1046-Table1[[#This Row],[Principal repaid]]-Table1[[#This Row],[Annual paym]]</f>
        <v>-48812521.044237323</v>
      </c>
      <c r="H1047" s="20">
        <f>H1046-(Table1[[#This Row],[Payment amount]]-Table1[[#This Row],[Interest Paid W/O LSP]])</f>
        <v>-32514864.472029887</v>
      </c>
      <c r="I1047">
        <f>H1046*Table1[[#This Row],[Current mortgage rate]]</f>
        <v>-158648.45356879575</v>
      </c>
      <c r="J1047" s="25">
        <f>IF(Table1[[#This Row],[Month]]&gt;Table7[Amortization period (yrs)]*12,0,IF(Table1[[#This Row],[Month]]&lt;Table7[mortgage term (yrs)]*12,0,IF(Table1[[#This Row],[Month]]=Table7[mortgage term (yrs)]*12,-H$5,Table1[[#This Row],[Payment amount]]+B1047)))</f>
        <v>0</v>
      </c>
      <c r="R1047" s="1"/>
      <c r="S1047" s="1"/>
      <c r="T1047" s="7"/>
      <c r="U1047" s="11"/>
      <c r="V1047" s="21"/>
      <c r="W1047" s="5"/>
      <c r="X1047" s="20"/>
      <c r="Y1047" s="2"/>
      <c r="AJ1047" s="1"/>
      <c r="AK1047" s="1"/>
      <c r="AL1047" s="7"/>
      <c r="AM1047" s="11"/>
      <c r="AN1047" s="21"/>
      <c r="AO1047" s="5"/>
      <c r="AP1047" s="20"/>
      <c r="AQ1047" s="2"/>
    </row>
    <row r="1048" spans="1:43" x14ac:dyDescent="0.25">
      <c r="A1048" s="1">
        <v>1036</v>
      </c>
      <c r="B1048" s="1">
        <f t="shared" si="17"/>
        <v>0</v>
      </c>
      <c r="C1048" s="7">
        <f>G$12/-PV(Table7[Monthly mortgage rate], (12*Table7[Amortization period (yrs)]),1 )</f>
        <v>4377.9977174134756</v>
      </c>
      <c r="D1048" s="11">
        <f>IF(Table1[[#This Row],[Month]]&lt;=(12*Table7[mortgage term (yrs)]),Table7[Monthly mortgage rate],Table7[Monthly Exp Renewal Rate])</f>
        <v>4.9038466830562122E-3</v>
      </c>
      <c r="E1048" s="21">
        <f>Table1[[#This Row],[Current mortgage rate]]*G1047</f>
        <v>-239369.11941439475</v>
      </c>
      <c r="F1048" s="5">
        <f>Table1[[#This Row],[Payment amount]]-Table1[[#This Row],[Interest paid]]</f>
        <v>243747.11713180822</v>
      </c>
      <c r="G1048" s="20">
        <f>G1047-Table1[[#This Row],[Principal repaid]]-Table1[[#This Row],[Annual paym]]</f>
        <v>-49056268.16136913</v>
      </c>
      <c r="H1048" s="20">
        <f>H1047-(Table1[[#This Row],[Payment amount]]-Table1[[#This Row],[Interest Paid W/O LSP]])</f>
        <v>-32678690.380038485</v>
      </c>
      <c r="I1048">
        <f>H1047*Table1[[#This Row],[Current mortgage rate]]</f>
        <v>-159447.91029118604</v>
      </c>
      <c r="J1048" s="25">
        <f>IF(Table1[[#This Row],[Month]]&gt;Table7[Amortization period (yrs)]*12,0,IF(Table1[[#This Row],[Month]]&lt;Table7[mortgage term (yrs)]*12,0,IF(Table1[[#This Row],[Month]]=Table7[mortgage term (yrs)]*12,-H$5,Table1[[#This Row],[Payment amount]]+B1048)))</f>
        <v>0</v>
      </c>
      <c r="R1048" s="1"/>
      <c r="S1048" s="1"/>
      <c r="T1048" s="7"/>
      <c r="U1048" s="11"/>
      <c r="V1048" s="21"/>
      <c r="W1048" s="5"/>
      <c r="X1048" s="20"/>
      <c r="Y1048" s="2"/>
      <c r="AJ1048" s="1"/>
      <c r="AK1048" s="1"/>
      <c r="AL1048" s="7"/>
      <c r="AM1048" s="11"/>
      <c r="AN1048" s="21"/>
      <c r="AO1048" s="5"/>
      <c r="AP1048" s="20"/>
      <c r="AQ1048" s="2"/>
    </row>
    <row r="1049" spans="1:43" x14ac:dyDescent="0.25">
      <c r="A1049" s="1">
        <v>1037</v>
      </c>
      <c r="B1049" s="1">
        <f t="shared" si="17"/>
        <v>0</v>
      </c>
      <c r="C1049" s="7">
        <f>G$12/-PV(Table7[Monthly mortgage rate], (12*Table7[Amortization period (yrs)]),1 )</f>
        <v>4377.9977174134756</v>
      </c>
      <c r="D1049" s="11">
        <f>IF(Table1[[#This Row],[Month]]&lt;=(12*Table7[mortgage term (yrs)]),Table7[Monthly mortgage rate],Table7[Monthly Exp Renewal Rate])</f>
        <v>4.9038466830562122E-3</v>
      </c>
      <c r="E1049" s="21">
        <f>Table1[[#This Row],[Current mortgage rate]]*G1048</f>
        <v>-240564.41790624609</v>
      </c>
      <c r="F1049" s="5">
        <f>Table1[[#This Row],[Payment amount]]-Table1[[#This Row],[Interest paid]]</f>
        <v>244942.41562365956</v>
      </c>
      <c r="G1049" s="20">
        <f>G1048-Table1[[#This Row],[Principal repaid]]-Table1[[#This Row],[Annual paym]]</f>
        <v>-49301210.576992787</v>
      </c>
      <c r="H1049" s="20">
        <f>H1048-(Table1[[#This Row],[Payment amount]]-Table1[[#This Row],[Interest Paid W/O LSP]])</f>
        <v>-32843319.665182672</v>
      </c>
      <c r="I1049">
        <f>H1048*Table1[[#This Row],[Current mortgage rate]]</f>
        <v>-160251.28742677267</v>
      </c>
      <c r="J1049" s="25">
        <f>IF(Table1[[#This Row],[Month]]&gt;Table7[Amortization period (yrs)]*12,0,IF(Table1[[#This Row],[Month]]&lt;Table7[mortgage term (yrs)]*12,0,IF(Table1[[#This Row],[Month]]=Table7[mortgage term (yrs)]*12,-H$5,Table1[[#This Row],[Payment amount]]+B1049)))</f>
        <v>0</v>
      </c>
      <c r="R1049" s="1"/>
      <c r="S1049" s="1"/>
      <c r="T1049" s="7"/>
      <c r="U1049" s="11"/>
      <c r="V1049" s="21"/>
      <c r="W1049" s="5"/>
      <c r="X1049" s="20"/>
      <c r="Y1049" s="2"/>
      <c r="AJ1049" s="1"/>
      <c r="AK1049" s="1"/>
      <c r="AL1049" s="7"/>
      <c r="AM1049" s="11"/>
      <c r="AN1049" s="21"/>
      <c r="AO1049" s="5"/>
      <c r="AP1049" s="20"/>
      <c r="AQ1049" s="2"/>
    </row>
    <row r="1050" spans="1:43" x14ac:dyDescent="0.25">
      <c r="A1050" s="1">
        <v>1038</v>
      </c>
      <c r="B1050" s="1">
        <f t="shared" si="17"/>
        <v>0</v>
      </c>
      <c r="C1050" s="7">
        <f>G$12/-PV(Table7[Monthly mortgage rate], (12*Table7[Amortization period (yrs)]),1 )</f>
        <v>4377.9977174134756</v>
      </c>
      <c r="D1050" s="11">
        <f>IF(Table1[[#This Row],[Month]]&lt;=(12*Table7[mortgage term (yrs)]),Table7[Monthly mortgage rate],Table7[Monthly Exp Renewal Rate])</f>
        <v>4.9038466830562122E-3</v>
      </c>
      <c r="E1050" s="21">
        <f>Table1[[#This Row],[Current mortgage rate]]*G1049</f>
        <v>-241765.57795864192</v>
      </c>
      <c r="F1050" s="5">
        <f>Table1[[#This Row],[Payment amount]]-Table1[[#This Row],[Interest paid]]</f>
        <v>246143.57567605539</v>
      </c>
      <c r="G1050" s="20">
        <f>G1049-Table1[[#This Row],[Principal repaid]]-Table1[[#This Row],[Annual paym]]</f>
        <v>-49547354.152668841</v>
      </c>
      <c r="H1050" s="20">
        <f>H1049-(Table1[[#This Row],[Payment amount]]-Table1[[#This Row],[Interest Paid W/O LSP]])</f>
        <v>-33008756.267100748</v>
      </c>
      <c r="I1050">
        <f>H1049*Table1[[#This Row],[Current mortgage rate]]</f>
        <v>-161058.60420066092</v>
      </c>
      <c r="J1050" s="25">
        <f>IF(Table1[[#This Row],[Month]]&gt;Table7[Amortization period (yrs)]*12,0,IF(Table1[[#This Row],[Month]]&lt;Table7[mortgage term (yrs)]*12,0,IF(Table1[[#This Row],[Month]]=Table7[mortgage term (yrs)]*12,-H$5,Table1[[#This Row],[Payment amount]]+B1050)))</f>
        <v>0</v>
      </c>
      <c r="R1050" s="1"/>
      <c r="S1050" s="1"/>
      <c r="T1050" s="7"/>
      <c r="U1050" s="11"/>
      <c r="V1050" s="21"/>
      <c r="W1050" s="5"/>
      <c r="X1050" s="20"/>
      <c r="Y1050" s="2"/>
      <c r="AJ1050" s="1"/>
      <c r="AK1050" s="1"/>
      <c r="AL1050" s="7"/>
      <c r="AM1050" s="11"/>
      <c r="AN1050" s="21"/>
      <c r="AO1050" s="5"/>
      <c r="AP1050" s="20"/>
      <c r="AQ1050" s="2"/>
    </row>
    <row r="1051" spans="1:43" x14ac:dyDescent="0.25">
      <c r="A1051" s="1">
        <v>1039</v>
      </c>
      <c r="B1051" s="1">
        <f t="shared" si="17"/>
        <v>0</v>
      </c>
      <c r="C1051" s="7">
        <f>G$12/-PV(Table7[Monthly mortgage rate], (12*Table7[Amortization period (yrs)]),1 )</f>
        <v>4377.9977174134756</v>
      </c>
      <c r="D1051" s="11">
        <f>IF(Table1[[#This Row],[Month]]&lt;=(12*Table7[mortgage term (yrs)]),Table7[Monthly mortgage rate],Table7[Monthly Exp Renewal Rate])</f>
        <v>4.9038466830562122E-3</v>
      </c>
      <c r="E1051" s="21">
        <f>Table1[[#This Row],[Current mortgage rate]]*G1050</f>
        <v>-242972.62831577653</v>
      </c>
      <c r="F1051" s="5">
        <f>Table1[[#This Row],[Payment amount]]-Table1[[#This Row],[Interest paid]]</f>
        <v>247350.62603319</v>
      </c>
      <c r="G1051" s="20">
        <f>G1050-Table1[[#This Row],[Principal repaid]]-Table1[[#This Row],[Annual paym]]</f>
        <v>-49794704.778702028</v>
      </c>
      <c r="H1051" s="20">
        <f>H1050-(Table1[[#This Row],[Payment amount]]-Table1[[#This Row],[Interest Paid W/O LSP]])</f>
        <v>-33175004.144750394</v>
      </c>
      <c r="I1051">
        <f>H1050*Table1[[#This Row],[Current mortgage rate]]</f>
        <v>-161869.87993223296</v>
      </c>
      <c r="J1051" s="25">
        <f>IF(Table1[[#This Row],[Month]]&gt;Table7[Amortization period (yrs)]*12,0,IF(Table1[[#This Row],[Month]]&lt;Table7[mortgage term (yrs)]*12,0,IF(Table1[[#This Row],[Month]]=Table7[mortgage term (yrs)]*12,-H$5,Table1[[#This Row],[Payment amount]]+B1051)))</f>
        <v>0</v>
      </c>
      <c r="R1051" s="1"/>
      <c r="S1051" s="1"/>
      <c r="T1051" s="7"/>
      <c r="U1051" s="11"/>
      <c r="V1051" s="21"/>
      <c r="W1051" s="5"/>
      <c r="X1051" s="20"/>
      <c r="Y1051" s="2"/>
      <c r="AJ1051" s="1"/>
      <c r="AK1051" s="1"/>
      <c r="AL1051" s="7"/>
      <c r="AM1051" s="11"/>
      <c r="AN1051" s="21"/>
      <c r="AO1051" s="5"/>
      <c r="AP1051" s="20"/>
      <c r="AQ1051" s="2"/>
    </row>
    <row r="1052" spans="1:43" x14ac:dyDescent="0.25">
      <c r="A1052" s="1">
        <v>1040</v>
      </c>
      <c r="B1052" s="1">
        <f t="shared" si="17"/>
        <v>0</v>
      </c>
      <c r="C1052" s="7">
        <f>G$12/-PV(Table7[Monthly mortgage rate], (12*Table7[Amortization period (yrs)]),1 )</f>
        <v>4377.9977174134756</v>
      </c>
      <c r="D1052" s="11">
        <f>IF(Table1[[#This Row],[Month]]&lt;=(12*Table7[mortgage term (yrs)]),Table7[Monthly mortgage rate],Table7[Monthly Exp Renewal Rate])</f>
        <v>4.9038466830562122E-3</v>
      </c>
      <c r="E1052" s="21">
        <f>Table1[[#This Row],[Current mortgage rate]]*G1051</f>
        <v>-244185.59786280125</v>
      </c>
      <c r="F1052" s="5">
        <f>Table1[[#This Row],[Payment amount]]-Table1[[#This Row],[Interest paid]]</f>
        <v>248563.59558021472</v>
      </c>
      <c r="G1052" s="20">
        <f>G1051-Table1[[#This Row],[Principal repaid]]-Table1[[#This Row],[Annual paym]]</f>
        <v>-50043268.374282241</v>
      </c>
      <c r="H1052" s="20">
        <f>H1051-(Table1[[#This Row],[Payment amount]]-Table1[[#This Row],[Interest Paid W/O LSP]])</f>
        <v>-33342067.276503418</v>
      </c>
      <c r="I1052">
        <f>H1051*Table1[[#This Row],[Current mortgage rate]]</f>
        <v>-162685.1340356103</v>
      </c>
      <c r="J1052" s="25">
        <f>IF(Table1[[#This Row],[Month]]&gt;Table7[Amortization period (yrs)]*12,0,IF(Table1[[#This Row],[Month]]&lt;Table7[mortgage term (yrs)]*12,0,IF(Table1[[#This Row],[Month]]=Table7[mortgage term (yrs)]*12,-H$5,Table1[[#This Row],[Payment amount]]+B1052)))</f>
        <v>0</v>
      </c>
      <c r="R1052" s="1"/>
      <c r="S1052" s="1"/>
      <c r="T1052" s="7"/>
      <c r="U1052" s="11"/>
      <c r="V1052" s="21"/>
      <c r="W1052" s="5"/>
      <c r="X1052" s="20"/>
      <c r="Y1052" s="2"/>
      <c r="AJ1052" s="1"/>
      <c r="AK1052" s="1"/>
      <c r="AL1052" s="7"/>
      <c r="AM1052" s="11"/>
      <c r="AN1052" s="21"/>
      <c r="AO1052" s="5"/>
      <c r="AP1052" s="20"/>
      <c r="AQ1052" s="2"/>
    </row>
    <row r="1053" spans="1:43" x14ac:dyDescent="0.25">
      <c r="A1053" s="1">
        <v>1041</v>
      </c>
      <c r="B1053" s="1">
        <f t="shared" si="17"/>
        <v>0</v>
      </c>
      <c r="C1053" s="7">
        <f>G$12/-PV(Table7[Monthly mortgage rate], (12*Table7[Amortization period (yrs)]),1 )</f>
        <v>4377.9977174134756</v>
      </c>
      <c r="D1053" s="11">
        <f>IF(Table1[[#This Row],[Month]]&lt;=(12*Table7[mortgage term (yrs)]),Table7[Monthly mortgage rate],Table7[Monthly Exp Renewal Rate])</f>
        <v>4.9038466830562122E-3</v>
      </c>
      <c r="E1053" s="21">
        <f>Table1[[#This Row],[Current mortgage rate]]*G1052</f>
        <v>-245404.51562651581</v>
      </c>
      <c r="F1053" s="5">
        <f>Table1[[#This Row],[Payment amount]]-Table1[[#This Row],[Interest paid]]</f>
        <v>249782.51334392928</v>
      </c>
      <c r="G1053" s="20">
        <f>G1052-Table1[[#This Row],[Principal repaid]]-Table1[[#This Row],[Annual paym]]</f>
        <v>-50293050.887626171</v>
      </c>
      <c r="H1053" s="20">
        <f>H1052-(Table1[[#This Row],[Payment amount]]-Table1[[#This Row],[Interest Paid W/O LSP]])</f>
        <v>-33509949.660240948</v>
      </c>
      <c r="I1053">
        <f>H1052*Table1[[#This Row],[Current mortgage rate]]</f>
        <v>-163504.38602011837</v>
      </c>
      <c r="J1053" s="25">
        <f>IF(Table1[[#This Row],[Month]]&gt;Table7[Amortization period (yrs)]*12,0,IF(Table1[[#This Row],[Month]]&lt;Table7[mortgage term (yrs)]*12,0,IF(Table1[[#This Row],[Month]]=Table7[mortgage term (yrs)]*12,-H$5,Table1[[#This Row],[Payment amount]]+B1053)))</f>
        <v>0</v>
      </c>
      <c r="R1053" s="1"/>
      <c r="S1053" s="1"/>
      <c r="T1053" s="7"/>
      <c r="U1053" s="11"/>
      <c r="V1053" s="21"/>
      <c r="W1053" s="5"/>
      <c r="X1053" s="20"/>
      <c r="Y1053" s="2"/>
      <c r="AJ1053" s="1"/>
      <c r="AK1053" s="1"/>
      <c r="AL1053" s="7"/>
      <c r="AM1053" s="11"/>
      <c r="AN1053" s="21"/>
      <c r="AO1053" s="5"/>
      <c r="AP1053" s="20"/>
      <c r="AQ1053" s="2"/>
    </row>
    <row r="1054" spans="1:43" x14ac:dyDescent="0.25">
      <c r="A1054" s="1">
        <v>1042</v>
      </c>
      <c r="B1054" s="1">
        <f t="shared" si="17"/>
        <v>0</v>
      </c>
      <c r="C1054" s="7">
        <f>G$12/-PV(Table7[Monthly mortgage rate], (12*Table7[Amortization period (yrs)]),1 )</f>
        <v>4377.9977174134756</v>
      </c>
      <c r="D1054" s="11">
        <f>IF(Table1[[#This Row],[Month]]&lt;=(12*Table7[mortgage term (yrs)]),Table7[Monthly mortgage rate],Table7[Monthly Exp Renewal Rate])</f>
        <v>4.9038466830562122E-3</v>
      </c>
      <c r="E1054" s="21">
        <f>Table1[[#This Row],[Current mortgage rate]]*G1053</f>
        <v>-246629.4107760629</v>
      </c>
      <c r="F1054" s="5">
        <f>Table1[[#This Row],[Payment amount]]-Table1[[#This Row],[Interest paid]]</f>
        <v>251007.40849347637</v>
      </c>
      <c r="G1054" s="20">
        <f>G1053-Table1[[#This Row],[Principal repaid]]-Table1[[#This Row],[Annual paym]]</f>
        <v>-50544058.296119645</v>
      </c>
      <c r="H1054" s="20">
        <f>H1053-(Table1[[#This Row],[Payment amount]]-Table1[[#This Row],[Interest Paid W/O LSP]])</f>
        <v>-33678655.313449115</v>
      </c>
      <c r="I1054">
        <f>H1053*Table1[[#This Row],[Current mortgage rate]]</f>
        <v>-164327.65549075321</v>
      </c>
      <c r="J1054" s="25">
        <f>IF(Table1[[#This Row],[Month]]&gt;Table7[Amortization period (yrs)]*12,0,IF(Table1[[#This Row],[Month]]&lt;Table7[mortgage term (yrs)]*12,0,IF(Table1[[#This Row],[Month]]=Table7[mortgage term (yrs)]*12,-H$5,Table1[[#This Row],[Payment amount]]+B1054)))</f>
        <v>0</v>
      </c>
      <c r="R1054" s="1"/>
      <c r="S1054" s="1"/>
      <c r="T1054" s="7"/>
      <c r="U1054" s="11"/>
      <c r="V1054" s="21"/>
      <c r="W1054" s="5"/>
      <c r="X1054" s="20"/>
      <c r="Y1054" s="2"/>
      <c r="AJ1054" s="1"/>
      <c r="AK1054" s="1"/>
      <c r="AL1054" s="7"/>
      <c r="AM1054" s="11"/>
      <c r="AN1054" s="21"/>
      <c r="AO1054" s="5"/>
      <c r="AP1054" s="20"/>
      <c r="AQ1054" s="2"/>
    </row>
    <row r="1055" spans="1:43" x14ac:dyDescent="0.25">
      <c r="A1055" s="1">
        <v>1043</v>
      </c>
      <c r="B1055" s="1">
        <f t="shared" si="17"/>
        <v>0</v>
      </c>
      <c r="C1055" s="7">
        <f>G$12/-PV(Table7[Monthly mortgage rate], (12*Table7[Amortization period (yrs)]),1 )</f>
        <v>4377.9977174134756</v>
      </c>
      <c r="D1055" s="11">
        <f>IF(Table1[[#This Row],[Month]]&lt;=(12*Table7[mortgage term (yrs)]),Table7[Monthly mortgage rate],Table7[Monthly Exp Renewal Rate])</f>
        <v>4.9038466830562122E-3</v>
      </c>
      <c r="E1055" s="21">
        <f>Table1[[#This Row],[Current mortgage rate]]*G1054</f>
        <v>-247860.31262362615</v>
      </c>
      <c r="F1055" s="5">
        <f>Table1[[#This Row],[Payment amount]]-Table1[[#This Row],[Interest paid]]</f>
        <v>252238.31034103961</v>
      </c>
      <c r="G1055" s="20">
        <f>G1054-Table1[[#This Row],[Principal repaid]]-Table1[[#This Row],[Annual paym]]</f>
        <v>-50796296.606460683</v>
      </c>
      <c r="H1055" s="20">
        <f>H1054-(Table1[[#This Row],[Payment amount]]-Table1[[#This Row],[Interest Paid W/O LSP]])</f>
        <v>-33848188.273315176</v>
      </c>
      <c r="I1055">
        <f>H1054*Table1[[#This Row],[Current mortgage rate]]</f>
        <v>-165154.96214865093</v>
      </c>
      <c r="J1055" s="25">
        <f>IF(Table1[[#This Row],[Month]]&gt;Table7[Amortization period (yrs)]*12,0,IF(Table1[[#This Row],[Month]]&lt;Table7[mortgage term (yrs)]*12,0,IF(Table1[[#This Row],[Month]]=Table7[mortgage term (yrs)]*12,-H$5,Table1[[#This Row],[Payment amount]]+B1055)))</f>
        <v>0</v>
      </c>
      <c r="R1055" s="1"/>
      <c r="S1055" s="1"/>
      <c r="T1055" s="7"/>
      <c r="U1055" s="11"/>
      <c r="V1055" s="21"/>
      <c r="W1055" s="5"/>
      <c r="X1055" s="20"/>
      <c r="Y1055" s="2"/>
      <c r="AJ1055" s="1"/>
      <c r="AK1055" s="1"/>
      <c r="AL1055" s="7"/>
      <c r="AM1055" s="11"/>
      <c r="AN1055" s="21"/>
      <c r="AO1055" s="5"/>
      <c r="AP1055" s="20"/>
      <c r="AQ1055" s="2"/>
    </row>
    <row r="1056" spans="1:43" x14ac:dyDescent="0.25">
      <c r="A1056" s="1">
        <v>1044</v>
      </c>
      <c r="B1056" s="1">
        <f t="shared" si="17"/>
        <v>0</v>
      </c>
      <c r="C1056" s="7">
        <f>G$12/-PV(Table7[Monthly mortgage rate], (12*Table7[Amortization period (yrs)]),1 )</f>
        <v>4377.9977174134756</v>
      </c>
      <c r="D1056" s="11">
        <f>IF(Table1[[#This Row],[Month]]&lt;=(12*Table7[mortgage term (yrs)]),Table7[Monthly mortgage rate],Table7[Monthly Exp Renewal Rate])</f>
        <v>4.9038466830562122E-3</v>
      </c>
      <c r="E1056" s="21">
        <f>Table1[[#This Row],[Current mortgage rate]]*G1055</f>
        <v>-249097.25062513174</v>
      </c>
      <c r="F1056" s="5">
        <f>Table1[[#This Row],[Payment amount]]-Table1[[#This Row],[Interest paid]]</f>
        <v>253475.24834254521</v>
      </c>
      <c r="G1056" s="20">
        <f>G1055-Table1[[#This Row],[Principal repaid]]-Table1[[#This Row],[Annual paym]]</f>
        <v>-51049771.854803227</v>
      </c>
      <c r="H1056" s="20">
        <f>H1055-(Table1[[#This Row],[Payment amount]]-Table1[[#This Row],[Interest Paid W/O LSP]])</f>
        <v>-34018552.596824147</v>
      </c>
      <c r="I1056">
        <f>H1055*Table1[[#This Row],[Current mortgage rate]]</f>
        <v>-165986.3257915588</v>
      </c>
      <c r="J1056" s="25">
        <f>IF(Table1[[#This Row],[Month]]&gt;Table7[Amortization period (yrs)]*12,0,IF(Table1[[#This Row],[Month]]&lt;Table7[mortgage term (yrs)]*12,0,IF(Table1[[#This Row],[Month]]=Table7[mortgage term (yrs)]*12,-H$5,Table1[[#This Row],[Payment amount]]+B1056)))</f>
        <v>0</v>
      </c>
      <c r="R1056" s="1"/>
      <c r="S1056" s="1"/>
      <c r="T1056" s="7"/>
      <c r="U1056" s="11"/>
      <c r="V1056" s="21"/>
      <c r="W1056" s="5"/>
      <c r="X1056" s="20"/>
      <c r="Y1056" s="2"/>
      <c r="AJ1056" s="1"/>
      <c r="AK1056" s="1"/>
      <c r="AL1056" s="7"/>
      <c r="AM1056" s="11"/>
      <c r="AN1056" s="21"/>
      <c r="AO1056" s="5"/>
      <c r="AP1056" s="20"/>
      <c r="AQ1056" s="2"/>
    </row>
    <row r="1057" spans="1:43" x14ac:dyDescent="0.25">
      <c r="A1057" s="1">
        <v>1045</v>
      </c>
      <c r="B1057" s="1">
        <f t="shared" si="17"/>
        <v>0</v>
      </c>
      <c r="C1057" s="7">
        <f>G$12/-PV(Table7[Monthly mortgage rate], (12*Table7[Amortization period (yrs)]),1 )</f>
        <v>4377.9977174134756</v>
      </c>
      <c r="D1057" s="11">
        <f>IF(Table1[[#This Row],[Month]]&lt;=(12*Table7[mortgage term (yrs)]),Table7[Monthly mortgage rate],Table7[Monthly Exp Renewal Rate])</f>
        <v>4.9038466830562122E-3</v>
      </c>
      <c r="E1057" s="21">
        <f>Table1[[#This Row],[Current mortgage rate]]*G1056</f>
        <v>-250340.25438095318</v>
      </c>
      <c r="F1057" s="5">
        <f>Table1[[#This Row],[Payment amount]]-Table1[[#This Row],[Interest paid]]</f>
        <v>254718.25209836665</v>
      </c>
      <c r="G1057" s="20">
        <f>G1056-Table1[[#This Row],[Principal repaid]]-Table1[[#This Row],[Annual paym]]</f>
        <v>-51304490.106901594</v>
      </c>
      <c r="H1057" s="20">
        <f>H1056-(Table1[[#This Row],[Payment amount]]-Table1[[#This Row],[Interest Paid W/O LSP]])</f>
        <v>-34189752.36085587</v>
      </c>
      <c r="I1057">
        <f>H1056*Table1[[#This Row],[Current mortgage rate]]</f>
        <v>-166821.76631430938</v>
      </c>
      <c r="J1057" s="25">
        <f>IF(Table1[[#This Row],[Month]]&gt;Table7[Amortization period (yrs)]*12,0,IF(Table1[[#This Row],[Month]]&lt;Table7[mortgage term (yrs)]*12,0,IF(Table1[[#This Row],[Month]]=Table7[mortgage term (yrs)]*12,-H$5,Table1[[#This Row],[Payment amount]]+B1057)))</f>
        <v>0</v>
      </c>
      <c r="R1057" s="1"/>
      <c r="S1057" s="1"/>
      <c r="T1057" s="7"/>
      <c r="U1057" s="11"/>
      <c r="V1057" s="21"/>
      <c r="W1057" s="5"/>
      <c r="X1057" s="20"/>
      <c r="Y1057" s="2"/>
      <c r="AJ1057" s="1"/>
      <c r="AK1057" s="1"/>
      <c r="AL1057" s="7"/>
      <c r="AM1057" s="11"/>
      <c r="AN1057" s="21"/>
      <c r="AO1057" s="5"/>
      <c r="AP1057" s="20"/>
      <c r="AQ1057" s="2"/>
    </row>
    <row r="1058" spans="1:43" x14ac:dyDescent="0.25">
      <c r="A1058" s="1">
        <v>1046</v>
      </c>
      <c r="B1058" s="1">
        <f t="shared" si="17"/>
        <v>0</v>
      </c>
      <c r="C1058" s="7">
        <f>G$12/-PV(Table7[Monthly mortgage rate], (12*Table7[Amortization period (yrs)]),1 )</f>
        <v>4377.9977174134756</v>
      </c>
      <c r="D1058" s="11">
        <f>IF(Table1[[#This Row],[Month]]&lt;=(12*Table7[mortgage term (yrs)]),Table7[Monthly mortgage rate],Table7[Monthly Exp Renewal Rate])</f>
        <v>4.9038466830562122E-3</v>
      </c>
      <c r="E1058" s="21">
        <f>Table1[[#This Row],[Current mortgage rate]]*G1057</f>
        <v>-251589.35363661963</v>
      </c>
      <c r="F1058" s="5">
        <f>Table1[[#This Row],[Payment amount]]-Table1[[#This Row],[Interest paid]]</f>
        <v>255967.3513540331</v>
      </c>
      <c r="G1058" s="20">
        <f>G1057-Table1[[#This Row],[Principal repaid]]-Table1[[#This Row],[Annual paym]]</f>
        <v>-51560457.458255626</v>
      </c>
      <c r="H1058" s="20">
        <f>H1057-(Table1[[#This Row],[Payment amount]]-Table1[[#This Row],[Interest Paid W/O LSP]])</f>
        <v>-34361791.662282579</v>
      </c>
      <c r="I1058">
        <f>H1057*Table1[[#This Row],[Current mortgage rate]]</f>
        <v>-167661.30370929636</v>
      </c>
      <c r="J1058" s="25">
        <f>IF(Table1[[#This Row],[Month]]&gt;Table7[Amortization period (yrs)]*12,0,IF(Table1[[#This Row],[Month]]&lt;Table7[mortgage term (yrs)]*12,0,IF(Table1[[#This Row],[Month]]=Table7[mortgage term (yrs)]*12,-H$5,Table1[[#This Row],[Payment amount]]+B1058)))</f>
        <v>0</v>
      </c>
      <c r="R1058" s="1"/>
      <c r="S1058" s="1"/>
      <c r="T1058" s="7"/>
      <c r="U1058" s="11"/>
      <c r="V1058" s="21"/>
      <c r="W1058" s="5"/>
      <c r="X1058" s="20"/>
      <c r="Y1058" s="2"/>
      <c r="AJ1058" s="1"/>
      <c r="AK1058" s="1"/>
      <c r="AL1058" s="7"/>
      <c r="AM1058" s="11"/>
      <c r="AN1058" s="21"/>
      <c r="AO1058" s="5"/>
      <c r="AP1058" s="20"/>
      <c r="AQ1058" s="2"/>
    </row>
    <row r="1059" spans="1:43" x14ac:dyDescent="0.25">
      <c r="A1059" s="1">
        <v>1047</v>
      </c>
      <c r="B1059" s="1">
        <f t="shared" si="17"/>
        <v>0</v>
      </c>
      <c r="C1059" s="7">
        <f>G$12/-PV(Table7[Monthly mortgage rate], (12*Table7[Amortization period (yrs)]),1 )</f>
        <v>4377.9977174134756</v>
      </c>
      <c r="D1059" s="11">
        <f>IF(Table1[[#This Row],[Month]]&lt;=(12*Table7[mortgage term (yrs)]),Table7[Monthly mortgage rate],Table7[Monthly Exp Renewal Rate])</f>
        <v>4.9038466830562122E-3</v>
      </c>
      <c r="E1059" s="21">
        <f>Table1[[#This Row],[Current mortgage rate]]*G1058</f>
        <v>-252844.57828352778</v>
      </c>
      <c r="F1059" s="5">
        <f>Table1[[#This Row],[Payment amount]]-Table1[[#This Row],[Interest paid]]</f>
        <v>257222.57600094125</v>
      </c>
      <c r="G1059" s="20">
        <f>G1058-Table1[[#This Row],[Principal repaid]]-Table1[[#This Row],[Annual paym]]</f>
        <v>-51817680.03425657</v>
      </c>
      <c r="H1059" s="20">
        <f>H1058-(Table1[[#This Row],[Payment amount]]-Table1[[#This Row],[Interest Paid W/O LSP]])</f>
        <v>-34534674.618066944</v>
      </c>
      <c r="I1059">
        <f>H1058*Table1[[#This Row],[Current mortgage rate]]</f>
        <v>-168504.95806695303</v>
      </c>
      <c r="J1059" s="25">
        <f>IF(Table1[[#This Row],[Month]]&gt;Table7[Amortization period (yrs)]*12,0,IF(Table1[[#This Row],[Month]]&lt;Table7[mortgage term (yrs)]*12,0,IF(Table1[[#This Row],[Month]]=Table7[mortgage term (yrs)]*12,-H$5,Table1[[#This Row],[Payment amount]]+B1059)))</f>
        <v>0</v>
      </c>
      <c r="R1059" s="1"/>
      <c r="S1059" s="1"/>
      <c r="T1059" s="7"/>
      <c r="U1059" s="11"/>
      <c r="V1059" s="21"/>
      <c r="W1059" s="5"/>
      <c r="X1059" s="20"/>
      <c r="Y1059" s="2"/>
      <c r="AJ1059" s="1"/>
      <c r="AK1059" s="1"/>
      <c r="AL1059" s="7"/>
      <c r="AM1059" s="11"/>
      <c r="AN1059" s="21"/>
      <c r="AO1059" s="5"/>
      <c r="AP1059" s="20"/>
      <c r="AQ1059" s="2"/>
    </row>
    <row r="1060" spans="1:43" x14ac:dyDescent="0.25">
      <c r="A1060" s="1">
        <v>1048</v>
      </c>
      <c r="B1060" s="1">
        <f t="shared" si="17"/>
        <v>0</v>
      </c>
      <c r="C1060" s="7">
        <f>G$12/-PV(Table7[Monthly mortgage rate], (12*Table7[Amortization period (yrs)]),1 )</f>
        <v>4377.9977174134756</v>
      </c>
      <c r="D1060" s="11">
        <f>IF(Table1[[#This Row],[Month]]&lt;=(12*Table7[mortgage term (yrs)]),Table7[Monthly mortgage rate],Table7[Monthly Exp Renewal Rate])</f>
        <v>4.9038466830562122E-3</v>
      </c>
      <c r="E1060" s="21">
        <f>Table1[[#This Row],[Current mortgage rate]]*G1059</f>
        <v>-254105.9583596572</v>
      </c>
      <c r="F1060" s="5">
        <f>Table1[[#This Row],[Payment amount]]-Table1[[#This Row],[Interest paid]]</f>
        <v>258483.95607707067</v>
      </c>
      <c r="G1060" s="20">
        <f>G1059-Table1[[#This Row],[Principal repaid]]-Table1[[#This Row],[Annual paym]]</f>
        <v>-52076163.990333639</v>
      </c>
      <c r="H1060" s="20">
        <f>H1059-(Table1[[#This Row],[Payment amount]]-Table1[[#This Row],[Interest Paid W/O LSP]])</f>
        <v>-34708405.365360588</v>
      </c>
      <c r="I1060">
        <f>H1059*Table1[[#This Row],[Current mortgage rate]]</f>
        <v>-169352.74957623315</v>
      </c>
      <c r="J1060" s="25">
        <f>IF(Table1[[#This Row],[Month]]&gt;Table7[Amortization period (yrs)]*12,0,IF(Table1[[#This Row],[Month]]&lt;Table7[mortgage term (yrs)]*12,0,IF(Table1[[#This Row],[Month]]=Table7[mortgage term (yrs)]*12,-H$5,Table1[[#This Row],[Payment amount]]+B1060)))</f>
        <v>0</v>
      </c>
      <c r="R1060" s="1"/>
      <c r="S1060" s="1"/>
      <c r="T1060" s="7"/>
      <c r="U1060" s="11"/>
      <c r="V1060" s="21"/>
      <c r="W1060" s="5"/>
      <c r="X1060" s="20"/>
      <c r="Y1060" s="2"/>
      <c r="AJ1060" s="1"/>
      <c r="AK1060" s="1"/>
      <c r="AL1060" s="7"/>
      <c r="AM1060" s="11"/>
      <c r="AN1060" s="21"/>
      <c r="AO1060" s="5"/>
      <c r="AP1060" s="20"/>
      <c r="AQ1060" s="2"/>
    </row>
    <row r="1061" spans="1:43" x14ac:dyDescent="0.25">
      <c r="A1061" s="1">
        <v>1049</v>
      </c>
      <c r="B1061" s="1">
        <f t="shared" si="17"/>
        <v>0</v>
      </c>
      <c r="C1061" s="7">
        <f>G$12/-PV(Table7[Monthly mortgage rate], (12*Table7[Amortization period (yrs)]),1 )</f>
        <v>4377.9977174134756</v>
      </c>
      <c r="D1061" s="11">
        <f>IF(Table1[[#This Row],[Month]]&lt;=(12*Table7[mortgage term (yrs)]),Table7[Monthly mortgage rate],Table7[Monthly Exp Renewal Rate])</f>
        <v>4.9038466830562122E-3</v>
      </c>
      <c r="E1061" s="21">
        <f>Table1[[#This Row],[Current mortgage rate]]*G1060</f>
        <v>-255373.52405028898</v>
      </c>
      <c r="F1061" s="5">
        <f>Table1[[#This Row],[Payment amount]]-Table1[[#This Row],[Interest paid]]</f>
        <v>259751.52176770245</v>
      </c>
      <c r="G1061" s="20">
        <f>G1060-Table1[[#This Row],[Principal repaid]]-Table1[[#This Row],[Annual paym]]</f>
        <v>-52335915.512101345</v>
      </c>
      <c r="H1061" s="20">
        <f>H1060-(Table1[[#This Row],[Payment amount]]-Table1[[#This Row],[Interest Paid W/O LSP]])</f>
        <v>-34882988.061603092</v>
      </c>
      <c r="I1061">
        <f>H1060*Table1[[#This Row],[Current mortgage rate]]</f>
        <v>-170204.69852509396</v>
      </c>
      <c r="J1061" s="25">
        <f>IF(Table1[[#This Row],[Month]]&gt;Table7[Amortization period (yrs)]*12,0,IF(Table1[[#This Row],[Month]]&lt;Table7[mortgage term (yrs)]*12,0,IF(Table1[[#This Row],[Month]]=Table7[mortgage term (yrs)]*12,-H$5,Table1[[#This Row],[Payment amount]]+B1061)))</f>
        <v>0</v>
      </c>
      <c r="R1061" s="1"/>
      <c r="S1061" s="1"/>
      <c r="T1061" s="7"/>
      <c r="U1061" s="11"/>
      <c r="V1061" s="21"/>
      <c r="W1061" s="5"/>
      <c r="X1061" s="20"/>
      <c r="Y1061" s="2"/>
      <c r="AJ1061" s="1"/>
      <c r="AK1061" s="1"/>
      <c r="AL1061" s="7"/>
      <c r="AM1061" s="11"/>
      <c r="AN1061" s="21"/>
      <c r="AO1061" s="5"/>
      <c r="AP1061" s="20"/>
      <c r="AQ1061" s="2"/>
    </row>
    <row r="1062" spans="1:43" x14ac:dyDescent="0.25">
      <c r="A1062" s="1">
        <v>1050</v>
      </c>
      <c r="B1062" s="1">
        <f t="shared" si="17"/>
        <v>0</v>
      </c>
      <c r="C1062" s="7">
        <f>G$12/-PV(Table7[Monthly mortgage rate], (12*Table7[Amortization period (yrs)]),1 )</f>
        <v>4377.9977174134756</v>
      </c>
      <c r="D1062" s="11">
        <f>IF(Table1[[#This Row],[Month]]&lt;=(12*Table7[mortgage term (yrs)]),Table7[Monthly mortgage rate],Table7[Monthly Exp Renewal Rate])</f>
        <v>4.9038466830562122E-3</v>
      </c>
      <c r="E1062" s="21">
        <f>Table1[[#This Row],[Current mortgage rate]]*G1061</f>
        <v>-256647.30568872835</v>
      </c>
      <c r="F1062" s="5">
        <f>Table1[[#This Row],[Payment amount]]-Table1[[#This Row],[Interest paid]]</f>
        <v>261025.30340614181</v>
      </c>
      <c r="G1062" s="20">
        <f>G1061-Table1[[#This Row],[Principal repaid]]-Table1[[#This Row],[Annual paym]]</f>
        <v>-52596940.815507486</v>
      </c>
      <c r="H1062" s="20">
        <f>H1061-(Table1[[#This Row],[Payment amount]]-Table1[[#This Row],[Interest Paid W/O LSP]])</f>
        <v>-35058426.884621486</v>
      </c>
      <c r="I1062">
        <f>H1061*Table1[[#This Row],[Current mortgage rate]]</f>
        <v>-171060.82530098176</v>
      </c>
      <c r="J1062" s="25">
        <f>IF(Table1[[#This Row],[Month]]&gt;Table7[Amortization period (yrs)]*12,0,IF(Table1[[#This Row],[Month]]&lt;Table7[mortgage term (yrs)]*12,0,IF(Table1[[#This Row],[Month]]=Table7[mortgage term (yrs)]*12,-H$5,Table1[[#This Row],[Payment amount]]+B1062)))</f>
        <v>0</v>
      </c>
      <c r="R1062" s="1"/>
      <c r="S1062" s="1"/>
      <c r="T1062" s="7"/>
      <c r="U1062" s="11"/>
      <c r="V1062" s="21"/>
      <c r="W1062" s="5"/>
      <c r="X1062" s="20"/>
      <c r="Y1062" s="2"/>
      <c r="AJ1062" s="1"/>
      <c r="AK1062" s="1"/>
      <c r="AL1062" s="7"/>
      <c r="AM1062" s="11"/>
      <c r="AN1062" s="21"/>
      <c r="AO1062" s="5"/>
      <c r="AP1062" s="20"/>
      <c r="AQ1062" s="2"/>
    </row>
    <row r="1063" spans="1:43" x14ac:dyDescent="0.25">
      <c r="A1063" s="1">
        <v>1051</v>
      </c>
      <c r="B1063" s="1">
        <f t="shared" si="17"/>
        <v>0</v>
      </c>
      <c r="C1063" s="7">
        <f>G$12/-PV(Table7[Monthly mortgage rate], (12*Table7[Amortization period (yrs)]),1 )</f>
        <v>4377.9977174134756</v>
      </c>
      <c r="D1063" s="11">
        <f>IF(Table1[[#This Row],[Month]]&lt;=(12*Table7[mortgage term (yrs)]),Table7[Monthly mortgage rate],Table7[Monthly Exp Renewal Rate])</f>
        <v>4.9038466830562122E-3</v>
      </c>
      <c r="E1063" s="21">
        <f>Table1[[#This Row],[Current mortgage rate]]*G1062</f>
        <v>-257927.33375703028</v>
      </c>
      <c r="F1063" s="5">
        <f>Table1[[#This Row],[Payment amount]]-Table1[[#This Row],[Interest paid]]</f>
        <v>262305.33147444378</v>
      </c>
      <c r="G1063" s="20">
        <f>G1062-Table1[[#This Row],[Principal repaid]]-Table1[[#This Row],[Annual paym]]</f>
        <v>-52859246.146981932</v>
      </c>
      <c r="H1063" s="20">
        <f>H1062-(Table1[[#This Row],[Payment amount]]-Table1[[#This Row],[Interest Paid W/O LSP]])</f>
        <v>-35234726.032730222</v>
      </c>
      <c r="I1063">
        <f>H1062*Table1[[#This Row],[Current mortgage rate]]</f>
        <v>-171921.1503913198</v>
      </c>
      <c r="J1063" s="25">
        <f>IF(Table1[[#This Row],[Month]]&gt;Table7[Amortization period (yrs)]*12,0,IF(Table1[[#This Row],[Month]]&lt;Table7[mortgage term (yrs)]*12,0,IF(Table1[[#This Row],[Month]]=Table7[mortgage term (yrs)]*12,-H$5,Table1[[#This Row],[Payment amount]]+B1063)))</f>
        <v>0</v>
      </c>
      <c r="R1063" s="1"/>
      <c r="S1063" s="1"/>
      <c r="T1063" s="7"/>
      <c r="U1063" s="11"/>
      <c r="V1063" s="21"/>
      <c r="W1063" s="5"/>
      <c r="X1063" s="20"/>
      <c r="Y1063" s="2"/>
      <c r="AJ1063" s="1"/>
      <c r="AK1063" s="1"/>
      <c r="AL1063" s="7"/>
      <c r="AM1063" s="11"/>
      <c r="AN1063" s="21"/>
      <c r="AO1063" s="5"/>
      <c r="AP1063" s="20"/>
      <c r="AQ1063" s="2"/>
    </row>
    <row r="1064" spans="1:43" x14ac:dyDescent="0.25">
      <c r="A1064" s="1">
        <v>1052</v>
      </c>
      <c r="B1064" s="1">
        <f t="shared" si="17"/>
        <v>0</v>
      </c>
      <c r="C1064" s="7">
        <f>G$12/-PV(Table7[Monthly mortgage rate], (12*Table7[Amortization period (yrs)]),1 )</f>
        <v>4377.9977174134756</v>
      </c>
      <c r="D1064" s="11">
        <f>IF(Table1[[#This Row],[Month]]&lt;=(12*Table7[mortgage term (yrs)]),Table7[Monthly mortgage rate],Table7[Monthly Exp Renewal Rate])</f>
        <v>4.9038466830562122E-3</v>
      </c>
      <c r="E1064" s="21">
        <f>Table1[[#This Row],[Current mortgage rate]]*G1063</f>
        <v>-259213.63888672923</v>
      </c>
      <c r="F1064" s="5">
        <f>Table1[[#This Row],[Payment amount]]-Table1[[#This Row],[Interest paid]]</f>
        <v>263591.63660414272</v>
      </c>
      <c r="G1064" s="20">
        <f>G1063-Table1[[#This Row],[Principal repaid]]-Table1[[#This Row],[Annual paym]]</f>
        <v>-53122837.783586077</v>
      </c>
      <c r="H1064" s="20">
        <f>H1063-(Table1[[#This Row],[Payment amount]]-Table1[[#This Row],[Interest Paid W/O LSP]])</f>
        <v>-35411889.724831633</v>
      </c>
      <c r="I1064">
        <f>H1063*Table1[[#This Row],[Current mortgage rate]]</f>
        <v>-172785.69438399846</v>
      </c>
      <c r="J1064" s="25">
        <f>IF(Table1[[#This Row],[Month]]&gt;Table7[Amortization period (yrs)]*12,0,IF(Table1[[#This Row],[Month]]&lt;Table7[mortgage term (yrs)]*12,0,IF(Table1[[#This Row],[Month]]=Table7[mortgage term (yrs)]*12,-H$5,Table1[[#This Row],[Payment amount]]+B1064)))</f>
        <v>0</v>
      </c>
      <c r="R1064" s="1"/>
      <c r="S1064" s="1"/>
      <c r="T1064" s="7"/>
      <c r="U1064" s="11"/>
      <c r="V1064" s="21"/>
      <c r="W1064" s="5"/>
      <c r="X1064" s="20"/>
      <c r="Y1064" s="2"/>
      <c r="AJ1064" s="1"/>
      <c r="AK1064" s="1"/>
      <c r="AL1064" s="7"/>
      <c r="AM1064" s="11"/>
      <c r="AN1064" s="21"/>
      <c r="AO1064" s="5"/>
      <c r="AP1064" s="20"/>
      <c r="AQ1064" s="2"/>
    </row>
    <row r="1065" spans="1:43" x14ac:dyDescent="0.25">
      <c r="A1065" s="1">
        <v>1053</v>
      </c>
      <c r="B1065" s="1">
        <f t="shared" si="17"/>
        <v>0</v>
      </c>
      <c r="C1065" s="7">
        <f>G$12/-PV(Table7[Monthly mortgage rate], (12*Table7[Amortization period (yrs)]),1 )</f>
        <v>4377.9977174134756</v>
      </c>
      <c r="D1065" s="11">
        <f>IF(Table1[[#This Row],[Month]]&lt;=(12*Table7[mortgage term (yrs)]),Table7[Monthly mortgage rate],Table7[Monthly Exp Renewal Rate])</f>
        <v>4.9038466830562122E-3</v>
      </c>
      <c r="E1065" s="21">
        <f>Table1[[#This Row],[Current mortgage rate]]*G1064</f>
        <v>-260506.25185957181</v>
      </c>
      <c r="F1065" s="5">
        <f>Table1[[#This Row],[Payment amount]]-Table1[[#This Row],[Interest paid]]</f>
        <v>264884.24957698531</v>
      </c>
      <c r="G1065" s="20">
        <f>G1064-Table1[[#This Row],[Principal repaid]]-Table1[[#This Row],[Annual paym]]</f>
        <v>-53387722.033163063</v>
      </c>
      <c r="H1065" s="20">
        <f>H1064-(Table1[[#This Row],[Payment amount]]-Table1[[#This Row],[Interest Paid W/O LSP]])</f>
        <v>-35589922.200516917</v>
      </c>
      <c r="I1065">
        <f>H1064*Table1[[#This Row],[Current mortgage rate]]</f>
        <v>-173654.47796786798</v>
      </c>
      <c r="J1065" s="25">
        <f>IF(Table1[[#This Row],[Month]]&gt;Table7[Amortization period (yrs)]*12,0,IF(Table1[[#This Row],[Month]]&lt;Table7[mortgage term (yrs)]*12,0,IF(Table1[[#This Row],[Month]]=Table7[mortgage term (yrs)]*12,-H$5,Table1[[#This Row],[Payment amount]]+B1065)))</f>
        <v>0</v>
      </c>
      <c r="R1065" s="1"/>
      <c r="S1065" s="1"/>
      <c r="T1065" s="7"/>
      <c r="U1065" s="11"/>
      <c r="V1065" s="21"/>
      <c r="W1065" s="5"/>
      <c r="X1065" s="20"/>
      <c r="Y1065" s="2"/>
      <c r="AJ1065" s="1"/>
      <c r="AK1065" s="1"/>
      <c r="AL1065" s="7"/>
      <c r="AM1065" s="11"/>
      <c r="AN1065" s="21"/>
      <c r="AO1065" s="5"/>
      <c r="AP1065" s="20"/>
      <c r="AQ1065" s="2"/>
    </row>
    <row r="1066" spans="1:43" x14ac:dyDescent="0.25">
      <c r="A1066" s="1">
        <v>1054</v>
      </c>
      <c r="B1066" s="1">
        <f t="shared" si="17"/>
        <v>0</v>
      </c>
      <c r="C1066" s="7">
        <f>G$12/-PV(Table7[Monthly mortgage rate], (12*Table7[Amortization period (yrs)]),1 )</f>
        <v>4377.9977174134756</v>
      </c>
      <c r="D1066" s="11">
        <f>IF(Table1[[#This Row],[Month]]&lt;=(12*Table7[mortgage term (yrs)]),Table7[Monthly mortgage rate],Table7[Monthly Exp Renewal Rate])</f>
        <v>4.9038466830562122E-3</v>
      </c>
      <c r="E1066" s="21">
        <f>Table1[[#This Row],[Current mortgage rate]]*G1065</f>
        <v>-261805.20360825374</v>
      </c>
      <c r="F1066" s="5">
        <f>Table1[[#This Row],[Payment amount]]-Table1[[#This Row],[Interest paid]]</f>
        <v>266183.20132566721</v>
      </c>
      <c r="G1066" s="20">
        <f>G1065-Table1[[#This Row],[Principal repaid]]-Table1[[#This Row],[Annual paym]]</f>
        <v>-53653905.234488733</v>
      </c>
      <c r="H1066" s="20">
        <f>H1065-(Table1[[#This Row],[Payment amount]]-Table1[[#This Row],[Interest Paid W/O LSP]])</f>
        <v>-35768827.720167562</v>
      </c>
      <c r="I1066">
        <f>H1065*Table1[[#This Row],[Current mortgage rate]]</f>
        <v>-174527.52193323354</v>
      </c>
      <c r="J1066" s="25">
        <f>IF(Table1[[#This Row],[Month]]&gt;Table7[Amortization period (yrs)]*12,0,IF(Table1[[#This Row],[Month]]&lt;Table7[mortgage term (yrs)]*12,0,IF(Table1[[#This Row],[Month]]=Table7[mortgage term (yrs)]*12,-H$5,Table1[[#This Row],[Payment amount]]+B1066)))</f>
        <v>0</v>
      </c>
      <c r="R1066" s="1"/>
      <c r="S1066" s="1"/>
      <c r="T1066" s="7"/>
      <c r="U1066" s="11"/>
      <c r="V1066" s="21"/>
      <c r="W1066" s="5"/>
      <c r="X1066" s="20"/>
      <c r="Y1066" s="2"/>
      <c r="AJ1066" s="1"/>
      <c r="AK1066" s="1"/>
      <c r="AL1066" s="7"/>
      <c r="AM1066" s="11"/>
      <c r="AN1066" s="21"/>
      <c r="AO1066" s="5"/>
      <c r="AP1066" s="20"/>
      <c r="AQ1066" s="2"/>
    </row>
    <row r="1067" spans="1:43" x14ac:dyDescent="0.25">
      <c r="A1067" s="1">
        <v>1055</v>
      </c>
      <c r="B1067" s="1">
        <f t="shared" si="17"/>
        <v>0</v>
      </c>
      <c r="C1067" s="7">
        <f>G$12/-PV(Table7[Monthly mortgage rate], (12*Table7[Amortization period (yrs)]),1 )</f>
        <v>4377.9977174134756</v>
      </c>
      <c r="D1067" s="11">
        <f>IF(Table1[[#This Row],[Month]]&lt;=(12*Table7[mortgage term (yrs)]),Table7[Monthly mortgage rate],Table7[Monthly Exp Renewal Rate])</f>
        <v>4.9038466830562122E-3</v>
      </c>
      <c r="E1067" s="21">
        <f>Table1[[#This Row],[Current mortgage rate]]*G1066</f>
        <v>-263110.52521715994</v>
      </c>
      <c r="F1067" s="5">
        <f>Table1[[#This Row],[Payment amount]]-Table1[[#This Row],[Interest paid]]</f>
        <v>267488.52293457341</v>
      </c>
      <c r="G1067" s="20">
        <f>G1066-Table1[[#This Row],[Principal repaid]]-Table1[[#This Row],[Annual paym]]</f>
        <v>-53921393.757423304</v>
      </c>
      <c r="H1067" s="20">
        <f>H1066-(Table1[[#This Row],[Payment amount]]-Table1[[#This Row],[Interest Paid W/O LSP]])</f>
        <v>-35948610.56505733</v>
      </c>
      <c r="I1067">
        <f>H1066*Table1[[#This Row],[Current mortgage rate]]</f>
        <v>-175404.84717235281</v>
      </c>
      <c r="J1067" s="25">
        <f>IF(Table1[[#This Row],[Month]]&gt;Table7[Amortization period (yrs)]*12,0,IF(Table1[[#This Row],[Month]]&lt;Table7[mortgage term (yrs)]*12,0,IF(Table1[[#This Row],[Month]]=Table7[mortgage term (yrs)]*12,-H$5,Table1[[#This Row],[Payment amount]]+B1067)))</f>
        <v>0</v>
      </c>
      <c r="R1067" s="1"/>
      <c r="S1067" s="1"/>
      <c r="T1067" s="7"/>
      <c r="U1067" s="11"/>
      <c r="V1067" s="21"/>
      <c r="W1067" s="5"/>
      <c r="X1067" s="20"/>
      <c r="Y1067" s="2"/>
      <c r="AJ1067" s="1"/>
      <c r="AK1067" s="1"/>
      <c r="AL1067" s="7"/>
      <c r="AM1067" s="11"/>
      <c r="AN1067" s="21"/>
      <c r="AO1067" s="5"/>
      <c r="AP1067" s="20"/>
      <c r="AQ1067" s="2"/>
    </row>
    <row r="1068" spans="1:43" x14ac:dyDescent="0.25">
      <c r="A1068" s="1">
        <v>1056</v>
      </c>
      <c r="B1068" s="1">
        <f t="shared" si="17"/>
        <v>0</v>
      </c>
      <c r="C1068" s="7">
        <f>G$12/-PV(Table7[Monthly mortgage rate], (12*Table7[Amortization period (yrs)]),1 )</f>
        <v>4377.9977174134756</v>
      </c>
      <c r="D1068" s="11">
        <f>IF(Table1[[#This Row],[Month]]&lt;=(12*Table7[mortgage term (yrs)]),Table7[Monthly mortgage rate],Table7[Monthly Exp Renewal Rate])</f>
        <v>4.9038466830562122E-3</v>
      </c>
      <c r="E1068" s="21">
        <f>Table1[[#This Row],[Current mortgage rate]]*G1067</f>
        <v>-264422.24792310823</v>
      </c>
      <c r="F1068" s="5">
        <f>Table1[[#This Row],[Payment amount]]-Table1[[#This Row],[Interest paid]]</f>
        <v>268800.24564052169</v>
      </c>
      <c r="G1068" s="20">
        <f>G1067-Table1[[#This Row],[Principal repaid]]-Table1[[#This Row],[Annual paym]]</f>
        <v>-54190194.003063828</v>
      </c>
      <c r="H1068" s="20">
        <f>H1067-(Table1[[#This Row],[Payment amount]]-Table1[[#This Row],[Interest Paid W/O LSP]])</f>
        <v>-36129275.03745468</v>
      </c>
      <c r="I1068">
        <f>H1067*Table1[[#This Row],[Current mortgage rate]]</f>
        <v>-176286.4746799359</v>
      </c>
      <c r="J1068" s="25">
        <f>IF(Table1[[#This Row],[Month]]&gt;Table7[Amortization period (yrs)]*12,0,IF(Table1[[#This Row],[Month]]&lt;Table7[mortgage term (yrs)]*12,0,IF(Table1[[#This Row],[Month]]=Table7[mortgage term (yrs)]*12,-H$5,Table1[[#This Row],[Payment amount]]+B1068)))</f>
        <v>0</v>
      </c>
      <c r="R1068" s="1"/>
      <c r="S1068" s="1"/>
      <c r="T1068" s="7"/>
      <c r="U1068" s="11"/>
      <c r="V1068" s="21"/>
      <c r="W1068" s="5"/>
      <c r="X1068" s="20"/>
      <c r="Y1068" s="2"/>
      <c r="AJ1068" s="1"/>
      <c r="AK1068" s="1"/>
      <c r="AL1068" s="7"/>
      <c r="AM1068" s="11"/>
      <c r="AN1068" s="21"/>
      <c r="AO1068" s="5"/>
      <c r="AP1068" s="20"/>
      <c r="AQ1068" s="2"/>
    </row>
    <row r="1069" spans="1:43" x14ac:dyDescent="0.25">
      <c r="A1069" s="1">
        <v>1057</v>
      </c>
      <c r="B1069" s="1">
        <f t="shared" si="17"/>
        <v>0</v>
      </c>
      <c r="C1069" s="7">
        <f>G$12/-PV(Table7[Monthly mortgage rate], (12*Table7[Amortization period (yrs)]),1 )</f>
        <v>4377.9977174134756</v>
      </c>
      <c r="D1069" s="11">
        <f>IF(Table1[[#This Row],[Month]]&lt;=(12*Table7[mortgage term (yrs)]),Table7[Monthly mortgage rate],Table7[Monthly Exp Renewal Rate])</f>
        <v>4.9038466830562122E-3</v>
      </c>
      <c r="E1069" s="21">
        <f>Table1[[#This Row],[Current mortgage rate]]*G1068</f>
        <v>-265740.40311609721</v>
      </c>
      <c r="F1069" s="5">
        <f>Table1[[#This Row],[Payment amount]]-Table1[[#This Row],[Interest paid]]</f>
        <v>270118.40083351068</v>
      </c>
      <c r="G1069" s="20">
        <f>G1068-Table1[[#This Row],[Principal repaid]]-Table1[[#This Row],[Annual paym]]</f>
        <v>-54460312.403897338</v>
      </c>
      <c r="H1069" s="20">
        <f>H1068-(Table1[[#This Row],[Payment amount]]-Table1[[#This Row],[Interest Paid W/O LSP]])</f>
        <v>-36310825.46072574</v>
      </c>
      <c r="I1069">
        <f>H1068*Table1[[#This Row],[Current mortgage rate]]</f>
        <v>-177172.42555364774</v>
      </c>
      <c r="J1069" s="25">
        <f>IF(Table1[[#This Row],[Month]]&gt;Table7[Amortization period (yrs)]*12,0,IF(Table1[[#This Row],[Month]]&lt;Table7[mortgage term (yrs)]*12,0,IF(Table1[[#This Row],[Month]]=Table7[mortgage term (yrs)]*12,-H$5,Table1[[#This Row],[Payment amount]]+B1069)))</f>
        <v>0</v>
      </c>
      <c r="R1069" s="1"/>
      <c r="S1069" s="1"/>
      <c r="T1069" s="7"/>
      <c r="U1069" s="11"/>
      <c r="V1069" s="21"/>
      <c r="W1069" s="5"/>
      <c r="X1069" s="20"/>
      <c r="Y1069" s="2"/>
      <c r="AJ1069" s="1"/>
      <c r="AK1069" s="1"/>
      <c r="AL1069" s="7"/>
      <c r="AM1069" s="11"/>
      <c r="AN1069" s="21"/>
      <c r="AO1069" s="5"/>
      <c r="AP1069" s="20"/>
      <c r="AQ1069" s="2"/>
    </row>
    <row r="1070" spans="1:43" x14ac:dyDescent="0.25">
      <c r="A1070" s="1">
        <v>1058</v>
      </c>
      <c r="B1070" s="1">
        <f t="shared" si="17"/>
        <v>0</v>
      </c>
      <c r="C1070" s="7">
        <f>G$12/-PV(Table7[Monthly mortgage rate], (12*Table7[Amortization period (yrs)]),1 )</f>
        <v>4377.9977174134756</v>
      </c>
      <c r="D1070" s="11">
        <f>IF(Table1[[#This Row],[Month]]&lt;=(12*Table7[mortgage term (yrs)]),Table7[Monthly mortgage rate],Table7[Monthly Exp Renewal Rate])</f>
        <v>4.9038466830562122E-3</v>
      </c>
      <c r="E1070" s="21">
        <f>Table1[[#This Row],[Current mortgage rate]]*G1069</f>
        <v>-267065.02234005707</v>
      </c>
      <c r="F1070" s="5">
        <f>Table1[[#This Row],[Payment amount]]-Table1[[#This Row],[Interest paid]]</f>
        <v>271443.02005747054</v>
      </c>
      <c r="G1070" s="20">
        <f>G1069-Table1[[#This Row],[Principal repaid]]-Table1[[#This Row],[Annual paym]]</f>
        <v>-54731755.423954807</v>
      </c>
      <c r="H1070" s="20">
        <f>H1069-(Table1[[#This Row],[Payment amount]]-Table1[[#This Row],[Interest Paid W/O LSP]])</f>
        <v>-36493266.179437764</v>
      </c>
      <c r="I1070">
        <f>H1069*Table1[[#This Row],[Current mortgage rate]]</f>
        <v>-178062.72099461299</v>
      </c>
      <c r="J1070" s="25">
        <f>IF(Table1[[#This Row],[Month]]&gt;Table7[Amortization period (yrs)]*12,0,IF(Table1[[#This Row],[Month]]&lt;Table7[mortgage term (yrs)]*12,0,IF(Table1[[#This Row],[Month]]=Table7[mortgage term (yrs)]*12,-H$5,Table1[[#This Row],[Payment amount]]+B1070)))</f>
        <v>0</v>
      </c>
      <c r="R1070" s="1"/>
      <c r="S1070" s="1"/>
      <c r="T1070" s="7"/>
      <c r="U1070" s="11"/>
      <c r="V1070" s="21"/>
      <c r="W1070" s="5"/>
      <c r="X1070" s="20"/>
      <c r="Y1070" s="2"/>
      <c r="AJ1070" s="1"/>
      <c r="AK1070" s="1"/>
      <c r="AL1070" s="7"/>
      <c r="AM1070" s="11"/>
      <c r="AN1070" s="21"/>
      <c r="AO1070" s="5"/>
      <c r="AP1070" s="20"/>
      <c r="AQ1070" s="2"/>
    </row>
    <row r="1071" spans="1:43" x14ac:dyDescent="0.25">
      <c r="A1071" s="1">
        <v>1059</v>
      </c>
      <c r="B1071" s="1">
        <f t="shared" si="17"/>
        <v>0</v>
      </c>
      <c r="C1071" s="7">
        <f>G$12/-PV(Table7[Monthly mortgage rate], (12*Table7[Amortization period (yrs)]),1 )</f>
        <v>4377.9977174134756</v>
      </c>
      <c r="D1071" s="11">
        <f>IF(Table1[[#This Row],[Month]]&lt;=(12*Table7[mortgage term (yrs)]),Table7[Monthly mortgage rate],Table7[Monthly Exp Renewal Rate])</f>
        <v>4.9038466830562122E-3</v>
      </c>
      <c r="E1071" s="21">
        <f>Table1[[#This Row],[Current mortgage rate]]*G1070</f>
        <v>-268396.13729360461</v>
      </c>
      <c r="F1071" s="5">
        <f>Table1[[#This Row],[Payment amount]]-Table1[[#This Row],[Interest paid]]</f>
        <v>272774.13501101808</v>
      </c>
      <c r="G1071" s="20">
        <f>G1070-Table1[[#This Row],[Principal repaid]]-Table1[[#This Row],[Annual paym]]</f>
        <v>-55004529.558965825</v>
      </c>
      <c r="H1071" s="20">
        <f>H1070-(Table1[[#This Row],[Payment amount]]-Table1[[#This Row],[Interest Paid W/O LSP]])</f>
        <v>-36676601.559463099</v>
      </c>
      <c r="I1071">
        <f>H1070*Table1[[#This Row],[Current mortgage rate]]</f>
        <v>-178957.38230792334</v>
      </c>
      <c r="J1071" s="25">
        <f>IF(Table1[[#This Row],[Month]]&gt;Table7[Amortization period (yrs)]*12,0,IF(Table1[[#This Row],[Month]]&lt;Table7[mortgage term (yrs)]*12,0,IF(Table1[[#This Row],[Month]]=Table7[mortgage term (yrs)]*12,-H$5,Table1[[#This Row],[Payment amount]]+B1071)))</f>
        <v>0</v>
      </c>
      <c r="R1071" s="1"/>
      <c r="S1071" s="1"/>
      <c r="T1071" s="7"/>
      <c r="U1071" s="11"/>
      <c r="V1071" s="21"/>
      <c r="W1071" s="5"/>
      <c r="X1071" s="20"/>
      <c r="Y1071" s="2"/>
      <c r="AJ1071" s="1"/>
      <c r="AK1071" s="1"/>
      <c r="AL1071" s="7"/>
      <c r="AM1071" s="11"/>
      <c r="AN1071" s="21"/>
      <c r="AO1071" s="5"/>
      <c r="AP1071" s="20"/>
      <c r="AQ1071" s="2"/>
    </row>
    <row r="1072" spans="1:43" x14ac:dyDescent="0.25">
      <c r="A1072" s="1">
        <v>1060</v>
      </c>
      <c r="B1072" s="1">
        <f t="shared" si="17"/>
        <v>0</v>
      </c>
      <c r="C1072" s="7">
        <f>G$12/-PV(Table7[Monthly mortgage rate], (12*Table7[Amortization period (yrs)]),1 )</f>
        <v>4377.9977174134756</v>
      </c>
      <c r="D1072" s="11">
        <f>IF(Table1[[#This Row],[Month]]&lt;=(12*Table7[mortgage term (yrs)]),Table7[Monthly mortgage rate],Table7[Monthly Exp Renewal Rate])</f>
        <v>4.9038466830562122E-3</v>
      </c>
      <c r="E1072" s="21">
        <f>Table1[[#This Row],[Current mortgage rate]]*G1071</f>
        <v>-269733.77983080194</v>
      </c>
      <c r="F1072" s="5">
        <f>Table1[[#This Row],[Payment amount]]-Table1[[#This Row],[Interest paid]]</f>
        <v>274111.77754821541</v>
      </c>
      <c r="G1072" s="20">
        <f>G1071-Table1[[#This Row],[Principal repaid]]-Table1[[#This Row],[Annual paym]]</f>
        <v>-55278641.336514041</v>
      </c>
      <c r="H1072" s="20">
        <f>H1071-(Table1[[#This Row],[Payment amount]]-Table1[[#This Row],[Interest Paid W/O LSP]])</f>
        <v>-36860835.988083661</v>
      </c>
      <c r="I1072">
        <f>H1071*Table1[[#This Row],[Current mortgage rate]]</f>
        <v>-179856.43090314741</v>
      </c>
      <c r="J1072" s="25">
        <f>IF(Table1[[#This Row],[Month]]&gt;Table7[Amortization period (yrs)]*12,0,IF(Table1[[#This Row],[Month]]&lt;Table7[mortgage term (yrs)]*12,0,IF(Table1[[#This Row],[Month]]=Table7[mortgage term (yrs)]*12,-H$5,Table1[[#This Row],[Payment amount]]+B1072)))</f>
        <v>0</v>
      </c>
      <c r="R1072" s="1"/>
      <c r="S1072" s="1"/>
      <c r="T1072" s="7"/>
      <c r="U1072" s="11"/>
      <c r="V1072" s="21"/>
      <c r="W1072" s="5"/>
      <c r="X1072" s="20"/>
      <c r="Y1072" s="2"/>
      <c r="AJ1072" s="1"/>
      <c r="AK1072" s="1"/>
      <c r="AL1072" s="7"/>
      <c r="AM1072" s="11"/>
      <c r="AN1072" s="21"/>
      <c r="AO1072" s="5"/>
      <c r="AP1072" s="20"/>
      <c r="AQ1072" s="2"/>
    </row>
    <row r="1073" spans="1:43" x14ac:dyDescent="0.25">
      <c r="A1073" s="1">
        <v>1061</v>
      </c>
      <c r="B1073" s="1">
        <f t="shared" si="17"/>
        <v>0</v>
      </c>
      <c r="C1073" s="7">
        <f>G$12/-PV(Table7[Monthly mortgage rate], (12*Table7[Amortization period (yrs)]),1 )</f>
        <v>4377.9977174134756</v>
      </c>
      <c r="D1073" s="11">
        <f>IF(Table1[[#This Row],[Month]]&lt;=(12*Table7[mortgage term (yrs)]),Table7[Monthly mortgage rate],Table7[Monthly Exp Renewal Rate])</f>
        <v>4.9038466830562122E-3</v>
      </c>
      <c r="E1073" s="21">
        <f>Table1[[#This Row],[Current mortgage rate]]*G1072</f>
        <v>-271077.98196191841</v>
      </c>
      <c r="F1073" s="5">
        <f>Table1[[#This Row],[Payment amount]]-Table1[[#This Row],[Interest paid]]</f>
        <v>275455.97967933188</v>
      </c>
      <c r="G1073" s="20">
        <f>G1072-Table1[[#This Row],[Principal repaid]]-Table1[[#This Row],[Annual paym]]</f>
        <v>-55554097.316193372</v>
      </c>
      <c r="H1073" s="20">
        <f>H1072-(Table1[[#This Row],[Payment amount]]-Table1[[#This Row],[Interest Paid W/O LSP]])</f>
        <v>-37045973.874095917</v>
      </c>
      <c r="I1073">
        <f>H1072*Table1[[#This Row],[Current mortgage rate]]</f>
        <v>-180759.88829484311</v>
      </c>
      <c r="J1073" s="25">
        <f>IF(Table1[[#This Row],[Month]]&gt;Table7[Amortization period (yrs)]*12,0,IF(Table1[[#This Row],[Month]]&lt;Table7[mortgage term (yrs)]*12,0,IF(Table1[[#This Row],[Month]]=Table7[mortgage term (yrs)]*12,-H$5,Table1[[#This Row],[Payment amount]]+B1073)))</f>
        <v>0</v>
      </c>
      <c r="R1073" s="1"/>
      <c r="S1073" s="1"/>
      <c r="T1073" s="7"/>
      <c r="U1073" s="11"/>
      <c r="V1073" s="21"/>
      <c r="W1073" s="5"/>
      <c r="X1073" s="20"/>
      <c r="Y1073" s="2"/>
      <c r="AJ1073" s="1"/>
      <c r="AK1073" s="1"/>
      <c r="AL1073" s="7"/>
      <c r="AM1073" s="11"/>
      <c r="AN1073" s="21"/>
      <c r="AO1073" s="5"/>
      <c r="AP1073" s="20"/>
      <c r="AQ1073" s="2"/>
    </row>
    <row r="1074" spans="1:43" x14ac:dyDescent="0.25">
      <c r="A1074" s="1">
        <v>1062</v>
      </c>
      <c r="B1074" s="1">
        <f t="shared" si="17"/>
        <v>0</v>
      </c>
      <c r="C1074" s="7">
        <f>G$12/-PV(Table7[Monthly mortgage rate], (12*Table7[Amortization period (yrs)]),1 )</f>
        <v>4377.9977174134756</v>
      </c>
      <c r="D1074" s="11">
        <f>IF(Table1[[#This Row],[Month]]&lt;=(12*Table7[mortgage term (yrs)]),Table7[Monthly mortgage rate],Table7[Monthly Exp Renewal Rate])</f>
        <v>4.9038466830562122E-3</v>
      </c>
      <c r="E1074" s="21">
        <f>Table1[[#This Row],[Current mortgage rate]]*G1073</f>
        <v>-272428.77585419687</v>
      </c>
      <c r="F1074" s="5">
        <f>Table1[[#This Row],[Payment amount]]-Table1[[#This Row],[Interest paid]]</f>
        <v>276806.77357161033</v>
      </c>
      <c r="G1074" s="20">
        <f>G1073-Table1[[#This Row],[Principal repaid]]-Table1[[#This Row],[Annual paym]]</f>
        <v>-55830904.089764982</v>
      </c>
      <c r="H1074" s="20">
        <f>H1073-(Table1[[#This Row],[Payment amount]]-Table1[[#This Row],[Interest Paid W/O LSP]])</f>
        <v>-37232019.647916399</v>
      </c>
      <c r="I1074">
        <f>H1073*Table1[[#This Row],[Current mortgage rate]]</f>
        <v>-181667.77610307236</v>
      </c>
      <c r="J1074" s="25">
        <f>IF(Table1[[#This Row],[Month]]&gt;Table7[Amortization period (yrs)]*12,0,IF(Table1[[#This Row],[Month]]&lt;Table7[mortgage term (yrs)]*12,0,IF(Table1[[#This Row],[Month]]=Table7[mortgage term (yrs)]*12,-H$5,Table1[[#This Row],[Payment amount]]+B1074)))</f>
        <v>0</v>
      </c>
      <c r="R1074" s="1"/>
      <c r="S1074" s="1"/>
      <c r="T1074" s="7"/>
      <c r="U1074" s="11"/>
      <c r="V1074" s="21"/>
      <c r="W1074" s="5"/>
      <c r="X1074" s="20"/>
      <c r="Y1074" s="2"/>
      <c r="AJ1074" s="1"/>
      <c r="AK1074" s="1"/>
      <c r="AL1074" s="7"/>
      <c r="AM1074" s="11"/>
      <c r="AN1074" s="21"/>
      <c r="AO1074" s="5"/>
      <c r="AP1074" s="20"/>
      <c r="AQ1074" s="2"/>
    </row>
    <row r="1075" spans="1:43" x14ac:dyDescent="0.25">
      <c r="A1075" s="1">
        <v>1063</v>
      </c>
      <c r="B1075" s="1">
        <f t="shared" si="17"/>
        <v>0</v>
      </c>
      <c r="C1075" s="7">
        <f>G$12/-PV(Table7[Monthly mortgage rate], (12*Table7[Amortization period (yrs)]),1 )</f>
        <v>4377.9977174134756</v>
      </c>
      <c r="D1075" s="11">
        <f>IF(Table1[[#This Row],[Month]]&lt;=(12*Table7[mortgage term (yrs)]),Table7[Monthly mortgage rate],Table7[Monthly Exp Renewal Rate])</f>
        <v>4.9038466830562122E-3</v>
      </c>
      <c r="E1075" s="21">
        <f>Table1[[#This Row],[Current mortgage rate]]*G1074</f>
        <v>-273786.19383262354</v>
      </c>
      <c r="F1075" s="5">
        <f>Table1[[#This Row],[Payment amount]]-Table1[[#This Row],[Interest paid]]</f>
        <v>278164.19155003701</v>
      </c>
      <c r="G1075" s="20">
        <f>G1074-Table1[[#This Row],[Principal repaid]]-Table1[[#This Row],[Annual paym]]</f>
        <v>-56109068.281315021</v>
      </c>
      <c r="H1075" s="20">
        <f>H1074-(Table1[[#This Row],[Payment amount]]-Table1[[#This Row],[Interest Paid W/O LSP]])</f>
        <v>-37418977.761687733</v>
      </c>
      <c r="I1075">
        <f>H1074*Table1[[#This Row],[Current mortgage rate]]</f>
        <v>-182580.11605391855</v>
      </c>
      <c r="J1075" s="25">
        <f>IF(Table1[[#This Row],[Month]]&gt;Table7[Amortization period (yrs)]*12,0,IF(Table1[[#This Row],[Month]]&lt;Table7[mortgage term (yrs)]*12,0,IF(Table1[[#This Row],[Month]]=Table7[mortgage term (yrs)]*12,-H$5,Table1[[#This Row],[Payment amount]]+B1075)))</f>
        <v>0</v>
      </c>
      <c r="R1075" s="1"/>
      <c r="S1075" s="1"/>
      <c r="T1075" s="7"/>
      <c r="U1075" s="11"/>
      <c r="V1075" s="21"/>
      <c r="W1075" s="5"/>
      <c r="X1075" s="20"/>
      <c r="Y1075" s="2"/>
      <c r="AJ1075" s="1"/>
      <c r="AK1075" s="1"/>
      <c r="AL1075" s="7"/>
      <c r="AM1075" s="11"/>
      <c r="AN1075" s="21"/>
      <c r="AO1075" s="5"/>
      <c r="AP1075" s="20"/>
      <c r="AQ1075" s="2"/>
    </row>
    <row r="1076" spans="1:43" x14ac:dyDescent="0.25">
      <c r="A1076" s="1">
        <v>1064</v>
      </c>
      <c r="B1076" s="1">
        <f t="shared" si="17"/>
        <v>0</v>
      </c>
      <c r="C1076" s="7">
        <f>G$12/-PV(Table7[Monthly mortgage rate], (12*Table7[Amortization period (yrs)]),1 )</f>
        <v>4377.9977174134756</v>
      </c>
      <c r="D1076" s="11">
        <f>IF(Table1[[#This Row],[Month]]&lt;=(12*Table7[mortgage term (yrs)]),Table7[Monthly mortgage rate],Table7[Monthly Exp Renewal Rate])</f>
        <v>4.9038466830562122E-3</v>
      </c>
      <c r="E1076" s="21">
        <f>Table1[[#This Row],[Current mortgage rate]]*G1075</f>
        <v>-275150.26838070119</v>
      </c>
      <c r="F1076" s="5">
        <f>Table1[[#This Row],[Payment amount]]-Table1[[#This Row],[Interest paid]]</f>
        <v>279528.26609811466</v>
      </c>
      <c r="G1076" s="20">
        <f>G1075-Table1[[#This Row],[Principal repaid]]-Table1[[#This Row],[Annual paym]]</f>
        <v>-56388596.547413133</v>
      </c>
      <c r="H1076" s="20">
        <f>H1075-(Table1[[#This Row],[Payment amount]]-Table1[[#This Row],[Interest Paid W/O LSP]])</f>
        <v>-37606852.689385153</v>
      </c>
      <c r="I1076">
        <f>H1075*Table1[[#This Row],[Current mortgage rate]]</f>
        <v>-183496.92998000656</v>
      </c>
      <c r="J1076" s="25">
        <f>IF(Table1[[#This Row],[Month]]&gt;Table7[Amortization period (yrs)]*12,0,IF(Table1[[#This Row],[Month]]&lt;Table7[mortgage term (yrs)]*12,0,IF(Table1[[#This Row],[Month]]=Table7[mortgage term (yrs)]*12,-H$5,Table1[[#This Row],[Payment amount]]+B1076)))</f>
        <v>0</v>
      </c>
      <c r="R1076" s="1"/>
      <c r="S1076" s="1"/>
      <c r="T1076" s="7"/>
      <c r="U1076" s="11"/>
      <c r="V1076" s="21"/>
      <c r="W1076" s="5"/>
      <c r="X1076" s="20"/>
      <c r="Y1076" s="2"/>
      <c r="AJ1076" s="1"/>
      <c r="AK1076" s="1"/>
      <c r="AL1076" s="7"/>
      <c r="AM1076" s="11"/>
      <c r="AN1076" s="21"/>
      <c r="AO1076" s="5"/>
      <c r="AP1076" s="20"/>
      <c r="AQ1076" s="2"/>
    </row>
    <row r="1077" spans="1:43" x14ac:dyDescent="0.25">
      <c r="A1077" s="1">
        <v>1065</v>
      </c>
      <c r="B1077" s="1">
        <f t="shared" si="17"/>
        <v>0</v>
      </c>
      <c r="C1077" s="7">
        <f>G$12/-PV(Table7[Monthly mortgage rate], (12*Table7[Amortization period (yrs)]),1 )</f>
        <v>4377.9977174134756</v>
      </c>
      <c r="D1077" s="11">
        <f>IF(Table1[[#This Row],[Month]]&lt;=(12*Table7[mortgage term (yrs)]),Table7[Monthly mortgage rate],Table7[Monthly Exp Renewal Rate])</f>
        <v>4.9038466830562122E-3</v>
      </c>
      <c r="E1077" s="21">
        <f>Table1[[#This Row],[Current mortgage rate]]*G1076</f>
        <v>-276521.03214122687</v>
      </c>
      <c r="F1077" s="5">
        <f>Table1[[#This Row],[Payment amount]]-Table1[[#This Row],[Interest paid]]</f>
        <v>280899.02985864034</v>
      </c>
      <c r="G1077" s="20">
        <f>G1076-Table1[[#This Row],[Principal repaid]]-Table1[[#This Row],[Annual paym]]</f>
        <v>-56669495.577271774</v>
      </c>
      <c r="H1077" s="20">
        <f>H1076-(Table1[[#This Row],[Payment amount]]-Table1[[#This Row],[Interest Paid W/O LSP]])</f>
        <v>-37795648.926923595</v>
      </c>
      <c r="I1077">
        <f>H1076*Table1[[#This Row],[Current mortgage rate]]</f>
        <v>-184418.23982102497</v>
      </c>
      <c r="J1077" s="25">
        <f>IF(Table1[[#This Row],[Month]]&gt;Table7[Amortization period (yrs)]*12,0,IF(Table1[[#This Row],[Month]]&lt;Table7[mortgage term (yrs)]*12,0,IF(Table1[[#This Row],[Month]]=Table7[mortgage term (yrs)]*12,-H$5,Table1[[#This Row],[Payment amount]]+B1077)))</f>
        <v>0</v>
      </c>
      <c r="R1077" s="1"/>
      <c r="S1077" s="1"/>
      <c r="T1077" s="7"/>
      <c r="U1077" s="11"/>
      <c r="V1077" s="21"/>
      <c r="W1077" s="5"/>
      <c r="X1077" s="20"/>
      <c r="Y1077" s="2"/>
      <c r="AJ1077" s="1"/>
      <c r="AK1077" s="1"/>
      <c r="AL1077" s="7"/>
      <c r="AM1077" s="11"/>
      <c r="AN1077" s="21"/>
      <c r="AO1077" s="5"/>
      <c r="AP1077" s="20"/>
      <c r="AQ1077" s="2"/>
    </row>
    <row r="1078" spans="1:43" x14ac:dyDescent="0.25">
      <c r="A1078" s="1">
        <v>1066</v>
      </c>
      <c r="B1078" s="1">
        <f t="shared" si="17"/>
        <v>0</v>
      </c>
      <c r="C1078" s="7">
        <f>G$12/-PV(Table7[Monthly mortgage rate], (12*Table7[Amortization period (yrs)]),1 )</f>
        <v>4377.9977174134756</v>
      </c>
      <c r="D1078" s="11">
        <f>IF(Table1[[#This Row],[Month]]&lt;=(12*Table7[mortgage term (yrs)]),Table7[Monthly mortgage rate],Table7[Monthly Exp Renewal Rate])</f>
        <v>4.9038466830562122E-3</v>
      </c>
      <c r="E1078" s="21">
        <f>Table1[[#This Row],[Current mortgage rate]]*G1077</f>
        <v>-277898.51791707287</v>
      </c>
      <c r="F1078" s="5">
        <f>Table1[[#This Row],[Payment amount]]-Table1[[#This Row],[Interest paid]]</f>
        <v>282276.51563448634</v>
      </c>
      <c r="G1078" s="20">
        <f>G1077-Table1[[#This Row],[Principal repaid]]-Table1[[#This Row],[Annual paym]]</f>
        <v>-56951772.092906259</v>
      </c>
      <c r="H1078" s="20">
        <f>H1077-(Table1[[#This Row],[Payment amount]]-Table1[[#This Row],[Interest Paid W/O LSP]])</f>
        <v>-37985370.992265262</v>
      </c>
      <c r="I1078">
        <f>H1077*Table1[[#This Row],[Current mortgage rate]]</f>
        <v>-185344.06762425136</v>
      </c>
      <c r="J1078" s="25">
        <f>IF(Table1[[#This Row],[Month]]&gt;Table7[Amortization period (yrs)]*12,0,IF(Table1[[#This Row],[Month]]&lt;Table7[mortgage term (yrs)]*12,0,IF(Table1[[#This Row],[Month]]=Table7[mortgage term (yrs)]*12,-H$5,Table1[[#This Row],[Payment amount]]+B1078)))</f>
        <v>0</v>
      </c>
      <c r="R1078" s="1"/>
      <c r="S1078" s="1"/>
      <c r="T1078" s="7"/>
      <c r="U1078" s="11"/>
      <c r="V1078" s="21"/>
      <c r="W1078" s="5"/>
      <c r="X1078" s="20"/>
      <c r="Y1078" s="2"/>
      <c r="AJ1078" s="1"/>
      <c r="AK1078" s="1"/>
      <c r="AL1078" s="7"/>
      <c r="AM1078" s="11"/>
      <c r="AN1078" s="21"/>
      <c r="AO1078" s="5"/>
      <c r="AP1078" s="20"/>
      <c r="AQ1078" s="2"/>
    </row>
    <row r="1079" spans="1:43" x14ac:dyDescent="0.25">
      <c r="A1079" s="1">
        <v>1067</v>
      </c>
      <c r="B1079" s="1">
        <f t="shared" si="17"/>
        <v>0</v>
      </c>
      <c r="C1079" s="7">
        <f>G$12/-PV(Table7[Monthly mortgage rate], (12*Table7[Amortization period (yrs)]),1 )</f>
        <v>4377.9977174134756</v>
      </c>
      <c r="D1079" s="11">
        <f>IF(Table1[[#This Row],[Month]]&lt;=(12*Table7[mortgage term (yrs)]),Table7[Monthly mortgage rate],Table7[Monthly Exp Renewal Rate])</f>
        <v>4.9038466830562122E-3</v>
      </c>
      <c r="E1079" s="21">
        <f>Table1[[#This Row],[Current mortgage rate]]*G1078</f>
        <v>-279282.75867197174</v>
      </c>
      <c r="F1079" s="5">
        <f>Table1[[#This Row],[Payment amount]]-Table1[[#This Row],[Interest paid]]</f>
        <v>283660.75638938521</v>
      </c>
      <c r="G1079" s="20">
        <f>G1078-Table1[[#This Row],[Principal repaid]]-Table1[[#This Row],[Annual paym]]</f>
        <v>-57235432.849295646</v>
      </c>
      <c r="H1079" s="20">
        <f>H1078-(Table1[[#This Row],[Payment amount]]-Table1[[#This Row],[Interest Paid W/O LSP]])</f>
        <v>-38176023.425527751</v>
      </c>
      <c r="I1079">
        <f>H1078*Table1[[#This Row],[Current mortgage rate]]</f>
        <v>-186274.43554507967</v>
      </c>
      <c r="J1079" s="25">
        <f>IF(Table1[[#This Row],[Month]]&gt;Table7[Amortization period (yrs)]*12,0,IF(Table1[[#This Row],[Month]]&lt;Table7[mortgage term (yrs)]*12,0,IF(Table1[[#This Row],[Month]]=Table7[mortgage term (yrs)]*12,-H$5,Table1[[#This Row],[Payment amount]]+B1079)))</f>
        <v>0</v>
      </c>
      <c r="R1079" s="1"/>
      <c r="S1079" s="1"/>
      <c r="T1079" s="7"/>
      <c r="U1079" s="11"/>
      <c r="V1079" s="21"/>
      <c r="W1079" s="5"/>
      <c r="X1079" s="20"/>
      <c r="Y1079" s="2"/>
      <c r="AJ1079" s="1"/>
      <c r="AK1079" s="1"/>
      <c r="AL1079" s="7"/>
      <c r="AM1079" s="11"/>
      <c r="AN1079" s="21"/>
      <c r="AO1079" s="5"/>
      <c r="AP1079" s="20"/>
      <c r="AQ1079" s="2"/>
    </row>
    <row r="1080" spans="1:43" x14ac:dyDescent="0.25">
      <c r="A1080" s="1">
        <v>1068</v>
      </c>
      <c r="B1080" s="1">
        <f t="shared" si="17"/>
        <v>0</v>
      </c>
      <c r="C1080" s="7">
        <f>G$12/-PV(Table7[Monthly mortgage rate], (12*Table7[Amortization period (yrs)]),1 )</f>
        <v>4377.9977174134756</v>
      </c>
      <c r="D1080" s="11">
        <f>IF(Table1[[#This Row],[Month]]&lt;=(12*Table7[mortgage term (yrs)]),Table7[Monthly mortgage rate],Table7[Monthly Exp Renewal Rate])</f>
        <v>4.9038466830562122E-3</v>
      </c>
      <c r="E1080" s="21">
        <f>Table1[[#This Row],[Current mortgage rate]]*G1079</f>
        <v>-280673.78753130505</v>
      </c>
      <c r="F1080" s="5">
        <f>Table1[[#This Row],[Payment amount]]-Table1[[#This Row],[Interest paid]]</f>
        <v>285051.78524871852</v>
      </c>
      <c r="G1080" s="20">
        <f>G1079-Table1[[#This Row],[Principal repaid]]-Table1[[#This Row],[Annual paym]]</f>
        <v>-57520484.634544365</v>
      </c>
      <c r="H1080" s="20">
        <f>H1079-(Table1[[#This Row],[Payment amount]]-Table1[[#This Row],[Interest Paid W/O LSP]])</f>
        <v>-38367610.789092712</v>
      </c>
      <c r="I1080">
        <f>H1079*Table1[[#This Row],[Current mortgage rate]]</f>
        <v>-187209.36584755051</v>
      </c>
      <c r="J1080" s="25">
        <f>IF(Table1[[#This Row],[Month]]&gt;Table7[Amortization period (yrs)]*12,0,IF(Table1[[#This Row],[Month]]&lt;Table7[mortgage term (yrs)]*12,0,IF(Table1[[#This Row],[Month]]=Table7[mortgage term (yrs)]*12,-H$5,Table1[[#This Row],[Payment amount]]+B1080)))</f>
        <v>0</v>
      </c>
      <c r="R1080" s="1"/>
      <c r="S1080" s="1"/>
      <c r="T1080" s="7"/>
      <c r="U1080" s="11"/>
      <c r="V1080" s="21"/>
      <c r="W1080" s="5"/>
      <c r="X1080" s="20"/>
      <c r="Y1080" s="2"/>
      <c r="AJ1080" s="1"/>
      <c r="AK1080" s="1"/>
      <c r="AL1080" s="7"/>
      <c r="AM1080" s="11"/>
      <c r="AN1080" s="21"/>
      <c r="AO1080" s="5"/>
      <c r="AP1080" s="20"/>
      <c r="AQ1080" s="2"/>
    </row>
    <row r="1081" spans="1:43" x14ac:dyDescent="0.25">
      <c r="A1081" s="1">
        <v>1069</v>
      </c>
      <c r="B1081" s="1">
        <f t="shared" si="17"/>
        <v>0</v>
      </c>
      <c r="C1081" s="7">
        <f>G$12/-PV(Table7[Monthly mortgage rate], (12*Table7[Amortization period (yrs)]),1 )</f>
        <v>4377.9977174134756</v>
      </c>
      <c r="D1081" s="11">
        <f>IF(Table1[[#This Row],[Month]]&lt;=(12*Table7[mortgage term (yrs)]),Table7[Monthly mortgage rate],Table7[Monthly Exp Renewal Rate])</f>
        <v>4.9038466830562122E-3</v>
      </c>
      <c r="E1081" s="21">
        <f>Table1[[#This Row],[Current mortgage rate]]*G1080</f>
        <v>-282071.63778289623</v>
      </c>
      <c r="F1081" s="5">
        <f>Table1[[#This Row],[Payment amount]]-Table1[[#This Row],[Interest paid]]</f>
        <v>286449.6355003097</v>
      </c>
      <c r="G1081" s="20">
        <f>G1080-Table1[[#This Row],[Principal repaid]]-Table1[[#This Row],[Annual paym]]</f>
        <v>-57806934.270044677</v>
      </c>
      <c r="H1081" s="20">
        <f>H1080-(Table1[[#This Row],[Payment amount]]-Table1[[#This Row],[Interest Paid W/O LSP]])</f>
        <v>-38560137.667715013</v>
      </c>
      <c r="I1081">
        <f>H1080*Table1[[#This Row],[Current mortgage rate]]</f>
        <v>-188148.88090488405</v>
      </c>
      <c r="J1081" s="25">
        <f>IF(Table1[[#This Row],[Month]]&gt;Table7[Amortization period (yrs)]*12,0,IF(Table1[[#This Row],[Month]]&lt;Table7[mortgage term (yrs)]*12,0,IF(Table1[[#This Row],[Month]]=Table7[mortgage term (yrs)]*12,-H$5,Table1[[#This Row],[Payment amount]]+B1081)))</f>
        <v>0</v>
      </c>
      <c r="R1081" s="1"/>
      <c r="S1081" s="1"/>
      <c r="T1081" s="7"/>
      <c r="U1081" s="11"/>
      <c r="V1081" s="21"/>
      <c r="W1081" s="5"/>
      <c r="X1081" s="20"/>
      <c r="Y1081" s="2"/>
      <c r="AJ1081" s="1"/>
      <c r="AK1081" s="1"/>
      <c r="AL1081" s="7"/>
      <c r="AM1081" s="11"/>
      <c r="AN1081" s="21"/>
      <c r="AO1081" s="5"/>
      <c r="AP1081" s="20"/>
      <c r="AQ1081" s="2"/>
    </row>
    <row r="1082" spans="1:43" x14ac:dyDescent="0.25">
      <c r="A1082" s="1">
        <v>1070</v>
      </c>
      <c r="B1082" s="1">
        <f t="shared" si="17"/>
        <v>0</v>
      </c>
      <c r="C1082" s="7">
        <f>G$12/-PV(Table7[Monthly mortgage rate], (12*Table7[Amortization period (yrs)]),1 )</f>
        <v>4377.9977174134756</v>
      </c>
      <c r="D1082" s="11">
        <f>IF(Table1[[#This Row],[Month]]&lt;=(12*Table7[mortgage term (yrs)]),Table7[Monthly mortgage rate],Table7[Monthly Exp Renewal Rate])</f>
        <v>4.9038466830562122E-3</v>
      </c>
      <c r="E1082" s="21">
        <f>Table1[[#This Row],[Current mortgage rate]]*G1081</f>
        <v>-283476.3428778071</v>
      </c>
      <c r="F1082" s="5">
        <f>Table1[[#This Row],[Payment amount]]-Table1[[#This Row],[Interest paid]]</f>
        <v>287854.34059522056</v>
      </c>
      <c r="G1082" s="20">
        <f>G1081-Table1[[#This Row],[Principal repaid]]-Table1[[#This Row],[Annual paym]]</f>
        <v>-58094788.6106399</v>
      </c>
      <c r="H1082" s="20">
        <f>H1081-(Table1[[#This Row],[Payment amount]]-Table1[[#This Row],[Interest Paid W/O LSP]])</f>
        <v>-38753608.66863244</v>
      </c>
      <c r="I1082">
        <f>H1081*Table1[[#This Row],[Current mortgage rate]]</f>
        <v>-189093.00320001517</v>
      </c>
      <c r="J1082" s="25">
        <f>IF(Table1[[#This Row],[Month]]&gt;Table7[Amortization period (yrs)]*12,0,IF(Table1[[#This Row],[Month]]&lt;Table7[mortgage term (yrs)]*12,0,IF(Table1[[#This Row],[Month]]=Table7[mortgage term (yrs)]*12,-H$5,Table1[[#This Row],[Payment amount]]+B1082)))</f>
        <v>0</v>
      </c>
      <c r="R1082" s="1"/>
      <c r="S1082" s="1"/>
      <c r="T1082" s="7"/>
      <c r="U1082" s="11"/>
      <c r="V1082" s="21"/>
      <c r="W1082" s="5"/>
      <c r="X1082" s="20"/>
      <c r="Y1082" s="2"/>
      <c r="AJ1082" s="1"/>
      <c r="AK1082" s="1"/>
      <c r="AL1082" s="7"/>
      <c r="AM1082" s="11"/>
      <c r="AN1082" s="21"/>
      <c r="AO1082" s="5"/>
      <c r="AP1082" s="20"/>
      <c r="AQ1082" s="2"/>
    </row>
    <row r="1083" spans="1:43" x14ac:dyDescent="0.25">
      <c r="A1083" s="1">
        <v>1071</v>
      </c>
      <c r="B1083" s="1">
        <f t="shared" si="17"/>
        <v>0</v>
      </c>
      <c r="C1083" s="7">
        <f>G$12/-PV(Table7[Monthly mortgage rate], (12*Table7[Amortization period (yrs)]),1 )</f>
        <v>4377.9977174134756</v>
      </c>
      <c r="D1083" s="11">
        <f>IF(Table1[[#This Row],[Month]]&lt;=(12*Table7[mortgage term (yrs)]),Table7[Monthly mortgage rate],Table7[Monthly Exp Renewal Rate])</f>
        <v>4.9038466830562122E-3</v>
      </c>
      <c r="E1083" s="21">
        <f>Table1[[#This Row],[Current mortgage rate]]*G1082</f>
        <v>-284887.93643113831</v>
      </c>
      <c r="F1083" s="5">
        <f>Table1[[#This Row],[Payment amount]]-Table1[[#This Row],[Interest paid]]</f>
        <v>289265.93414855178</v>
      </c>
      <c r="G1083" s="20">
        <f>G1082-Table1[[#This Row],[Principal repaid]]-Table1[[#This Row],[Annual paym]]</f>
        <v>-58384054.54478845</v>
      </c>
      <c r="H1083" s="20">
        <f>H1082-(Table1[[#This Row],[Payment amount]]-Table1[[#This Row],[Interest Paid W/O LSP]])</f>
        <v>-38948028.421675988</v>
      </c>
      <c r="I1083">
        <f>H1082*Table1[[#This Row],[Current mortgage rate]]</f>
        <v>-190041.75532613165</v>
      </c>
      <c r="J1083" s="25">
        <f>IF(Table1[[#This Row],[Month]]&gt;Table7[Amortization period (yrs)]*12,0,IF(Table1[[#This Row],[Month]]&lt;Table7[mortgage term (yrs)]*12,0,IF(Table1[[#This Row],[Month]]=Table7[mortgage term (yrs)]*12,-H$5,Table1[[#This Row],[Payment amount]]+B1083)))</f>
        <v>0</v>
      </c>
      <c r="R1083" s="1"/>
      <c r="S1083" s="1"/>
      <c r="T1083" s="7"/>
      <c r="U1083" s="11"/>
      <c r="V1083" s="21"/>
      <c r="W1083" s="5"/>
      <c r="X1083" s="20"/>
      <c r="Y1083" s="2"/>
      <c r="AJ1083" s="1"/>
      <c r="AK1083" s="1"/>
      <c r="AL1083" s="7"/>
      <c r="AM1083" s="11"/>
      <c r="AN1083" s="21"/>
      <c r="AO1083" s="5"/>
      <c r="AP1083" s="20"/>
      <c r="AQ1083" s="2"/>
    </row>
    <row r="1084" spans="1:43" x14ac:dyDescent="0.25">
      <c r="A1084" s="1">
        <v>1072</v>
      </c>
      <c r="B1084" s="1">
        <f t="shared" si="17"/>
        <v>0</v>
      </c>
      <c r="C1084" s="7">
        <f>G$12/-PV(Table7[Monthly mortgage rate], (12*Table7[Amortization period (yrs)]),1 )</f>
        <v>4377.9977174134756</v>
      </c>
      <c r="D1084" s="11">
        <f>IF(Table1[[#This Row],[Month]]&lt;=(12*Table7[mortgage term (yrs)]),Table7[Monthly mortgage rate],Table7[Monthly Exp Renewal Rate])</f>
        <v>4.9038466830562122E-3</v>
      </c>
      <c r="E1084" s="21">
        <f>Table1[[#This Row],[Current mortgage rate]]*G1083</f>
        <v>-286306.45222283382</v>
      </c>
      <c r="F1084" s="5">
        <f>Table1[[#This Row],[Payment amount]]-Table1[[#This Row],[Interest paid]]</f>
        <v>290684.44994024729</v>
      </c>
      <c r="G1084" s="20">
        <f>G1083-Table1[[#This Row],[Principal repaid]]-Table1[[#This Row],[Annual paym]]</f>
        <v>-58674738.994728699</v>
      </c>
      <c r="H1084" s="20">
        <f>H1083-(Table1[[#This Row],[Payment amount]]-Table1[[#This Row],[Interest Paid W/O LSP]])</f>
        <v>-39143401.579380617</v>
      </c>
      <c r="I1084">
        <f>H1083*Table1[[#This Row],[Current mortgage rate]]</f>
        <v>-190995.15998721487</v>
      </c>
      <c r="J1084" s="25">
        <f>IF(Table1[[#This Row],[Month]]&gt;Table7[Amortization period (yrs)]*12,0,IF(Table1[[#This Row],[Month]]&lt;Table7[mortgage term (yrs)]*12,0,IF(Table1[[#This Row],[Month]]=Table7[mortgage term (yrs)]*12,-H$5,Table1[[#This Row],[Payment amount]]+B1084)))</f>
        <v>0</v>
      </c>
      <c r="R1084" s="1"/>
      <c r="S1084" s="1"/>
      <c r="T1084" s="7"/>
      <c r="U1084" s="11"/>
      <c r="V1084" s="21"/>
      <c r="W1084" s="5"/>
      <c r="X1084" s="20"/>
      <c r="Y1084" s="2"/>
      <c r="AJ1084" s="1"/>
      <c r="AK1084" s="1"/>
      <c r="AL1084" s="7"/>
      <c r="AM1084" s="11"/>
      <c r="AN1084" s="21"/>
      <c r="AO1084" s="5"/>
      <c r="AP1084" s="20"/>
      <c r="AQ1084" s="2"/>
    </row>
    <row r="1085" spans="1:43" x14ac:dyDescent="0.25">
      <c r="A1085" s="1">
        <v>1073</v>
      </c>
      <c r="B1085" s="1">
        <f t="shared" si="17"/>
        <v>0</v>
      </c>
      <c r="C1085" s="7">
        <f>G$12/-PV(Table7[Monthly mortgage rate], (12*Table7[Amortization period (yrs)]),1 )</f>
        <v>4377.9977174134756</v>
      </c>
      <c r="D1085" s="11">
        <f>IF(Table1[[#This Row],[Month]]&lt;=(12*Table7[mortgage term (yrs)]),Table7[Monthly mortgage rate],Table7[Monthly Exp Renewal Rate])</f>
        <v>4.9038466830562122E-3</v>
      </c>
      <c r="E1085" s="21">
        <f>Table1[[#This Row],[Current mortgage rate]]*G1084</f>
        <v>-287731.92419848935</v>
      </c>
      <c r="F1085" s="5">
        <f>Table1[[#This Row],[Payment amount]]-Table1[[#This Row],[Interest paid]]</f>
        <v>292109.92191590281</v>
      </c>
      <c r="G1085" s="20">
        <f>G1084-Table1[[#This Row],[Principal repaid]]-Table1[[#This Row],[Annual paym]]</f>
        <v>-58966848.916644603</v>
      </c>
      <c r="H1085" s="20">
        <f>H1084-(Table1[[#This Row],[Payment amount]]-Table1[[#This Row],[Interest Paid W/O LSP]])</f>
        <v>-39339732.817096613</v>
      </c>
      <c r="I1085">
        <f>H1084*Table1[[#This Row],[Current mortgage rate]]</f>
        <v>-191953.23999858293</v>
      </c>
      <c r="J1085" s="25">
        <f>IF(Table1[[#This Row],[Month]]&gt;Table7[Amortization period (yrs)]*12,0,IF(Table1[[#This Row],[Month]]&lt;Table7[mortgage term (yrs)]*12,0,IF(Table1[[#This Row],[Month]]=Table7[mortgage term (yrs)]*12,-H$5,Table1[[#This Row],[Payment amount]]+B1085)))</f>
        <v>0</v>
      </c>
      <c r="R1085" s="1"/>
      <c r="S1085" s="1"/>
      <c r="T1085" s="7"/>
      <c r="U1085" s="11"/>
      <c r="V1085" s="21"/>
      <c r="W1085" s="5"/>
      <c r="X1085" s="20"/>
      <c r="Y1085" s="2"/>
      <c r="AJ1085" s="1"/>
      <c r="AK1085" s="1"/>
      <c r="AL1085" s="7"/>
      <c r="AM1085" s="11"/>
      <c r="AN1085" s="21"/>
      <c r="AO1085" s="5"/>
      <c r="AP1085" s="20"/>
      <c r="AQ1085" s="2"/>
    </row>
    <row r="1086" spans="1:43" x14ac:dyDescent="0.25">
      <c r="A1086" s="1">
        <v>1074</v>
      </c>
      <c r="B1086" s="1">
        <f t="shared" si="17"/>
        <v>0</v>
      </c>
      <c r="C1086" s="7">
        <f>G$12/-PV(Table7[Monthly mortgage rate], (12*Table7[Amortization period (yrs)]),1 )</f>
        <v>4377.9977174134756</v>
      </c>
      <c r="D1086" s="11">
        <f>IF(Table1[[#This Row],[Month]]&lt;=(12*Table7[mortgage term (yrs)]),Table7[Monthly mortgage rate],Table7[Monthly Exp Renewal Rate])</f>
        <v>4.9038466830562122E-3</v>
      </c>
      <c r="E1086" s="21">
        <f>Table1[[#This Row],[Current mortgage rate]]*G1085</f>
        <v>-289164.38647016446</v>
      </c>
      <c r="F1086" s="5">
        <f>Table1[[#This Row],[Payment amount]]-Table1[[#This Row],[Interest paid]]</f>
        <v>293542.38418757793</v>
      </c>
      <c r="G1086" s="20">
        <f>G1085-Table1[[#This Row],[Principal repaid]]-Table1[[#This Row],[Annual paym]]</f>
        <v>-59260391.300832182</v>
      </c>
      <c r="H1086" s="20">
        <f>H1085-(Table1[[#This Row],[Payment amount]]-Table1[[#This Row],[Interest Paid W/O LSP]])</f>
        <v>-39537026.833101466</v>
      </c>
      <c r="I1086">
        <f>H1085*Table1[[#This Row],[Current mortgage rate]]</f>
        <v>-192916.01828743683</v>
      </c>
      <c r="J1086" s="25">
        <f>IF(Table1[[#This Row],[Month]]&gt;Table7[Amortization period (yrs)]*12,0,IF(Table1[[#This Row],[Month]]&lt;Table7[mortgage term (yrs)]*12,0,IF(Table1[[#This Row],[Month]]=Table7[mortgage term (yrs)]*12,-H$5,Table1[[#This Row],[Payment amount]]+B1086)))</f>
        <v>0</v>
      </c>
      <c r="R1086" s="1"/>
      <c r="S1086" s="1"/>
      <c r="T1086" s="7"/>
      <c r="U1086" s="11"/>
      <c r="V1086" s="21"/>
      <c r="W1086" s="5"/>
      <c r="X1086" s="20"/>
      <c r="Y1086" s="2"/>
      <c r="AJ1086" s="1"/>
      <c r="AK1086" s="1"/>
      <c r="AL1086" s="7"/>
      <c r="AM1086" s="11"/>
      <c r="AN1086" s="21"/>
      <c r="AO1086" s="5"/>
      <c r="AP1086" s="20"/>
      <c r="AQ1086" s="2"/>
    </row>
    <row r="1087" spans="1:43" x14ac:dyDescent="0.25">
      <c r="A1087" s="1">
        <v>1075</v>
      </c>
      <c r="B1087" s="1">
        <f t="shared" si="17"/>
        <v>0</v>
      </c>
      <c r="C1087" s="7">
        <f>G$12/-PV(Table7[Monthly mortgage rate], (12*Table7[Amortization period (yrs)]),1 )</f>
        <v>4377.9977174134756</v>
      </c>
      <c r="D1087" s="11">
        <f>IF(Table1[[#This Row],[Month]]&lt;=(12*Table7[mortgage term (yrs)]),Table7[Monthly mortgage rate],Table7[Monthly Exp Renewal Rate])</f>
        <v>4.9038466830562122E-3</v>
      </c>
      <c r="E1087" s="21">
        <f>Table1[[#This Row],[Current mortgage rate]]*G1086</f>
        <v>-290603.87331719912</v>
      </c>
      <c r="F1087" s="5">
        <f>Table1[[#This Row],[Payment amount]]-Table1[[#This Row],[Interest paid]]</f>
        <v>294981.87103461259</v>
      </c>
      <c r="G1087" s="20">
        <f>G1086-Table1[[#This Row],[Principal repaid]]-Table1[[#This Row],[Annual paym]]</f>
        <v>-59555373.171866797</v>
      </c>
      <c r="H1087" s="20">
        <f>H1086-(Table1[[#This Row],[Payment amount]]-Table1[[#This Row],[Interest Paid W/O LSP]])</f>
        <v>-39735288.348712288</v>
      </c>
      <c r="I1087">
        <f>H1086*Table1[[#This Row],[Current mortgage rate]]</f>
        <v>-193883.51789340909</v>
      </c>
      <c r="J1087" s="25">
        <f>IF(Table1[[#This Row],[Month]]&gt;Table7[Amortization period (yrs)]*12,0,IF(Table1[[#This Row],[Month]]&lt;Table7[mortgage term (yrs)]*12,0,IF(Table1[[#This Row],[Month]]=Table7[mortgage term (yrs)]*12,-H$5,Table1[[#This Row],[Payment amount]]+B1087)))</f>
        <v>0</v>
      </c>
      <c r="R1087" s="1"/>
      <c r="S1087" s="1"/>
      <c r="T1087" s="7"/>
      <c r="U1087" s="11"/>
      <c r="V1087" s="21"/>
      <c r="W1087" s="5"/>
      <c r="X1087" s="20"/>
      <c r="Y1087" s="2"/>
      <c r="AJ1087" s="1"/>
      <c r="AK1087" s="1"/>
      <c r="AL1087" s="7"/>
      <c r="AM1087" s="11"/>
      <c r="AN1087" s="21"/>
      <c r="AO1087" s="5"/>
      <c r="AP1087" s="20"/>
      <c r="AQ1087" s="2"/>
    </row>
    <row r="1088" spans="1:43" x14ac:dyDescent="0.25">
      <c r="A1088" s="1">
        <v>1076</v>
      </c>
      <c r="B1088" s="1">
        <f t="shared" si="17"/>
        <v>0</v>
      </c>
      <c r="C1088" s="7">
        <f>G$12/-PV(Table7[Monthly mortgage rate], (12*Table7[Amortization period (yrs)]),1 )</f>
        <v>4377.9977174134756</v>
      </c>
      <c r="D1088" s="11">
        <f>IF(Table1[[#This Row],[Month]]&lt;=(12*Table7[mortgage term (yrs)]),Table7[Monthly mortgage rate],Table7[Monthly Exp Renewal Rate])</f>
        <v>4.9038466830562122E-3</v>
      </c>
      <c r="E1088" s="21">
        <f>Table1[[#This Row],[Current mortgage rate]]*G1087</f>
        <v>-292050.4191870339</v>
      </c>
      <c r="F1088" s="5">
        <f>Table1[[#This Row],[Payment amount]]-Table1[[#This Row],[Interest paid]]</f>
        <v>296428.41690444737</v>
      </c>
      <c r="G1088" s="20">
        <f>G1087-Table1[[#This Row],[Principal repaid]]-Table1[[#This Row],[Annual paym]]</f>
        <v>-59851801.588771246</v>
      </c>
      <c r="H1088" s="20">
        <f>H1087-(Table1[[#This Row],[Payment amount]]-Table1[[#This Row],[Interest Paid W/O LSP]])</f>
        <v>-39934522.108398817</v>
      </c>
      <c r="I1088">
        <f>H1087*Table1[[#This Row],[Current mortgage rate]]</f>
        <v>-194855.76196911492</v>
      </c>
      <c r="J1088" s="25">
        <f>IF(Table1[[#This Row],[Month]]&gt;Table7[Amortization period (yrs)]*12,0,IF(Table1[[#This Row],[Month]]&lt;Table7[mortgage term (yrs)]*12,0,IF(Table1[[#This Row],[Month]]=Table7[mortgage term (yrs)]*12,-H$5,Table1[[#This Row],[Payment amount]]+B1088)))</f>
        <v>0</v>
      </c>
      <c r="R1088" s="1"/>
      <c r="S1088" s="1"/>
      <c r="T1088" s="7"/>
      <c r="U1088" s="11"/>
      <c r="V1088" s="21"/>
      <c r="W1088" s="5"/>
      <c r="X1088" s="20"/>
      <c r="Y1088" s="2"/>
      <c r="AJ1088" s="1"/>
      <c r="AK1088" s="1"/>
      <c r="AL1088" s="7"/>
      <c r="AM1088" s="11"/>
      <c r="AN1088" s="21"/>
      <c r="AO1088" s="5"/>
      <c r="AP1088" s="20"/>
      <c r="AQ1088" s="2"/>
    </row>
    <row r="1089" spans="1:43" x14ac:dyDescent="0.25">
      <c r="A1089" s="1">
        <v>1077</v>
      </c>
      <c r="B1089" s="1">
        <f t="shared" si="17"/>
        <v>0</v>
      </c>
      <c r="C1089" s="7">
        <f>G$12/-PV(Table7[Monthly mortgage rate], (12*Table7[Amortization period (yrs)]),1 )</f>
        <v>4377.9977174134756</v>
      </c>
      <c r="D1089" s="11">
        <f>IF(Table1[[#This Row],[Month]]&lt;=(12*Table7[mortgage term (yrs)]),Table7[Monthly mortgage rate],Table7[Monthly Exp Renewal Rate])</f>
        <v>4.9038466830562122E-3</v>
      </c>
      <c r="E1089" s="21">
        <f>Table1[[#This Row],[Current mortgage rate]]*G1088</f>
        <v>-293504.05869603442</v>
      </c>
      <c r="F1089" s="5">
        <f>Table1[[#This Row],[Payment amount]]-Table1[[#This Row],[Interest paid]]</f>
        <v>297882.05641344789</v>
      </c>
      <c r="G1089" s="20">
        <f>G1088-Table1[[#This Row],[Principal repaid]]-Table1[[#This Row],[Annual paym]]</f>
        <v>-60149683.645184696</v>
      </c>
      <c r="H1089" s="20">
        <f>H1088-(Table1[[#This Row],[Payment amount]]-Table1[[#This Row],[Interest Paid W/O LSP]])</f>
        <v>-40134732.879896939</v>
      </c>
      <c r="I1089">
        <f>H1088*Table1[[#This Row],[Current mortgage rate]]</f>
        <v>-195832.77378070651</v>
      </c>
      <c r="J1089" s="25">
        <f>IF(Table1[[#This Row],[Month]]&gt;Table7[Amortization period (yrs)]*12,0,IF(Table1[[#This Row],[Month]]&lt;Table7[mortgage term (yrs)]*12,0,IF(Table1[[#This Row],[Month]]=Table7[mortgage term (yrs)]*12,-H$5,Table1[[#This Row],[Payment amount]]+B1089)))</f>
        <v>0</v>
      </c>
      <c r="R1089" s="1"/>
      <c r="S1089" s="1"/>
      <c r="T1089" s="7"/>
      <c r="U1089" s="11"/>
      <c r="V1089" s="21"/>
      <c r="W1089" s="5"/>
      <c r="X1089" s="20"/>
      <c r="Y1089" s="2"/>
      <c r="AJ1089" s="1"/>
      <c r="AK1089" s="1"/>
      <c r="AL1089" s="7"/>
      <c r="AM1089" s="11"/>
      <c r="AN1089" s="21"/>
      <c r="AO1089" s="5"/>
      <c r="AP1089" s="20"/>
      <c r="AQ1089" s="2"/>
    </row>
    <row r="1090" spans="1:43" x14ac:dyDescent="0.25">
      <c r="A1090" s="1">
        <v>1078</v>
      </c>
      <c r="B1090" s="1">
        <f t="shared" si="17"/>
        <v>0</v>
      </c>
      <c r="C1090" s="7">
        <f>G$12/-PV(Table7[Monthly mortgage rate], (12*Table7[Amortization period (yrs)]),1 )</f>
        <v>4377.9977174134756</v>
      </c>
      <c r="D1090" s="11">
        <f>IF(Table1[[#This Row],[Month]]&lt;=(12*Table7[mortgage term (yrs)]),Table7[Monthly mortgage rate],Table7[Monthly Exp Renewal Rate])</f>
        <v>4.9038466830562122E-3</v>
      </c>
      <c r="E1090" s="21">
        <f>Table1[[#This Row],[Current mortgage rate]]*G1089</f>
        <v>-294964.82663031947</v>
      </c>
      <c r="F1090" s="5">
        <f>Table1[[#This Row],[Payment amount]]-Table1[[#This Row],[Interest paid]]</f>
        <v>299342.82434773294</v>
      </c>
      <c r="G1090" s="20">
        <f>G1089-Table1[[#This Row],[Principal repaid]]-Table1[[#This Row],[Annual paym]]</f>
        <v>-60449026.46953243</v>
      </c>
      <c r="H1090" s="20">
        <f>H1089-(Table1[[#This Row],[Payment amount]]-Table1[[#This Row],[Interest Paid W/O LSP]])</f>
        <v>-40335925.454322785</v>
      </c>
      <c r="I1090">
        <f>H1089*Table1[[#This Row],[Current mortgage rate]]</f>
        <v>-196814.5767084297</v>
      </c>
      <c r="J1090" s="25">
        <f>IF(Table1[[#This Row],[Month]]&gt;Table7[Amortization period (yrs)]*12,0,IF(Table1[[#This Row],[Month]]&lt;Table7[mortgage term (yrs)]*12,0,IF(Table1[[#This Row],[Month]]=Table7[mortgage term (yrs)]*12,-H$5,Table1[[#This Row],[Payment amount]]+B1090)))</f>
        <v>0</v>
      </c>
      <c r="R1090" s="1"/>
      <c r="S1090" s="1"/>
      <c r="T1090" s="7"/>
      <c r="U1090" s="11"/>
      <c r="V1090" s="21"/>
      <c r="W1090" s="5"/>
      <c r="X1090" s="20"/>
      <c r="Y1090" s="2"/>
      <c r="AJ1090" s="1"/>
      <c r="AK1090" s="1"/>
      <c r="AL1090" s="7"/>
      <c r="AM1090" s="11"/>
      <c r="AN1090" s="21"/>
      <c r="AO1090" s="5"/>
      <c r="AP1090" s="20"/>
      <c r="AQ1090" s="2"/>
    </row>
    <row r="1091" spans="1:43" x14ac:dyDescent="0.25">
      <c r="A1091" s="1">
        <v>1079</v>
      </c>
      <c r="B1091" s="1">
        <f t="shared" si="17"/>
        <v>0</v>
      </c>
      <c r="C1091" s="7">
        <f>G$12/-PV(Table7[Monthly mortgage rate], (12*Table7[Amortization period (yrs)]),1 )</f>
        <v>4377.9977174134756</v>
      </c>
      <c r="D1091" s="11">
        <f>IF(Table1[[#This Row],[Month]]&lt;=(12*Table7[mortgage term (yrs)]),Table7[Monthly mortgage rate],Table7[Monthly Exp Renewal Rate])</f>
        <v>4.9038466830562122E-3</v>
      </c>
      <c r="E1091" s="21">
        <f>Table1[[#This Row],[Current mortgage rate]]*G1090</f>
        <v>-296432.7579465938</v>
      </c>
      <c r="F1091" s="5">
        <f>Table1[[#This Row],[Payment amount]]-Table1[[#This Row],[Interest paid]]</f>
        <v>300810.75566400727</v>
      </c>
      <c r="G1091" s="20">
        <f>G1090-Table1[[#This Row],[Principal repaid]]-Table1[[#This Row],[Annual paym]]</f>
        <v>-60749837.225196436</v>
      </c>
      <c r="H1091" s="20">
        <f>H1090-(Table1[[#This Row],[Payment amount]]-Table1[[#This Row],[Interest Paid W/O LSP]])</f>
        <v>-40538104.646287382</v>
      </c>
      <c r="I1091">
        <f>H1090*Table1[[#This Row],[Current mortgage rate]]</f>
        <v>-197801.19424718342</v>
      </c>
      <c r="J1091" s="25">
        <f>IF(Table1[[#This Row],[Month]]&gt;Table7[Amortization period (yrs)]*12,0,IF(Table1[[#This Row],[Month]]&lt;Table7[mortgage term (yrs)]*12,0,IF(Table1[[#This Row],[Month]]=Table7[mortgage term (yrs)]*12,-H$5,Table1[[#This Row],[Payment amount]]+B1091)))</f>
        <v>0</v>
      </c>
      <c r="R1091" s="1"/>
      <c r="S1091" s="1"/>
      <c r="T1091" s="7"/>
      <c r="U1091" s="11"/>
      <c r="V1091" s="21"/>
      <c r="W1091" s="5"/>
      <c r="X1091" s="20"/>
      <c r="Y1091" s="2"/>
      <c r="AJ1091" s="1"/>
      <c r="AK1091" s="1"/>
      <c r="AL1091" s="7"/>
      <c r="AM1091" s="11"/>
      <c r="AN1091" s="21"/>
      <c r="AO1091" s="5"/>
      <c r="AP1091" s="20"/>
      <c r="AQ1091" s="2"/>
    </row>
    <row r="1092" spans="1:43" x14ac:dyDescent="0.25">
      <c r="A1092" s="1">
        <v>1080</v>
      </c>
      <c r="B1092" s="1">
        <f t="shared" si="17"/>
        <v>0</v>
      </c>
      <c r="C1092" s="7">
        <f>G$12/-PV(Table7[Monthly mortgage rate], (12*Table7[Amortization period (yrs)]),1 )</f>
        <v>4377.9977174134756</v>
      </c>
      <c r="D1092" s="11">
        <f>IF(Table1[[#This Row],[Month]]&lt;=(12*Table7[mortgage term (yrs)]),Table7[Monthly mortgage rate],Table7[Monthly Exp Renewal Rate])</f>
        <v>4.9038466830562122E-3</v>
      </c>
      <c r="E1092" s="21">
        <f>Table1[[#This Row],[Current mortgage rate]]*G1091</f>
        <v>-297907.88777298434</v>
      </c>
      <c r="F1092" s="5">
        <f>Table1[[#This Row],[Payment amount]]-Table1[[#This Row],[Interest paid]]</f>
        <v>302285.88549039781</v>
      </c>
      <c r="G1092" s="20">
        <f>G1091-Table1[[#This Row],[Principal repaid]]-Table1[[#This Row],[Annual paym]]</f>
        <v>-61052123.110686831</v>
      </c>
      <c r="H1092" s="20">
        <f>H1091-(Table1[[#This Row],[Payment amount]]-Table1[[#This Row],[Interest Paid W/O LSP]])</f>
        <v>-40741275.294011876</v>
      </c>
      <c r="I1092">
        <f>H1091*Table1[[#This Row],[Current mortgage rate]]</f>
        <v>-198792.650007082</v>
      </c>
      <c r="J1092" s="25">
        <f>IF(Table1[[#This Row],[Month]]&gt;Table7[Amortization period (yrs)]*12,0,IF(Table1[[#This Row],[Month]]&lt;Table7[mortgage term (yrs)]*12,0,IF(Table1[[#This Row],[Month]]=Table7[mortgage term (yrs)]*12,-H$5,Table1[[#This Row],[Payment amount]]+B1092)))</f>
        <v>0</v>
      </c>
      <c r="R1092" s="1"/>
      <c r="S1092" s="1"/>
      <c r="T1092" s="7"/>
      <c r="U1092" s="11"/>
      <c r="V1092" s="21"/>
      <c r="W1092" s="5"/>
      <c r="X1092" s="20"/>
      <c r="Y1092" s="2"/>
      <c r="AJ1092" s="1"/>
      <c r="AK1092" s="1"/>
      <c r="AL1092" s="7"/>
      <c r="AM1092" s="11"/>
      <c r="AN1092" s="21"/>
      <c r="AO1092" s="5"/>
      <c r="AP1092" s="20"/>
      <c r="AQ1092" s="2"/>
    </row>
    <row r="1093" spans="1:43" x14ac:dyDescent="0.25">
      <c r="A1093" s="1">
        <v>1081</v>
      </c>
      <c r="B1093" s="1">
        <f t="shared" si="17"/>
        <v>0</v>
      </c>
      <c r="C1093" s="7">
        <f>G$12/-PV(Table7[Monthly mortgage rate], (12*Table7[Amortization period (yrs)]),1 )</f>
        <v>4377.9977174134756</v>
      </c>
      <c r="D1093" s="11">
        <f>IF(Table1[[#This Row],[Month]]&lt;=(12*Table7[mortgage term (yrs)]),Table7[Monthly mortgage rate],Table7[Monthly Exp Renewal Rate])</f>
        <v>4.9038466830562122E-3</v>
      </c>
      <c r="E1093" s="21">
        <f>Table1[[#This Row],[Current mortgage rate]]*G1092</f>
        <v>-299390.25140988111</v>
      </c>
      <c r="F1093" s="5">
        <f>Table1[[#This Row],[Payment amount]]-Table1[[#This Row],[Interest paid]]</f>
        <v>303768.24912729458</v>
      </c>
      <c r="G1093" s="20">
        <f>G1092-Table1[[#This Row],[Principal repaid]]-Table1[[#This Row],[Annual paym]]</f>
        <v>-61355891.359814122</v>
      </c>
      <c r="H1093" s="20">
        <f>H1092-(Table1[[#This Row],[Payment amount]]-Table1[[#This Row],[Interest Paid W/O LSP]])</f>
        <v>-40945442.259443313</v>
      </c>
      <c r="I1093">
        <f>H1092*Table1[[#This Row],[Current mortgage rate]]</f>
        <v>-199788.96771402014</v>
      </c>
      <c r="J1093" s="25">
        <f>IF(Table1[[#This Row],[Month]]&gt;Table7[Amortization period (yrs)]*12,0,IF(Table1[[#This Row],[Month]]&lt;Table7[mortgage term (yrs)]*12,0,IF(Table1[[#This Row],[Month]]=Table7[mortgage term (yrs)]*12,-H$5,Table1[[#This Row],[Payment amount]]+B1093)))</f>
        <v>0</v>
      </c>
      <c r="R1093" s="1"/>
      <c r="S1093" s="1"/>
      <c r="T1093" s="7"/>
      <c r="U1093" s="11"/>
      <c r="V1093" s="21"/>
      <c r="W1093" s="5"/>
      <c r="X1093" s="20"/>
      <c r="Y1093" s="2"/>
      <c r="AJ1093" s="1"/>
      <c r="AK1093" s="1"/>
      <c r="AL1093" s="7"/>
      <c r="AM1093" s="11"/>
      <c r="AN1093" s="21"/>
      <c r="AO1093" s="5"/>
      <c r="AP1093" s="20"/>
      <c r="AQ1093" s="2"/>
    </row>
    <row r="1094" spans="1:43" x14ac:dyDescent="0.25">
      <c r="A1094" s="1">
        <v>1082</v>
      </c>
      <c r="B1094" s="1">
        <f t="shared" si="17"/>
        <v>0</v>
      </c>
      <c r="C1094" s="7">
        <f>G$12/-PV(Table7[Monthly mortgage rate], (12*Table7[Amortization period (yrs)]),1 )</f>
        <v>4377.9977174134756</v>
      </c>
      <c r="D1094" s="11">
        <f>IF(Table1[[#This Row],[Month]]&lt;=(12*Table7[mortgage term (yrs)]),Table7[Monthly mortgage rate],Table7[Monthly Exp Renewal Rate])</f>
        <v>4.9038466830562122E-3</v>
      </c>
      <c r="E1094" s="21">
        <f>Table1[[#This Row],[Current mortgage rate]]*G1093</f>
        <v>-300879.88433078182</v>
      </c>
      <c r="F1094" s="5">
        <f>Table1[[#This Row],[Payment amount]]-Table1[[#This Row],[Interest paid]]</f>
        <v>305257.88204819529</v>
      </c>
      <c r="G1094" s="20">
        <f>G1093-Table1[[#This Row],[Principal repaid]]-Table1[[#This Row],[Annual paym]]</f>
        <v>-61661149.241862319</v>
      </c>
      <c r="H1094" s="20">
        <f>H1093-(Table1[[#This Row],[Payment amount]]-Table1[[#This Row],[Interest Paid W/O LSP]])</f>
        <v>-41150610.428370968</v>
      </c>
      <c r="I1094">
        <f>H1093*Table1[[#This Row],[Current mortgage rate]]</f>
        <v>-200790.17121024075</v>
      </c>
      <c r="J1094" s="25">
        <f>IF(Table1[[#This Row],[Month]]&gt;Table7[Amortization period (yrs)]*12,0,IF(Table1[[#This Row],[Month]]&lt;Table7[mortgage term (yrs)]*12,0,IF(Table1[[#This Row],[Month]]=Table7[mortgage term (yrs)]*12,-H$5,Table1[[#This Row],[Payment amount]]+B1094)))</f>
        <v>0</v>
      </c>
      <c r="R1094" s="1"/>
      <c r="S1094" s="1"/>
      <c r="T1094" s="7"/>
      <c r="U1094" s="11"/>
      <c r="V1094" s="21"/>
      <c r="W1094" s="5"/>
      <c r="X1094" s="20"/>
      <c r="Y1094" s="2"/>
      <c r="AJ1094" s="1"/>
      <c r="AK1094" s="1"/>
      <c r="AL1094" s="7"/>
      <c r="AM1094" s="11"/>
      <c r="AN1094" s="21"/>
      <c r="AO1094" s="5"/>
      <c r="AP1094" s="20"/>
      <c r="AQ1094" s="2"/>
    </row>
    <row r="1095" spans="1:43" x14ac:dyDescent="0.25">
      <c r="A1095" s="1">
        <v>1083</v>
      </c>
      <c r="B1095" s="1">
        <f t="shared" si="17"/>
        <v>0</v>
      </c>
      <c r="C1095" s="7">
        <f>G$12/-PV(Table7[Monthly mortgage rate], (12*Table7[Amortization period (yrs)]),1 )</f>
        <v>4377.9977174134756</v>
      </c>
      <c r="D1095" s="11">
        <f>IF(Table1[[#This Row],[Month]]&lt;=(12*Table7[mortgage term (yrs)]),Table7[Monthly mortgage rate],Table7[Monthly Exp Renewal Rate])</f>
        <v>4.9038466830562122E-3</v>
      </c>
      <c r="E1095" s="21">
        <f>Table1[[#This Row],[Current mortgage rate]]*G1094</f>
        <v>-302376.82218314061</v>
      </c>
      <c r="F1095" s="5">
        <f>Table1[[#This Row],[Payment amount]]-Table1[[#This Row],[Interest paid]]</f>
        <v>306754.81990055408</v>
      </c>
      <c r="G1095" s="20">
        <f>G1094-Table1[[#This Row],[Principal repaid]]-Table1[[#This Row],[Annual paym]]</f>
        <v>-61967904.061762877</v>
      </c>
      <c r="H1095" s="20">
        <f>H1094-(Table1[[#This Row],[Payment amount]]-Table1[[#This Row],[Interest Paid W/O LSP]])</f>
        <v>-41356784.71054329</v>
      </c>
      <c r="I1095">
        <f>H1094*Table1[[#This Row],[Current mortgage rate]]</f>
        <v>-201796.28445490534</v>
      </c>
      <c r="J1095" s="25">
        <f>IF(Table1[[#This Row],[Month]]&gt;Table7[Amortization period (yrs)]*12,0,IF(Table1[[#This Row],[Month]]&lt;Table7[mortgage term (yrs)]*12,0,IF(Table1[[#This Row],[Month]]=Table7[mortgage term (yrs)]*12,-H$5,Table1[[#This Row],[Payment amount]]+B1095)))</f>
        <v>0</v>
      </c>
      <c r="R1095" s="1"/>
      <c r="S1095" s="1"/>
      <c r="T1095" s="7"/>
      <c r="U1095" s="11"/>
      <c r="V1095" s="21"/>
      <c r="W1095" s="5"/>
      <c r="X1095" s="20"/>
      <c r="Y1095" s="2"/>
      <c r="AJ1095" s="1"/>
      <c r="AK1095" s="1"/>
      <c r="AL1095" s="7"/>
      <c r="AM1095" s="11"/>
      <c r="AN1095" s="21"/>
      <c r="AO1095" s="5"/>
      <c r="AP1095" s="20"/>
      <c r="AQ1095" s="2"/>
    </row>
    <row r="1096" spans="1:43" x14ac:dyDescent="0.25">
      <c r="A1096" s="1">
        <v>1084</v>
      </c>
      <c r="B1096" s="1">
        <f t="shared" si="17"/>
        <v>0</v>
      </c>
      <c r="C1096" s="7">
        <f>G$12/-PV(Table7[Monthly mortgage rate], (12*Table7[Amortization period (yrs)]),1 )</f>
        <v>4377.9977174134756</v>
      </c>
      <c r="D1096" s="11">
        <f>IF(Table1[[#This Row],[Month]]&lt;=(12*Table7[mortgage term (yrs)]),Table7[Monthly mortgage rate],Table7[Monthly Exp Renewal Rate])</f>
        <v>4.9038466830562122E-3</v>
      </c>
      <c r="E1096" s="21">
        <f>Table1[[#This Row],[Current mortgage rate]]*G1095</f>
        <v>-303881.10078922147</v>
      </c>
      <c r="F1096" s="5">
        <f>Table1[[#This Row],[Payment amount]]-Table1[[#This Row],[Interest paid]]</f>
        <v>308259.09850663494</v>
      </c>
      <c r="G1096" s="20">
        <f>G1095-Table1[[#This Row],[Principal repaid]]-Table1[[#This Row],[Annual paym]]</f>
        <v>-62276163.160269514</v>
      </c>
      <c r="H1096" s="20">
        <f>H1095-(Table1[[#This Row],[Payment amount]]-Table1[[#This Row],[Interest Paid W/O LSP]])</f>
        <v>-41563970.03978537</v>
      </c>
      <c r="I1096">
        <f>H1095*Table1[[#This Row],[Current mortgage rate]]</f>
        <v>-202807.33152466759</v>
      </c>
      <c r="J1096" s="25">
        <f>IF(Table1[[#This Row],[Month]]&gt;Table7[Amortization period (yrs)]*12,0,IF(Table1[[#This Row],[Month]]&lt;Table7[mortgage term (yrs)]*12,0,IF(Table1[[#This Row],[Month]]=Table7[mortgage term (yrs)]*12,-H$5,Table1[[#This Row],[Payment amount]]+B1096)))</f>
        <v>0</v>
      </c>
      <c r="R1096" s="1"/>
      <c r="S1096" s="1"/>
      <c r="T1096" s="7"/>
      <c r="U1096" s="11"/>
      <c r="V1096" s="21"/>
      <c r="W1096" s="5"/>
      <c r="X1096" s="20"/>
      <c r="Y1096" s="2"/>
      <c r="AJ1096" s="1"/>
      <c r="AK1096" s="1"/>
      <c r="AL1096" s="7"/>
      <c r="AM1096" s="11"/>
      <c r="AN1096" s="21"/>
      <c r="AO1096" s="5"/>
      <c r="AP1096" s="20"/>
      <c r="AQ1096" s="2"/>
    </row>
    <row r="1097" spans="1:43" x14ac:dyDescent="0.25">
      <c r="A1097" s="1">
        <v>1085</v>
      </c>
      <c r="B1097" s="1">
        <f t="shared" si="17"/>
        <v>0</v>
      </c>
      <c r="C1097" s="7">
        <f>G$12/-PV(Table7[Monthly mortgage rate], (12*Table7[Amortization period (yrs)]),1 )</f>
        <v>4377.9977174134756</v>
      </c>
      <c r="D1097" s="11">
        <f>IF(Table1[[#This Row],[Month]]&lt;=(12*Table7[mortgage term (yrs)]),Table7[Monthly mortgage rate],Table7[Monthly Exp Renewal Rate])</f>
        <v>4.9038466830562122E-3</v>
      </c>
      <c r="E1097" s="21">
        <f>Table1[[#This Row],[Current mortgage rate]]*G1096</f>
        <v>-305392.75614695513</v>
      </c>
      <c r="F1097" s="5">
        <f>Table1[[#This Row],[Payment amount]]-Table1[[#This Row],[Interest paid]]</f>
        <v>309770.7538643686</v>
      </c>
      <c r="G1097" s="20">
        <f>G1096-Table1[[#This Row],[Principal repaid]]-Table1[[#This Row],[Annual paym]]</f>
        <v>-62585933.914133884</v>
      </c>
      <c r="H1097" s="20">
        <f>H1096-(Table1[[#This Row],[Payment amount]]-Table1[[#This Row],[Interest Paid W/O LSP]])</f>
        <v>-41772171.374117032</v>
      </c>
      <c r="I1097">
        <f>H1096*Table1[[#This Row],[Current mortgage rate]]</f>
        <v>-203823.33661424927</v>
      </c>
      <c r="J1097" s="25">
        <f>IF(Table1[[#This Row],[Month]]&gt;Table7[Amortization period (yrs)]*12,0,IF(Table1[[#This Row],[Month]]&lt;Table7[mortgage term (yrs)]*12,0,IF(Table1[[#This Row],[Month]]=Table7[mortgage term (yrs)]*12,-H$5,Table1[[#This Row],[Payment amount]]+B1097)))</f>
        <v>0</v>
      </c>
      <c r="R1097" s="1"/>
      <c r="S1097" s="1"/>
      <c r="T1097" s="7"/>
      <c r="U1097" s="11"/>
      <c r="V1097" s="21"/>
      <c r="W1097" s="5"/>
      <c r="X1097" s="20"/>
      <c r="Y1097" s="2"/>
      <c r="AJ1097" s="1"/>
      <c r="AK1097" s="1"/>
      <c r="AL1097" s="7"/>
      <c r="AM1097" s="11"/>
      <c r="AN1097" s="21"/>
      <c r="AO1097" s="5"/>
      <c r="AP1097" s="20"/>
      <c r="AQ1097" s="2"/>
    </row>
    <row r="1098" spans="1:43" x14ac:dyDescent="0.25">
      <c r="A1098" s="1">
        <v>1086</v>
      </c>
      <c r="B1098" s="1">
        <f t="shared" si="17"/>
        <v>0</v>
      </c>
      <c r="C1098" s="7">
        <f>G$12/-PV(Table7[Monthly mortgage rate], (12*Table7[Amortization period (yrs)]),1 )</f>
        <v>4377.9977174134756</v>
      </c>
      <c r="D1098" s="11">
        <f>IF(Table1[[#This Row],[Month]]&lt;=(12*Table7[mortgage term (yrs)]),Table7[Monthly mortgage rate],Table7[Monthly Exp Renewal Rate])</f>
        <v>4.9038466830562122E-3</v>
      </c>
      <c r="E1098" s="21">
        <f>Table1[[#This Row],[Current mortgage rate]]*G1097</f>
        <v>-306911.82443080074</v>
      </c>
      <c r="F1098" s="5">
        <f>Table1[[#This Row],[Payment amount]]-Table1[[#This Row],[Interest paid]]</f>
        <v>311289.82214821421</v>
      </c>
      <c r="G1098" s="20">
        <f>G1097-Table1[[#This Row],[Principal repaid]]-Table1[[#This Row],[Annual paym]]</f>
        <v>-62897223.736282095</v>
      </c>
      <c r="H1098" s="20">
        <f>H1097-(Table1[[#This Row],[Payment amount]]-Table1[[#This Row],[Interest Paid W/O LSP]])</f>
        <v>-41981393.695871465</v>
      </c>
      <c r="I1098">
        <f>H1097*Table1[[#This Row],[Current mortgage rate]]</f>
        <v>-204844.32403701945</v>
      </c>
      <c r="J1098" s="25">
        <f>IF(Table1[[#This Row],[Month]]&gt;Table7[Amortization period (yrs)]*12,0,IF(Table1[[#This Row],[Month]]&lt;Table7[mortgage term (yrs)]*12,0,IF(Table1[[#This Row],[Month]]=Table7[mortgage term (yrs)]*12,-H$5,Table1[[#This Row],[Payment amount]]+B1098)))</f>
        <v>0</v>
      </c>
      <c r="R1098" s="1"/>
      <c r="S1098" s="1"/>
      <c r="T1098" s="7"/>
      <c r="U1098" s="11"/>
      <c r="V1098" s="21"/>
      <c r="W1098" s="5"/>
      <c r="X1098" s="20"/>
      <c r="Y1098" s="2"/>
      <c r="AJ1098" s="1"/>
      <c r="AK1098" s="1"/>
      <c r="AL1098" s="7"/>
      <c r="AM1098" s="11"/>
      <c r="AN1098" s="21"/>
      <c r="AO1098" s="5"/>
      <c r="AP1098" s="20"/>
      <c r="AQ1098" s="2"/>
    </row>
    <row r="1099" spans="1:43" x14ac:dyDescent="0.25">
      <c r="A1099" s="1">
        <v>1087</v>
      </c>
      <c r="B1099" s="1">
        <f t="shared" si="17"/>
        <v>0</v>
      </c>
      <c r="C1099" s="7">
        <f>G$12/-PV(Table7[Monthly mortgage rate], (12*Table7[Amortization period (yrs)]),1 )</f>
        <v>4377.9977174134756</v>
      </c>
      <c r="D1099" s="11">
        <f>IF(Table1[[#This Row],[Month]]&lt;=(12*Table7[mortgage term (yrs)]),Table7[Monthly mortgage rate],Table7[Monthly Exp Renewal Rate])</f>
        <v>4.9038466830562122E-3</v>
      </c>
      <c r="E1099" s="21">
        <f>Table1[[#This Row],[Current mortgage rate]]*G1098</f>
        <v>-308438.34199261141</v>
      </c>
      <c r="F1099" s="5">
        <f>Table1[[#This Row],[Payment amount]]-Table1[[#This Row],[Interest paid]]</f>
        <v>312816.33971002488</v>
      </c>
      <c r="G1099" s="20">
        <f>G1098-Table1[[#This Row],[Principal repaid]]-Table1[[#This Row],[Annual paym]]</f>
        <v>-63210040.075992122</v>
      </c>
      <c r="H1099" s="20">
        <f>H1098-(Table1[[#This Row],[Payment amount]]-Table1[[#This Row],[Interest Paid W/O LSP]])</f>
        <v>-42191642.011814453</v>
      </c>
      <c r="I1099">
        <f>H1098*Table1[[#This Row],[Current mortgage rate]]</f>
        <v>-205870.31822557625</v>
      </c>
      <c r="J1099" s="25">
        <f>IF(Table1[[#This Row],[Month]]&gt;Table7[Amortization period (yrs)]*12,0,IF(Table1[[#This Row],[Month]]&lt;Table7[mortgage term (yrs)]*12,0,IF(Table1[[#This Row],[Month]]=Table7[mortgage term (yrs)]*12,-H$5,Table1[[#This Row],[Payment amount]]+B1099)))</f>
        <v>0</v>
      </c>
      <c r="R1099" s="1"/>
      <c r="S1099" s="1"/>
      <c r="T1099" s="7"/>
      <c r="U1099" s="11"/>
      <c r="V1099" s="21"/>
      <c r="W1099" s="5"/>
      <c r="X1099" s="20"/>
      <c r="Y1099" s="2"/>
      <c r="AJ1099" s="1"/>
      <c r="AK1099" s="1"/>
      <c r="AL1099" s="7"/>
      <c r="AM1099" s="11"/>
      <c r="AN1099" s="21"/>
      <c r="AO1099" s="5"/>
      <c r="AP1099" s="20"/>
      <c r="AQ1099" s="2"/>
    </row>
    <row r="1100" spans="1:43" x14ac:dyDescent="0.25">
      <c r="A1100" s="1">
        <v>1088</v>
      </c>
      <c r="B1100" s="1">
        <f t="shared" si="17"/>
        <v>0</v>
      </c>
      <c r="C1100" s="7">
        <f>G$12/-PV(Table7[Monthly mortgage rate], (12*Table7[Amortization period (yrs)]),1 )</f>
        <v>4377.9977174134756</v>
      </c>
      <c r="D1100" s="11">
        <f>IF(Table1[[#This Row],[Month]]&lt;=(12*Table7[mortgage term (yrs)]),Table7[Monthly mortgage rate],Table7[Monthly Exp Renewal Rate])</f>
        <v>4.9038466830562122E-3</v>
      </c>
      <c r="E1100" s="21">
        <f>Table1[[#This Row],[Current mortgage rate]]*G1099</f>
        <v>-309972.34536250419</v>
      </c>
      <c r="F1100" s="5">
        <f>Table1[[#This Row],[Payment amount]]-Table1[[#This Row],[Interest paid]]</f>
        <v>314350.34307991766</v>
      </c>
      <c r="G1100" s="20">
        <f>G1099-Table1[[#This Row],[Principal repaid]]-Table1[[#This Row],[Annual paym]]</f>
        <v>-63524390.419072039</v>
      </c>
      <c r="H1100" s="20">
        <f>H1099-(Table1[[#This Row],[Payment amount]]-Table1[[#This Row],[Interest Paid W/O LSP]])</f>
        <v>-42402921.353264198</v>
      </c>
      <c r="I1100">
        <f>H1099*Table1[[#This Row],[Current mortgage rate]]</f>
        <v>-206901.34373233144</v>
      </c>
      <c r="J1100" s="25">
        <f>IF(Table1[[#This Row],[Month]]&gt;Table7[Amortization period (yrs)]*12,0,IF(Table1[[#This Row],[Month]]&lt;Table7[mortgage term (yrs)]*12,0,IF(Table1[[#This Row],[Month]]=Table7[mortgage term (yrs)]*12,-H$5,Table1[[#This Row],[Payment amount]]+B1100)))</f>
        <v>0</v>
      </c>
      <c r="R1100" s="1"/>
      <c r="S1100" s="1"/>
      <c r="T1100" s="7"/>
      <c r="U1100" s="11"/>
      <c r="V1100" s="21"/>
      <c r="W1100" s="5"/>
      <c r="X1100" s="20"/>
      <c r="Y1100" s="2"/>
      <c r="AJ1100" s="1"/>
      <c r="AK1100" s="1"/>
      <c r="AL1100" s="7"/>
      <c r="AM1100" s="11"/>
      <c r="AN1100" s="21"/>
      <c r="AO1100" s="5"/>
      <c r="AP1100" s="20"/>
      <c r="AQ1100" s="2"/>
    </row>
    <row r="1101" spans="1:43" x14ac:dyDescent="0.25">
      <c r="A1101" s="1">
        <v>1089</v>
      </c>
      <c r="B1101" s="1">
        <f t="shared" si="17"/>
        <v>0</v>
      </c>
      <c r="C1101" s="7">
        <f>G$12/-PV(Table7[Monthly mortgage rate], (12*Table7[Amortization period (yrs)]),1 )</f>
        <v>4377.9977174134756</v>
      </c>
      <c r="D1101" s="11">
        <f>IF(Table1[[#This Row],[Month]]&lt;=(12*Table7[mortgage term (yrs)]),Table7[Monthly mortgage rate],Table7[Monthly Exp Renewal Rate])</f>
        <v>4.9038466830562122E-3</v>
      </c>
      <c r="E1101" s="21">
        <f>Table1[[#This Row],[Current mortgage rate]]*G1100</f>
        <v>-311513.87124973425</v>
      </c>
      <c r="F1101" s="5">
        <f>Table1[[#This Row],[Payment amount]]-Table1[[#This Row],[Interest paid]]</f>
        <v>315891.86896714772</v>
      </c>
      <c r="G1101" s="20">
        <f>G1100-Table1[[#This Row],[Principal repaid]]-Table1[[#This Row],[Annual paym]]</f>
        <v>-63840282.288039185</v>
      </c>
      <c r="H1101" s="20">
        <f>H1100-(Table1[[#This Row],[Payment amount]]-Table1[[#This Row],[Interest Paid W/O LSP]])</f>
        <v>-42615236.776211709</v>
      </c>
      <c r="I1101">
        <f>H1100*Table1[[#This Row],[Current mortgage rate]]</f>
        <v>-207937.42523009807</v>
      </c>
      <c r="J1101" s="25">
        <f>IF(Table1[[#This Row],[Month]]&gt;Table7[Amortization period (yrs)]*12,0,IF(Table1[[#This Row],[Month]]&lt;Table7[mortgage term (yrs)]*12,0,IF(Table1[[#This Row],[Month]]=Table7[mortgage term (yrs)]*12,-H$5,Table1[[#This Row],[Payment amount]]+B1101)))</f>
        <v>0</v>
      </c>
      <c r="R1101" s="1"/>
      <c r="S1101" s="1"/>
      <c r="T1101" s="7"/>
      <c r="U1101" s="11"/>
      <c r="V1101" s="21"/>
      <c r="W1101" s="5"/>
      <c r="X1101" s="20"/>
      <c r="Y1101" s="2"/>
      <c r="AJ1101" s="1"/>
      <c r="AK1101" s="1"/>
      <c r="AL1101" s="7"/>
      <c r="AM1101" s="11"/>
      <c r="AN1101" s="21"/>
      <c r="AO1101" s="5"/>
      <c r="AP1101" s="20"/>
      <c r="AQ1101" s="2"/>
    </row>
    <row r="1102" spans="1:43" x14ac:dyDescent="0.25">
      <c r="A1102" s="1">
        <v>1090</v>
      </c>
      <c r="B1102" s="1">
        <f t="shared" ref="B1102:B1128" si="18">O1101</f>
        <v>0</v>
      </c>
      <c r="C1102" s="7">
        <f>G$12/-PV(Table7[Monthly mortgage rate], (12*Table7[Amortization period (yrs)]),1 )</f>
        <v>4377.9977174134756</v>
      </c>
      <c r="D1102" s="11">
        <f>IF(Table1[[#This Row],[Month]]&lt;=(12*Table7[mortgage term (yrs)]),Table7[Monthly mortgage rate],Table7[Monthly Exp Renewal Rate])</f>
        <v>4.9038466830562122E-3</v>
      </c>
      <c r="E1102" s="21">
        <f>Table1[[#This Row],[Current mortgage rate]]*G1101</f>
        <v>-313062.95654357324</v>
      </c>
      <c r="F1102" s="5">
        <f>Table1[[#This Row],[Payment amount]]-Table1[[#This Row],[Interest paid]]</f>
        <v>317440.95426098671</v>
      </c>
      <c r="G1102" s="20">
        <f>G1101-Table1[[#This Row],[Principal repaid]]-Table1[[#This Row],[Annual paym]]</f>
        <v>-64157723.242300175</v>
      </c>
      <c r="H1102" s="20">
        <f>H1101-(Table1[[#This Row],[Payment amount]]-Table1[[#This Row],[Interest Paid W/O LSP]])</f>
        <v>-42828593.361441806</v>
      </c>
      <c r="I1102">
        <f>H1101*Table1[[#This Row],[Current mortgage rate]]</f>
        <v>-208978.58751268091</v>
      </c>
      <c r="J1102" s="25">
        <f>IF(Table1[[#This Row],[Month]]&gt;Table7[Amortization period (yrs)]*12,0,IF(Table1[[#This Row],[Month]]&lt;Table7[mortgage term (yrs)]*12,0,IF(Table1[[#This Row],[Month]]=Table7[mortgage term (yrs)]*12,-H$5,Table1[[#This Row],[Payment amount]]+B1102)))</f>
        <v>0</v>
      </c>
      <c r="R1102" s="1"/>
      <c r="S1102" s="1"/>
      <c r="T1102" s="7"/>
      <c r="U1102" s="11"/>
      <c r="V1102" s="21"/>
      <c r="W1102" s="5"/>
      <c r="X1102" s="20"/>
      <c r="Y1102" s="2"/>
      <c r="AJ1102" s="1"/>
      <c r="AK1102" s="1"/>
      <c r="AL1102" s="7"/>
      <c r="AM1102" s="11"/>
      <c r="AN1102" s="21"/>
      <c r="AO1102" s="5"/>
      <c r="AP1102" s="20"/>
      <c r="AQ1102" s="2"/>
    </row>
    <row r="1103" spans="1:43" x14ac:dyDescent="0.25">
      <c r="A1103" s="1">
        <v>1091</v>
      </c>
      <c r="B1103" s="1">
        <f t="shared" si="18"/>
        <v>0</v>
      </c>
      <c r="C1103" s="7">
        <f>G$12/-PV(Table7[Monthly mortgage rate], (12*Table7[Amortization period (yrs)]),1 )</f>
        <v>4377.9977174134756</v>
      </c>
      <c r="D1103" s="11">
        <f>IF(Table1[[#This Row],[Month]]&lt;=(12*Table7[mortgage term (yrs)]),Table7[Monthly mortgage rate],Table7[Monthly Exp Renewal Rate])</f>
        <v>4.9038466830562122E-3</v>
      </c>
      <c r="E1103" s="21">
        <f>Table1[[#This Row],[Current mortgage rate]]*G1102</f>
        <v>-314619.63831419218</v>
      </c>
      <c r="F1103" s="5">
        <f>Table1[[#This Row],[Payment amount]]-Table1[[#This Row],[Interest paid]]</f>
        <v>318997.63603160565</v>
      </c>
      <c r="G1103" s="20">
        <f>G1102-Table1[[#This Row],[Principal repaid]]-Table1[[#This Row],[Annual paym]]</f>
        <v>-64476720.87833178</v>
      </c>
      <c r="H1103" s="20">
        <f>H1102-(Table1[[#This Row],[Payment amount]]-Table1[[#This Row],[Interest Paid W/O LSP]])</f>
        <v>-43042996.214654692</v>
      </c>
      <c r="I1103">
        <f>H1102*Table1[[#This Row],[Current mortgage rate]]</f>
        <v>-210024.8554954697</v>
      </c>
      <c r="J1103" s="25">
        <f>IF(Table1[[#This Row],[Month]]&gt;Table7[Amortization period (yrs)]*12,0,IF(Table1[[#This Row],[Month]]&lt;Table7[mortgage term (yrs)]*12,0,IF(Table1[[#This Row],[Month]]=Table7[mortgage term (yrs)]*12,-H$5,Table1[[#This Row],[Payment amount]]+B1103)))</f>
        <v>0</v>
      </c>
      <c r="R1103" s="1"/>
      <c r="S1103" s="1"/>
      <c r="T1103" s="7"/>
      <c r="U1103" s="11"/>
      <c r="V1103" s="21"/>
      <c r="W1103" s="5"/>
      <c r="X1103" s="20"/>
      <c r="Y1103" s="2"/>
      <c r="AJ1103" s="1"/>
      <c r="AK1103" s="1"/>
      <c r="AL1103" s="7"/>
      <c r="AM1103" s="11"/>
      <c r="AN1103" s="21"/>
      <c r="AO1103" s="5"/>
      <c r="AP1103" s="20"/>
      <c r="AQ1103" s="2"/>
    </row>
    <row r="1104" spans="1:43" x14ac:dyDescent="0.25">
      <c r="A1104" s="1">
        <v>1092</v>
      </c>
      <c r="B1104" s="1">
        <f t="shared" si="18"/>
        <v>0</v>
      </c>
      <c r="C1104" s="7">
        <f>G$12/-PV(Table7[Monthly mortgage rate], (12*Table7[Amortization period (yrs)]),1 )</f>
        <v>4377.9977174134756</v>
      </c>
      <c r="D1104" s="11">
        <f>IF(Table1[[#This Row],[Month]]&lt;=(12*Table7[mortgage term (yrs)]),Table7[Monthly mortgage rate],Table7[Monthly Exp Renewal Rate])</f>
        <v>4.9038466830562122E-3</v>
      </c>
      <c r="E1104" s="21">
        <f>Table1[[#This Row],[Current mortgage rate]]*G1103</f>
        <v>-316183.95381354855</v>
      </c>
      <c r="F1104" s="5">
        <f>Table1[[#This Row],[Payment amount]]-Table1[[#This Row],[Interest paid]]</f>
        <v>320561.95153096202</v>
      </c>
      <c r="G1104" s="20">
        <f>G1103-Table1[[#This Row],[Principal repaid]]-Table1[[#This Row],[Annual paym]]</f>
        <v>-64797282.829862744</v>
      </c>
      <c r="H1104" s="20">
        <f>H1103-(Table1[[#This Row],[Payment amount]]-Table1[[#This Row],[Interest Paid W/O LSP]])</f>
        <v>-43258450.46658814</v>
      </c>
      <c r="I1104">
        <f>H1103*Table1[[#This Row],[Current mortgage rate]]</f>
        <v>-211076.25421603551</v>
      </c>
      <c r="J1104" s="25">
        <f>IF(Table1[[#This Row],[Month]]&gt;Table7[Amortization period (yrs)]*12,0,IF(Table1[[#This Row],[Month]]&lt;Table7[mortgage term (yrs)]*12,0,IF(Table1[[#This Row],[Month]]=Table7[mortgage term (yrs)]*12,-H$5,Table1[[#This Row],[Payment amount]]+B1104)))</f>
        <v>0</v>
      </c>
      <c r="R1104" s="1"/>
      <c r="S1104" s="1"/>
      <c r="T1104" s="7"/>
      <c r="U1104" s="11"/>
      <c r="V1104" s="21"/>
      <c r="W1104" s="5"/>
      <c r="X1104" s="20"/>
      <c r="Y1104" s="2"/>
      <c r="AJ1104" s="1"/>
      <c r="AK1104" s="1"/>
      <c r="AL1104" s="7"/>
      <c r="AM1104" s="11"/>
      <c r="AN1104" s="21"/>
      <c r="AO1104" s="5"/>
      <c r="AP1104" s="20"/>
      <c r="AQ1104" s="2"/>
    </row>
    <row r="1105" spans="1:43" x14ac:dyDescent="0.25">
      <c r="A1105" s="1">
        <v>1093</v>
      </c>
      <c r="B1105" s="1">
        <f t="shared" si="18"/>
        <v>0</v>
      </c>
      <c r="C1105" s="7">
        <f>G$12/-PV(Table7[Monthly mortgage rate], (12*Table7[Amortization period (yrs)]),1 )</f>
        <v>4377.9977174134756</v>
      </c>
      <c r="D1105" s="11">
        <f>IF(Table1[[#This Row],[Month]]&lt;=(12*Table7[mortgage term (yrs)]),Table7[Monthly mortgage rate],Table7[Monthly Exp Renewal Rate])</f>
        <v>4.9038466830562122E-3</v>
      </c>
      <c r="E1105" s="21">
        <f>Table1[[#This Row],[Current mortgage rate]]*G1104</f>
        <v>-317755.94047627767</v>
      </c>
      <c r="F1105" s="5">
        <f>Table1[[#This Row],[Payment amount]]-Table1[[#This Row],[Interest paid]]</f>
        <v>322133.93819369114</v>
      </c>
      <c r="G1105" s="20">
        <f>G1104-Table1[[#This Row],[Principal repaid]]-Table1[[#This Row],[Annual paym]]</f>
        <v>-65119416.768056437</v>
      </c>
      <c r="H1105" s="20">
        <f>H1104-(Table1[[#This Row],[Payment amount]]-Table1[[#This Row],[Interest Paid W/O LSP]])</f>
        <v>-43474961.273140281</v>
      </c>
      <c r="I1105">
        <f>H1104*Table1[[#This Row],[Current mortgage rate]]</f>
        <v>-212132.80883472972</v>
      </c>
      <c r="J1105" s="25">
        <f>IF(Table1[[#This Row],[Month]]&gt;Table7[Amortization period (yrs)]*12,0,IF(Table1[[#This Row],[Month]]&lt;Table7[mortgage term (yrs)]*12,0,IF(Table1[[#This Row],[Month]]=Table7[mortgage term (yrs)]*12,-H$5,Table1[[#This Row],[Payment amount]]+B1105)))</f>
        <v>0</v>
      </c>
      <c r="R1105" s="1"/>
      <c r="S1105" s="1"/>
      <c r="T1105" s="7"/>
      <c r="U1105" s="11"/>
      <c r="V1105" s="21"/>
      <c r="W1105" s="5"/>
      <c r="X1105" s="20"/>
      <c r="Y1105" s="2"/>
      <c r="AJ1105" s="1"/>
      <c r="AK1105" s="1"/>
      <c r="AL1105" s="7"/>
      <c r="AM1105" s="11"/>
      <c r="AN1105" s="21"/>
      <c r="AO1105" s="5"/>
      <c r="AP1105" s="20"/>
      <c r="AQ1105" s="2"/>
    </row>
    <row r="1106" spans="1:43" x14ac:dyDescent="0.25">
      <c r="A1106" s="1">
        <v>1094</v>
      </c>
      <c r="B1106" s="1">
        <f t="shared" si="18"/>
        <v>0</v>
      </c>
      <c r="C1106" s="7">
        <f>G$12/-PV(Table7[Monthly mortgage rate], (12*Table7[Amortization period (yrs)]),1 )</f>
        <v>4377.9977174134756</v>
      </c>
      <c r="D1106" s="11">
        <f>IF(Table1[[#This Row],[Month]]&lt;=(12*Table7[mortgage term (yrs)]),Table7[Monthly mortgage rate],Table7[Monthly Exp Renewal Rate])</f>
        <v>4.9038466830562122E-3</v>
      </c>
      <c r="E1106" s="21">
        <f>Table1[[#This Row],[Current mortgage rate]]*G1105</f>
        <v>-319335.63592058863</v>
      </c>
      <c r="F1106" s="5">
        <f>Table1[[#This Row],[Payment amount]]-Table1[[#This Row],[Interest paid]]</f>
        <v>323713.63363800209</v>
      </c>
      <c r="G1106" s="20">
        <f>G1105-Table1[[#This Row],[Principal repaid]]-Table1[[#This Row],[Annual paym]]</f>
        <v>-65443130.401694439</v>
      </c>
      <c r="H1106" s="20">
        <f>H1105-(Table1[[#This Row],[Payment amount]]-Table1[[#This Row],[Interest Paid W/O LSP]])</f>
        <v>-43692533.81549298</v>
      </c>
      <c r="I1106">
        <f>H1105*Table1[[#This Row],[Current mortgage rate]]</f>
        <v>-213194.54463528623</v>
      </c>
      <c r="J1106" s="25">
        <f>IF(Table1[[#This Row],[Month]]&gt;Table7[Amortization period (yrs)]*12,0,IF(Table1[[#This Row],[Month]]&lt;Table7[mortgage term (yrs)]*12,0,IF(Table1[[#This Row],[Month]]=Table7[mortgage term (yrs)]*12,-H$5,Table1[[#This Row],[Payment amount]]+B1106)))</f>
        <v>0</v>
      </c>
      <c r="R1106" s="1"/>
      <c r="S1106" s="1"/>
      <c r="T1106" s="7"/>
      <c r="U1106" s="11"/>
      <c r="V1106" s="21"/>
      <c r="W1106" s="5"/>
      <c r="X1106" s="20"/>
      <c r="Y1106" s="2"/>
      <c r="AJ1106" s="1"/>
      <c r="AK1106" s="1"/>
      <c r="AL1106" s="7"/>
      <c r="AM1106" s="11"/>
      <c r="AN1106" s="21"/>
      <c r="AO1106" s="5"/>
      <c r="AP1106" s="20"/>
      <c r="AQ1106" s="2"/>
    </row>
    <row r="1107" spans="1:43" x14ac:dyDescent="0.25">
      <c r="A1107" s="1">
        <v>1095</v>
      </c>
      <c r="B1107" s="1">
        <f t="shared" si="18"/>
        <v>0</v>
      </c>
      <c r="C1107" s="7">
        <f>G$12/-PV(Table7[Monthly mortgage rate], (12*Table7[Amortization period (yrs)]),1 )</f>
        <v>4377.9977174134756</v>
      </c>
      <c r="D1107" s="11">
        <f>IF(Table1[[#This Row],[Month]]&lt;=(12*Table7[mortgage term (yrs)]),Table7[Monthly mortgage rate],Table7[Monthly Exp Renewal Rate])</f>
        <v>4.9038466830562122E-3</v>
      </c>
      <c r="E1107" s="21">
        <f>Table1[[#This Row],[Current mortgage rate]]*G1106</f>
        <v>-320923.07794916444</v>
      </c>
      <c r="F1107" s="5">
        <f>Table1[[#This Row],[Payment amount]]-Table1[[#This Row],[Interest paid]]</f>
        <v>325301.0756665779</v>
      </c>
      <c r="G1107" s="20">
        <f>G1106-Table1[[#This Row],[Principal repaid]]-Table1[[#This Row],[Annual paym]]</f>
        <v>-65768431.477361016</v>
      </c>
      <c r="H1107" s="20">
        <f>H1106-(Table1[[#This Row],[Payment amount]]-Table1[[#This Row],[Interest Paid W/O LSP]])</f>
        <v>-43911173.300235823</v>
      </c>
      <c r="I1107">
        <f>H1106*Table1[[#This Row],[Current mortgage rate]]</f>
        <v>-214261.48702542664</v>
      </c>
      <c r="J1107" s="25">
        <f>IF(Table1[[#This Row],[Month]]&gt;Table7[Amortization period (yrs)]*12,0,IF(Table1[[#This Row],[Month]]&lt;Table7[mortgage term (yrs)]*12,0,IF(Table1[[#This Row],[Month]]=Table7[mortgage term (yrs)]*12,-H$5,Table1[[#This Row],[Payment amount]]+B1107)))</f>
        <v>0</v>
      </c>
      <c r="R1107" s="1"/>
      <c r="S1107" s="1"/>
      <c r="T1107" s="7"/>
      <c r="U1107" s="11"/>
      <c r="V1107" s="21"/>
      <c r="W1107" s="5"/>
      <c r="X1107" s="20"/>
      <c r="Y1107" s="2"/>
      <c r="AJ1107" s="1"/>
      <c r="AK1107" s="1"/>
      <c r="AL1107" s="7"/>
      <c r="AM1107" s="11"/>
      <c r="AN1107" s="21"/>
      <c r="AO1107" s="5"/>
      <c r="AP1107" s="20"/>
      <c r="AQ1107" s="2"/>
    </row>
    <row r="1108" spans="1:43" x14ac:dyDescent="0.25">
      <c r="A1108" s="1">
        <v>1096</v>
      </c>
      <c r="B1108" s="1">
        <f t="shared" si="18"/>
        <v>0</v>
      </c>
      <c r="C1108" s="7">
        <f>G$12/-PV(Table7[Monthly mortgage rate], (12*Table7[Amortization period (yrs)]),1 )</f>
        <v>4377.9977174134756</v>
      </c>
      <c r="D1108" s="11">
        <f>IF(Table1[[#This Row],[Month]]&lt;=(12*Table7[mortgage term (yrs)]),Table7[Monthly mortgage rate],Table7[Monthly Exp Renewal Rate])</f>
        <v>4.9038466830562122E-3</v>
      </c>
      <c r="E1108" s="21">
        <f>Table1[[#This Row],[Current mortgage rate]]*G1107</f>
        <v>-322518.30455006659</v>
      </c>
      <c r="F1108" s="5">
        <f>Table1[[#This Row],[Payment amount]]-Table1[[#This Row],[Interest paid]]</f>
        <v>326896.30226748006</v>
      </c>
      <c r="G1108" s="20">
        <f>G1107-Table1[[#This Row],[Principal repaid]]-Table1[[#This Row],[Annual paym]]</f>
        <v>-66095327.779628493</v>
      </c>
      <c r="H1108" s="20">
        <f>H1107-(Table1[[#This Row],[Payment amount]]-Table1[[#This Row],[Interest Paid W/O LSP]])</f>
        <v>-44130884.959490702</v>
      </c>
      <c r="I1108">
        <f>H1107*Table1[[#This Row],[Current mortgage rate]]</f>
        <v>-215333.66153746794</v>
      </c>
      <c r="J1108" s="25">
        <f>IF(Table1[[#This Row],[Month]]&gt;Table7[Amortization period (yrs)]*12,0,IF(Table1[[#This Row],[Month]]&lt;Table7[mortgage term (yrs)]*12,0,IF(Table1[[#This Row],[Month]]=Table7[mortgage term (yrs)]*12,-H$5,Table1[[#This Row],[Payment amount]]+B1108)))</f>
        <v>0</v>
      </c>
      <c r="R1108" s="1"/>
      <c r="S1108" s="1"/>
      <c r="T1108" s="7"/>
      <c r="U1108" s="11"/>
      <c r="V1108" s="21"/>
      <c r="W1108" s="5"/>
      <c r="X1108" s="20"/>
      <c r="Y1108" s="2"/>
      <c r="AJ1108" s="1"/>
      <c r="AK1108" s="1"/>
      <c r="AL1108" s="7"/>
      <c r="AM1108" s="11"/>
      <c r="AN1108" s="21"/>
      <c r="AO1108" s="5"/>
      <c r="AP1108" s="20"/>
      <c r="AQ1108" s="2"/>
    </row>
    <row r="1109" spans="1:43" x14ac:dyDescent="0.25">
      <c r="A1109" s="1">
        <v>1097</v>
      </c>
      <c r="B1109" s="1">
        <f t="shared" si="18"/>
        <v>0</v>
      </c>
      <c r="C1109" s="7">
        <f>G$12/-PV(Table7[Monthly mortgage rate], (12*Table7[Amortization period (yrs)]),1 )</f>
        <v>4377.9977174134756</v>
      </c>
      <c r="D1109" s="11">
        <f>IF(Table1[[#This Row],[Month]]&lt;=(12*Table7[mortgage term (yrs)]),Table7[Monthly mortgage rate],Table7[Monthly Exp Renewal Rate])</f>
        <v>4.9038466830562122E-3</v>
      </c>
      <c r="E1109" s="21">
        <f>Table1[[#This Row],[Current mortgage rate]]*G1108</f>
        <v>-324121.35389764432</v>
      </c>
      <c r="F1109" s="5">
        <f>Table1[[#This Row],[Payment amount]]-Table1[[#This Row],[Interest paid]]</f>
        <v>328499.35161505779</v>
      </c>
      <c r="G1109" s="20">
        <f>G1108-Table1[[#This Row],[Principal repaid]]-Table1[[#This Row],[Annual paym]]</f>
        <v>-66423827.131243549</v>
      </c>
      <c r="H1109" s="20">
        <f>H1108-(Table1[[#This Row],[Payment amount]]-Table1[[#This Row],[Interest Paid W/O LSP]])</f>
        <v>-44351674.051037051</v>
      </c>
      <c r="I1109">
        <f>H1108*Table1[[#This Row],[Current mortgage rate]]</f>
        <v>-216411.09382893375</v>
      </c>
      <c r="J1109" s="25">
        <f>IF(Table1[[#This Row],[Month]]&gt;Table7[Amortization period (yrs)]*12,0,IF(Table1[[#This Row],[Month]]&lt;Table7[mortgage term (yrs)]*12,0,IF(Table1[[#This Row],[Month]]=Table7[mortgage term (yrs)]*12,-H$5,Table1[[#This Row],[Payment amount]]+B1109)))</f>
        <v>0</v>
      </c>
      <c r="R1109" s="1"/>
      <c r="S1109" s="1"/>
      <c r="T1109" s="7"/>
      <c r="U1109" s="11"/>
      <c r="V1109" s="21"/>
      <c r="W1109" s="5"/>
      <c r="X1109" s="20"/>
      <c r="Y1109" s="2"/>
      <c r="AJ1109" s="1"/>
      <c r="AK1109" s="1"/>
      <c r="AL1109" s="7"/>
      <c r="AM1109" s="11"/>
      <c r="AN1109" s="21"/>
      <c r="AO1109" s="5"/>
      <c r="AP1109" s="20"/>
      <c r="AQ1109" s="2"/>
    </row>
    <row r="1110" spans="1:43" x14ac:dyDescent="0.25">
      <c r="A1110" s="1">
        <v>1098</v>
      </c>
      <c r="B1110" s="1">
        <f t="shared" si="18"/>
        <v>0</v>
      </c>
      <c r="C1110" s="7">
        <f>G$12/-PV(Table7[Monthly mortgage rate], (12*Table7[Amortization period (yrs)]),1 )</f>
        <v>4377.9977174134756</v>
      </c>
      <c r="D1110" s="11">
        <f>IF(Table1[[#This Row],[Month]]&lt;=(12*Table7[mortgage term (yrs)]),Table7[Monthly mortgage rate],Table7[Monthly Exp Renewal Rate])</f>
        <v>4.9038466830562122E-3</v>
      </c>
      <c r="E1110" s="21">
        <f>Table1[[#This Row],[Current mortgage rate]]*G1109</f>
        <v>-325732.26435344788</v>
      </c>
      <c r="F1110" s="5">
        <f>Table1[[#This Row],[Payment amount]]-Table1[[#This Row],[Interest paid]]</f>
        <v>330110.26207086135</v>
      </c>
      <c r="G1110" s="20">
        <f>G1109-Table1[[#This Row],[Principal repaid]]-Table1[[#This Row],[Annual paym]]</f>
        <v>-66753937.393314414</v>
      </c>
      <c r="H1110" s="20">
        <f>H1109-(Table1[[#This Row],[Payment amount]]-Table1[[#This Row],[Interest Paid W/O LSP]])</f>
        <v>-44573545.858437635</v>
      </c>
      <c r="I1110">
        <f>H1109*Table1[[#This Row],[Current mortgage rate]]</f>
        <v>-217493.80968316831</v>
      </c>
      <c r="J1110" s="25">
        <f>IF(Table1[[#This Row],[Month]]&gt;Table7[Amortization period (yrs)]*12,0,IF(Table1[[#This Row],[Month]]&lt;Table7[mortgage term (yrs)]*12,0,IF(Table1[[#This Row],[Month]]=Table7[mortgage term (yrs)]*12,-H$5,Table1[[#This Row],[Payment amount]]+B1110)))</f>
        <v>0</v>
      </c>
      <c r="R1110" s="1"/>
      <c r="S1110" s="1"/>
      <c r="T1110" s="7"/>
      <c r="U1110" s="11"/>
      <c r="V1110" s="21"/>
      <c r="W1110" s="5"/>
      <c r="X1110" s="20"/>
      <c r="Y1110" s="2"/>
      <c r="AJ1110" s="1"/>
      <c r="AK1110" s="1"/>
      <c r="AL1110" s="7"/>
      <c r="AM1110" s="11"/>
      <c r="AN1110" s="21"/>
      <c r="AO1110" s="5"/>
      <c r="AP1110" s="20"/>
      <c r="AQ1110" s="2"/>
    </row>
    <row r="1111" spans="1:43" x14ac:dyDescent="0.25">
      <c r="A1111" s="1">
        <v>1099</v>
      </c>
      <c r="B1111" s="1">
        <f t="shared" si="18"/>
        <v>0</v>
      </c>
      <c r="C1111" s="7">
        <f>G$12/-PV(Table7[Monthly mortgage rate], (12*Table7[Amortization period (yrs)]),1 )</f>
        <v>4377.9977174134756</v>
      </c>
      <c r="D1111" s="11">
        <f>IF(Table1[[#This Row],[Month]]&lt;=(12*Table7[mortgage term (yrs)]),Table7[Monthly mortgage rate],Table7[Monthly Exp Renewal Rate])</f>
        <v>4.9038466830562122E-3</v>
      </c>
      <c r="E1111" s="21">
        <f>Table1[[#This Row],[Current mortgage rate]]*G1110</f>
        <v>-327351.07446714694</v>
      </c>
      <c r="F1111" s="5">
        <f>Table1[[#This Row],[Payment amount]]-Table1[[#This Row],[Interest paid]]</f>
        <v>331729.07218456041</v>
      </c>
      <c r="G1111" s="20">
        <f>G1110-Table1[[#This Row],[Principal repaid]]-Table1[[#This Row],[Annual paym]]</f>
        <v>-67085666.465498976</v>
      </c>
      <c r="H1111" s="20">
        <f>H1110-(Table1[[#This Row],[Payment amount]]-Table1[[#This Row],[Interest Paid W/O LSP]])</f>
        <v>-44796505.691165</v>
      </c>
      <c r="I1111">
        <f>H1110*Table1[[#This Row],[Current mortgage rate]]</f>
        <v>-218581.83500995336</v>
      </c>
      <c r="J1111" s="25">
        <f>IF(Table1[[#This Row],[Month]]&gt;Table7[Amortization period (yrs)]*12,0,IF(Table1[[#This Row],[Month]]&lt;Table7[mortgage term (yrs)]*12,0,IF(Table1[[#This Row],[Month]]=Table7[mortgage term (yrs)]*12,-H$5,Table1[[#This Row],[Payment amount]]+B1111)))</f>
        <v>0</v>
      </c>
      <c r="R1111" s="1"/>
      <c r="S1111" s="1"/>
      <c r="T1111" s="7"/>
      <c r="U1111" s="11"/>
      <c r="V1111" s="21"/>
      <c r="W1111" s="5"/>
      <c r="X1111" s="20"/>
      <c r="Y1111" s="2"/>
      <c r="AJ1111" s="1"/>
      <c r="AK1111" s="1"/>
      <c r="AL1111" s="7"/>
      <c r="AM1111" s="11"/>
      <c r="AN1111" s="21"/>
      <c r="AO1111" s="5"/>
      <c r="AP1111" s="20"/>
      <c r="AQ1111" s="2"/>
    </row>
    <row r="1112" spans="1:43" x14ac:dyDescent="0.25">
      <c r="A1112" s="1">
        <v>1100</v>
      </c>
      <c r="B1112" s="1">
        <f t="shared" si="18"/>
        <v>0</v>
      </c>
      <c r="C1112" s="7">
        <f>G$12/-PV(Table7[Monthly mortgage rate], (12*Table7[Amortization period (yrs)]),1 )</f>
        <v>4377.9977174134756</v>
      </c>
      <c r="D1112" s="11">
        <f>IF(Table1[[#This Row],[Month]]&lt;=(12*Table7[mortgage term (yrs)]),Table7[Monthly mortgage rate],Table7[Monthly Exp Renewal Rate])</f>
        <v>4.9038466830562122E-3</v>
      </c>
      <c r="E1112" s="21">
        <f>Table1[[#This Row],[Current mortgage rate]]*G1111</f>
        <v>-328977.82297745254</v>
      </c>
      <c r="F1112" s="5">
        <f>Table1[[#This Row],[Payment amount]]-Table1[[#This Row],[Interest paid]]</f>
        <v>333355.82069486601</v>
      </c>
      <c r="G1112" s="20">
        <f>G1111-Table1[[#This Row],[Principal repaid]]-Table1[[#This Row],[Annual paym]]</f>
        <v>-67419022.286193848</v>
      </c>
      <c r="H1112" s="20">
        <f>H1111-(Table1[[#This Row],[Payment amount]]-Table1[[#This Row],[Interest Paid W/O LSP]])</f>
        <v>-45020558.884728543</v>
      </c>
      <c r="I1112">
        <f>H1111*Table1[[#This Row],[Current mortgage rate]]</f>
        <v>-219675.19584612822</v>
      </c>
      <c r="J1112" s="25">
        <f>IF(Table1[[#This Row],[Month]]&gt;Table7[Amortization period (yrs)]*12,0,IF(Table1[[#This Row],[Month]]&lt;Table7[mortgage term (yrs)]*12,0,IF(Table1[[#This Row],[Month]]=Table7[mortgage term (yrs)]*12,-H$5,Table1[[#This Row],[Payment amount]]+B1112)))</f>
        <v>0</v>
      </c>
      <c r="R1112" s="1"/>
      <c r="S1112" s="1"/>
      <c r="T1112" s="7"/>
      <c r="U1112" s="11"/>
      <c r="V1112" s="21"/>
      <c r="W1112" s="5"/>
      <c r="X1112" s="20"/>
      <c r="Y1112" s="2"/>
      <c r="AJ1112" s="1"/>
      <c r="AK1112" s="1"/>
      <c r="AL1112" s="7"/>
      <c r="AM1112" s="11"/>
      <c r="AN1112" s="21"/>
      <c r="AO1112" s="5"/>
      <c r="AP1112" s="20"/>
      <c r="AQ1112" s="2"/>
    </row>
    <row r="1113" spans="1:43" x14ac:dyDescent="0.25">
      <c r="A1113" s="1">
        <v>1101</v>
      </c>
      <c r="B1113" s="1">
        <f t="shared" si="18"/>
        <v>0</v>
      </c>
      <c r="C1113" s="7">
        <f>G$12/-PV(Table7[Monthly mortgage rate], (12*Table7[Amortization period (yrs)]),1 )</f>
        <v>4377.9977174134756</v>
      </c>
      <c r="D1113" s="11">
        <f>IF(Table1[[#This Row],[Month]]&lt;=(12*Table7[mortgage term (yrs)]),Table7[Monthly mortgage rate],Table7[Monthly Exp Renewal Rate])</f>
        <v>4.9038466830562122E-3</v>
      </c>
      <c r="E1113" s="21">
        <f>Table1[[#This Row],[Current mortgage rate]]*G1112</f>
        <v>-330612.54881304456</v>
      </c>
      <c r="F1113" s="5">
        <f>Table1[[#This Row],[Payment amount]]-Table1[[#This Row],[Interest paid]]</f>
        <v>334990.54653045803</v>
      </c>
      <c r="G1113" s="20">
        <f>G1112-Table1[[#This Row],[Principal repaid]]-Table1[[#This Row],[Annual paym]]</f>
        <v>-67754012.832724303</v>
      </c>
      <c r="H1113" s="20">
        <f>H1112-(Table1[[#This Row],[Payment amount]]-Table1[[#This Row],[Interest Paid W/O LSP]])</f>
        <v>-45245710.800802171</v>
      </c>
      <c r="I1113">
        <f>H1112*Table1[[#This Row],[Current mortgage rate]]</f>
        <v>-220773.91835621296</v>
      </c>
      <c r="J1113" s="25">
        <f>IF(Table1[[#This Row],[Month]]&gt;Table7[Amortization period (yrs)]*12,0,IF(Table1[[#This Row],[Month]]&lt;Table7[mortgage term (yrs)]*12,0,IF(Table1[[#This Row],[Month]]=Table7[mortgage term (yrs)]*12,-H$5,Table1[[#This Row],[Payment amount]]+B1113)))</f>
        <v>0</v>
      </c>
      <c r="R1113" s="1"/>
      <c r="S1113" s="1"/>
      <c r="T1113" s="7"/>
      <c r="U1113" s="11"/>
      <c r="V1113" s="21"/>
      <c r="W1113" s="5"/>
      <c r="X1113" s="20"/>
      <c r="Y1113" s="2"/>
      <c r="AJ1113" s="1"/>
      <c r="AK1113" s="1"/>
      <c r="AL1113" s="7"/>
      <c r="AM1113" s="11"/>
      <c r="AN1113" s="21"/>
      <c r="AO1113" s="5"/>
      <c r="AP1113" s="20"/>
      <c r="AQ1113" s="2"/>
    </row>
    <row r="1114" spans="1:43" x14ac:dyDescent="0.25">
      <c r="A1114" s="1">
        <v>1102</v>
      </c>
      <c r="B1114" s="1">
        <f t="shared" si="18"/>
        <v>0</v>
      </c>
      <c r="C1114" s="7">
        <f>G$12/-PV(Table7[Monthly mortgage rate], (12*Table7[Amortization period (yrs)]),1 )</f>
        <v>4377.9977174134756</v>
      </c>
      <c r="D1114" s="11">
        <f>IF(Table1[[#This Row],[Month]]&lt;=(12*Table7[mortgage term (yrs)]),Table7[Monthly mortgage rate],Table7[Monthly Exp Renewal Rate])</f>
        <v>4.9038466830562122E-3</v>
      </c>
      <c r="E1114" s="21">
        <f>Table1[[#This Row],[Current mortgage rate]]*G1113</f>
        <v>-332255.29109350313</v>
      </c>
      <c r="F1114" s="5">
        <f>Table1[[#This Row],[Payment amount]]-Table1[[#This Row],[Interest paid]]</f>
        <v>336633.28881091659</v>
      </c>
      <c r="G1114" s="20">
        <f>G1113-Table1[[#This Row],[Principal repaid]]-Table1[[#This Row],[Annual paym]]</f>
        <v>-68090646.121535227</v>
      </c>
      <c r="H1114" s="20">
        <f>H1113-(Table1[[#This Row],[Payment amount]]-Table1[[#This Row],[Interest Paid W/O LSP]])</f>
        <v>-45471966.827352621</v>
      </c>
      <c r="I1114">
        <f>H1113*Table1[[#This Row],[Current mortgage rate]]</f>
        <v>-221878.02883303436</v>
      </c>
      <c r="J1114" s="25">
        <f>IF(Table1[[#This Row],[Month]]&gt;Table7[Amortization period (yrs)]*12,0,IF(Table1[[#This Row],[Month]]&lt;Table7[mortgage term (yrs)]*12,0,IF(Table1[[#This Row],[Month]]=Table7[mortgage term (yrs)]*12,-H$5,Table1[[#This Row],[Payment amount]]+B1114)))</f>
        <v>0</v>
      </c>
      <c r="R1114" s="1"/>
      <c r="S1114" s="1"/>
      <c r="T1114" s="7"/>
      <c r="U1114" s="11"/>
      <c r="V1114" s="21"/>
      <c r="W1114" s="5"/>
      <c r="X1114" s="20"/>
      <c r="Y1114" s="2"/>
      <c r="AJ1114" s="1"/>
      <c r="AK1114" s="1"/>
      <c r="AL1114" s="7"/>
      <c r="AM1114" s="11"/>
      <c r="AN1114" s="21"/>
      <c r="AO1114" s="5"/>
      <c r="AP1114" s="20"/>
      <c r="AQ1114" s="2"/>
    </row>
    <row r="1115" spans="1:43" x14ac:dyDescent="0.25">
      <c r="A1115" s="1">
        <v>1103</v>
      </c>
      <c r="B1115" s="1">
        <f t="shared" si="18"/>
        <v>0</v>
      </c>
      <c r="C1115" s="7">
        <f>G$12/-PV(Table7[Monthly mortgage rate], (12*Table7[Amortization period (yrs)]),1 )</f>
        <v>4377.9977174134756</v>
      </c>
      <c r="D1115" s="11">
        <f>IF(Table1[[#This Row],[Month]]&lt;=(12*Table7[mortgage term (yrs)]),Table7[Monthly mortgage rate],Table7[Monthly Exp Renewal Rate])</f>
        <v>4.9038466830562122E-3</v>
      </c>
      <c r="E1115" s="21">
        <f>Table1[[#This Row],[Current mortgage rate]]*G1114</f>
        <v>-333906.08913024486</v>
      </c>
      <c r="F1115" s="5">
        <f>Table1[[#This Row],[Payment amount]]-Table1[[#This Row],[Interest paid]]</f>
        <v>338284.08684765833</v>
      </c>
      <c r="G1115" s="20">
        <f>G1114-Table1[[#This Row],[Principal repaid]]-Table1[[#This Row],[Annual paym]]</f>
        <v>-68428930.20838289</v>
      </c>
      <c r="H1115" s="20">
        <f>H1114-(Table1[[#This Row],[Payment amount]]-Table1[[#This Row],[Interest Paid W/O LSP]])</f>
        <v>-45699332.378768392</v>
      </c>
      <c r="I1115">
        <f>H1114*Table1[[#This Row],[Current mortgage rate]]</f>
        <v>-222987.55369835527</v>
      </c>
      <c r="J1115" s="25">
        <f>IF(Table1[[#This Row],[Month]]&gt;Table7[Amortization period (yrs)]*12,0,IF(Table1[[#This Row],[Month]]&lt;Table7[mortgage term (yrs)]*12,0,IF(Table1[[#This Row],[Month]]=Table7[mortgage term (yrs)]*12,-H$5,Table1[[#This Row],[Payment amount]]+B1115)))</f>
        <v>0</v>
      </c>
      <c r="R1115" s="1"/>
      <c r="S1115" s="1"/>
      <c r="T1115" s="7"/>
      <c r="U1115" s="11"/>
      <c r="V1115" s="21"/>
      <c r="W1115" s="5"/>
      <c r="X1115" s="20"/>
      <c r="Y1115" s="2"/>
      <c r="AJ1115" s="1"/>
      <c r="AK1115" s="1"/>
      <c r="AL1115" s="7"/>
      <c r="AM1115" s="11"/>
      <c r="AN1115" s="21"/>
      <c r="AO1115" s="5"/>
      <c r="AP1115" s="20"/>
      <c r="AQ1115" s="2"/>
    </row>
    <row r="1116" spans="1:43" x14ac:dyDescent="0.25">
      <c r="A1116" s="1">
        <v>1104</v>
      </c>
      <c r="B1116" s="1">
        <f t="shared" si="18"/>
        <v>0</v>
      </c>
      <c r="C1116" s="7">
        <f>G$12/-PV(Table7[Monthly mortgage rate], (12*Table7[Amortization period (yrs)]),1 )</f>
        <v>4377.9977174134756</v>
      </c>
      <c r="D1116" s="11">
        <f>IF(Table1[[#This Row],[Month]]&lt;=(12*Table7[mortgage term (yrs)]),Table7[Monthly mortgage rate],Table7[Monthly Exp Renewal Rate])</f>
        <v>4.9038466830562122E-3</v>
      </c>
      <c r="E1116" s="21">
        <f>Table1[[#This Row],[Current mortgage rate]]*G1115</f>
        <v>-335564.98242746346</v>
      </c>
      <c r="F1116" s="5">
        <f>Table1[[#This Row],[Payment amount]]-Table1[[#This Row],[Interest paid]]</f>
        <v>339942.98014487693</v>
      </c>
      <c r="G1116" s="20">
        <f>G1115-Table1[[#This Row],[Principal repaid]]-Table1[[#This Row],[Annual paym]]</f>
        <v>-68768873.188527763</v>
      </c>
      <c r="H1116" s="20">
        <f>H1115-(Table1[[#This Row],[Payment amount]]-Table1[[#This Row],[Interest Paid W/O LSP]])</f>
        <v>-45927812.895989314</v>
      </c>
      <c r="I1116">
        <f>H1115*Table1[[#This Row],[Current mortgage rate]]</f>
        <v>-224102.51950350674</v>
      </c>
      <c r="J1116" s="25">
        <f>IF(Table1[[#This Row],[Month]]&gt;Table7[Amortization period (yrs)]*12,0,IF(Table1[[#This Row],[Month]]&lt;Table7[mortgage term (yrs)]*12,0,IF(Table1[[#This Row],[Month]]=Table7[mortgage term (yrs)]*12,-H$5,Table1[[#This Row],[Payment amount]]+B1116)))</f>
        <v>0</v>
      </c>
      <c r="R1116" s="1"/>
      <c r="S1116" s="1"/>
      <c r="T1116" s="7"/>
      <c r="U1116" s="11"/>
      <c r="V1116" s="21"/>
      <c r="W1116" s="5"/>
      <c r="X1116" s="20"/>
      <c r="Y1116" s="2"/>
      <c r="AJ1116" s="1"/>
      <c r="AK1116" s="1"/>
      <c r="AL1116" s="7"/>
      <c r="AM1116" s="11"/>
      <c r="AN1116" s="21"/>
      <c r="AO1116" s="5"/>
      <c r="AP1116" s="20"/>
      <c r="AQ1116" s="2"/>
    </row>
    <row r="1117" spans="1:43" x14ac:dyDescent="0.25">
      <c r="A1117" s="1">
        <v>1105</v>
      </c>
      <c r="B1117" s="1">
        <f t="shared" si="18"/>
        <v>0</v>
      </c>
      <c r="C1117" s="7">
        <f>G$12/-PV(Table7[Monthly mortgage rate], (12*Table7[Amortization period (yrs)]),1 )</f>
        <v>4377.9977174134756</v>
      </c>
      <c r="D1117" s="11">
        <f>IF(Table1[[#This Row],[Month]]&lt;=(12*Table7[mortgage term (yrs)]),Table7[Monthly mortgage rate],Table7[Monthly Exp Renewal Rate])</f>
        <v>4.9038466830562122E-3</v>
      </c>
      <c r="E1117" s="21">
        <f>Table1[[#This Row],[Current mortgage rate]]*G1116</f>
        <v>-337232.01068307518</v>
      </c>
      <c r="F1117" s="5">
        <f>Table1[[#This Row],[Payment amount]]-Table1[[#This Row],[Interest paid]]</f>
        <v>341610.00840048864</v>
      </c>
      <c r="G1117" s="20">
        <f>G1116-Table1[[#This Row],[Principal repaid]]-Table1[[#This Row],[Annual paym]]</f>
        <v>-69110483.196928248</v>
      </c>
      <c r="H1117" s="20">
        <f>H1116-(Table1[[#This Row],[Payment amount]]-Table1[[#This Row],[Interest Paid W/O LSP]])</f>
        <v>-46157413.84663675</v>
      </c>
      <c r="I1117">
        <f>H1116*Table1[[#This Row],[Current mortgage rate]]</f>
        <v>-225222.95293002352</v>
      </c>
      <c r="J1117" s="25">
        <f>IF(Table1[[#This Row],[Month]]&gt;Table7[Amortization period (yrs)]*12,0,IF(Table1[[#This Row],[Month]]&lt;Table7[mortgage term (yrs)]*12,0,IF(Table1[[#This Row],[Month]]=Table7[mortgage term (yrs)]*12,-H$5,Table1[[#This Row],[Payment amount]]+B1117)))</f>
        <v>0</v>
      </c>
      <c r="R1117" s="1"/>
      <c r="S1117" s="1"/>
      <c r="T1117" s="7"/>
      <c r="U1117" s="11"/>
      <c r="V1117" s="21"/>
      <c r="W1117" s="5"/>
      <c r="X1117" s="20"/>
      <c r="Y1117" s="2"/>
      <c r="AJ1117" s="1"/>
      <c r="AK1117" s="1"/>
      <c r="AL1117" s="7"/>
      <c r="AM1117" s="11"/>
      <c r="AN1117" s="21"/>
      <c r="AO1117" s="5"/>
      <c r="AP1117" s="20"/>
      <c r="AQ1117" s="2"/>
    </row>
    <row r="1118" spans="1:43" x14ac:dyDescent="0.25">
      <c r="A1118" s="1">
        <v>1106</v>
      </c>
      <c r="B1118" s="1">
        <f t="shared" si="18"/>
        <v>0</v>
      </c>
      <c r="C1118" s="7">
        <f>G$12/-PV(Table7[Monthly mortgage rate], (12*Table7[Amortization period (yrs)]),1 )</f>
        <v>4377.9977174134756</v>
      </c>
      <c r="D1118" s="11">
        <f>IF(Table1[[#This Row],[Month]]&lt;=(12*Table7[mortgage term (yrs)]),Table7[Monthly mortgage rate],Table7[Monthly Exp Renewal Rate])</f>
        <v>4.9038466830562122E-3</v>
      </c>
      <c r="E1118" s="21">
        <f>Table1[[#This Row],[Current mortgage rate]]*G1117</f>
        <v>-338907.21378966869</v>
      </c>
      <c r="F1118" s="5">
        <f>Table1[[#This Row],[Payment amount]]-Table1[[#This Row],[Interest paid]]</f>
        <v>343285.21150708216</v>
      </c>
      <c r="G1118" s="20">
        <f>G1117-Table1[[#This Row],[Principal repaid]]-Table1[[#This Row],[Annual paym]]</f>
        <v>-69453768.40843533</v>
      </c>
      <c r="H1118" s="20">
        <f>H1117-(Table1[[#This Row],[Payment amount]]-Table1[[#This Row],[Interest Paid W/O LSP]])</f>
        <v>-46388140.725144446</v>
      </c>
      <c r="I1118">
        <f>H1117*Table1[[#This Row],[Current mortgage rate]]</f>
        <v>-226348.88079028251</v>
      </c>
      <c r="J1118" s="25">
        <f>IF(Table1[[#This Row],[Month]]&gt;Table7[Amortization period (yrs)]*12,0,IF(Table1[[#This Row],[Month]]&lt;Table7[mortgage term (yrs)]*12,0,IF(Table1[[#This Row],[Month]]=Table7[mortgage term (yrs)]*12,-H$5,Table1[[#This Row],[Payment amount]]+B1118)))</f>
        <v>0</v>
      </c>
      <c r="R1118" s="1"/>
      <c r="S1118" s="1"/>
      <c r="T1118" s="7"/>
      <c r="U1118" s="11"/>
      <c r="V1118" s="21"/>
      <c r="W1118" s="5"/>
      <c r="X1118" s="20"/>
      <c r="Y1118" s="2"/>
      <c r="AJ1118" s="1"/>
      <c r="AK1118" s="1"/>
      <c r="AL1118" s="7"/>
      <c r="AM1118" s="11"/>
      <c r="AN1118" s="21"/>
      <c r="AO1118" s="5"/>
      <c r="AP1118" s="20"/>
      <c r="AQ1118" s="2"/>
    </row>
    <row r="1119" spans="1:43" x14ac:dyDescent="0.25">
      <c r="A1119" s="1">
        <v>1107</v>
      </c>
      <c r="B1119" s="1">
        <f t="shared" si="18"/>
        <v>0</v>
      </c>
      <c r="C1119" s="7">
        <f>G$12/-PV(Table7[Monthly mortgage rate], (12*Table7[Amortization period (yrs)]),1 )</f>
        <v>4377.9977174134756</v>
      </c>
      <c r="D1119" s="11">
        <f>IF(Table1[[#This Row],[Month]]&lt;=(12*Table7[mortgage term (yrs)]),Table7[Monthly mortgage rate],Table7[Monthly Exp Renewal Rate])</f>
        <v>4.9038466830562122E-3</v>
      </c>
      <c r="E1119" s="21">
        <f>Table1[[#This Row],[Current mortgage rate]]*G1118</f>
        <v>-340590.63183545991</v>
      </c>
      <c r="F1119" s="5">
        <f>Table1[[#This Row],[Payment amount]]-Table1[[#This Row],[Interest paid]]</f>
        <v>344968.62955287338</v>
      </c>
      <c r="G1119" s="20">
        <f>G1118-Table1[[#This Row],[Principal repaid]]-Table1[[#This Row],[Annual paym]]</f>
        <v>-69798737.037988201</v>
      </c>
      <c r="H1119" s="20">
        <f>H1118-(Table1[[#This Row],[Payment amount]]-Table1[[#This Row],[Interest Paid W/O LSP]])</f>
        <v>-46619999.052890003</v>
      </c>
      <c r="I1119">
        <f>H1118*Table1[[#This Row],[Current mortgage rate]]</f>
        <v>-227480.33002814438</v>
      </c>
      <c r="J1119" s="25">
        <f>IF(Table1[[#This Row],[Month]]&gt;Table7[Amortization period (yrs)]*12,0,IF(Table1[[#This Row],[Month]]&lt;Table7[mortgage term (yrs)]*12,0,IF(Table1[[#This Row],[Month]]=Table7[mortgage term (yrs)]*12,-H$5,Table1[[#This Row],[Payment amount]]+B1119)))</f>
        <v>0</v>
      </c>
      <c r="R1119" s="1"/>
      <c r="S1119" s="1"/>
      <c r="T1119" s="7"/>
      <c r="U1119" s="11"/>
      <c r="V1119" s="21"/>
      <c r="W1119" s="5"/>
      <c r="X1119" s="20"/>
      <c r="Y1119" s="2"/>
      <c r="AJ1119" s="1"/>
      <c r="AK1119" s="1"/>
      <c r="AL1119" s="7"/>
      <c r="AM1119" s="11"/>
      <c r="AN1119" s="21"/>
      <c r="AO1119" s="5"/>
      <c r="AP1119" s="20"/>
      <c r="AQ1119" s="2"/>
    </row>
    <row r="1120" spans="1:43" x14ac:dyDescent="0.25">
      <c r="A1120" s="1">
        <v>1108</v>
      </c>
      <c r="B1120" s="1">
        <f t="shared" si="18"/>
        <v>0</v>
      </c>
      <c r="C1120" s="7">
        <f>G$12/-PV(Table7[Monthly mortgage rate], (12*Table7[Amortization period (yrs)]),1 )</f>
        <v>4377.9977174134756</v>
      </c>
      <c r="D1120" s="11">
        <f>IF(Table1[[#This Row],[Month]]&lt;=(12*Table7[mortgage term (yrs)]),Table7[Monthly mortgage rate],Table7[Monthly Exp Renewal Rate])</f>
        <v>4.9038466830562122E-3</v>
      </c>
      <c r="E1120" s="21">
        <f>Table1[[#This Row],[Current mortgage rate]]*G1119</f>
        <v>-342282.3051052512</v>
      </c>
      <c r="F1120" s="5">
        <f>Table1[[#This Row],[Payment amount]]-Table1[[#This Row],[Interest paid]]</f>
        <v>346660.30282266467</v>
      </c>
      <c r="G1120" s="20">
        <f>G1119-Table1[[#This Row],[Principal repaid]]-Table1[[#This Row],[Annual paym]]</f>
        <v>-70145397.340810865</v>
      </c>
      <c r="H1120" s="20">
        <f>H1119-(Table1[[#This Row],[Payment amount]]-Table1[[#This Row],[Interest Paid W/O LSP]])</f>
        <v>-46852994.378327012</v>
      </c>
      <c r="I1120">
        <f>H1119*Table1[[#This Row],[Current mortgage rate]]</f>
        <v>-228617.3277195984</v>
      </c>
      <c r="J1120" s="25">
        <f>IF(Table1[[#This Row],[Month]]&gt;Table7[Amortization period (yrs)]*12,0,IF(Table1[[#This Row],[Month]]&lt;Table7[mortgage term (yrs)]*12,0,IF(Table1[[#This Row],[Month]]=Table7[mortgage term (yrs)]*12,-H$5,Table1[[#This Row],[Payment amount]]+B1120)))</f>
        <v>0</v>
      </c>
      <c r="R1120" s="1"/>
      <c r="S1120" s="1"/>
      <c r="T1120" s="7"/>
      <c r="U1120" s="11"/>
      <c r="V1120" s="21"/>
      <c r="W1120" s="5"/>
      <c r="X1120" s="20"/>
      <c r="Y1120" s="2"/>
      <c r="AJ1120" s="1"/>
      <c r="AK1120" s="1"/>
      <c r="AL1120" s="7"/>
      <c r="AM1120" s="11"/>
      <c r="AN1120" s="21"/>
      <c r="AO1120" s="5"/>
      <c r="AP1120" s="20"/>
      <c r="AQ1120" s="2"/>
    </row>
    <row r="1121" spans="1:43" x14ac:dyDescent="0.25">
      <c r="A1121" s="1">
        <v>1109</v>
      </c>
      <c r="B1121" s="1">
        <f t="shared" si="18"/>
        <v>0</v>
      </c>
      <c r="C1121" s="7">
        <f>G$12/-PV(Table7[Monthly mortgage rate], (12*Table7[Amortization period (yrs)]),1 )</f>
        <v>4377.9977174134756</v>
      </c>
      <c r="D1121" s="11">
        <f>IF(Table1[[#This Row],[Month]]&lt;=(12*Table7[mortgage term (yrs)]),Table7[Monthly mortgage rate],Table7[Monthly Exp Renewal Rate])</f>
        <v>4.9038466830562122E-3</v>
      </c>
      <c r="E1121" s="21">
        <f>Table1[[#This Row],[Current mortgage rate]]*G1120</f>
        <v>-343982.27408139542</v>
      </c>
      <c r="F1121" s="5">
        <f>Table1[[#This Row],[Payment amount]]-Table1[[#This Row],[Interest paid]]</f>
        <v>348360.27179880888</v>
      </c>
      <c r="G1121" s="20">
        <f>G1120-Table1[[#This Row],[Principal repaid]]-Table1[[#This Row],[Annual paym]]</f>
        <v>-70493757.61260967</v>
      </c>
      <c r="H1121" s="20">
        <f>H1120-(Table1[[#This Row],[Payment amount]]-Table1[[#This Row],[Interest Paid W/O LSP]])</f>
        <v>-47087132.277117833</v>
      </c>
      <c r="I1121">
        <f>H1120*Table1[[#This Row],[Current mortgage rate]]</f>
        <v>-229759.90107341026</v>
      </c>
      <c r="J1121" s="25">
        <f>IF(Table1[[#This Row],[Month]]&gt;Table7[Amortization period (yrs)]*12,0,IF(Table1[[#This Row],[Month]]&lt;Table7[mortgage term (yrs)]*12,0,IF(Table1[[#This Row],[Month]]=Table7[mortgage term (yrs)]*12,-H$5,Table1[[#This Row],[Payment amount]]+B1121)))</f>
        <v>0</v>
      </c>
      <c r="R1121" s="1"/>
      <c r="S1121" s="1"/>
      <c r="T1121" s="7"/>
      <c r="U1121" s="11"/>
      <c r="V1121" s="21"/>
      <c r="W1121" s="5"/>
      <c r="X1121" s="20"/>
      <c r="Y1121" s="2"/>
      <c r="AJ1121" s="1"/>
      <c r="AK1121" s="1"/>
      <c r="AL1121" s="7"/>
      <c r="AM1121" s="11"/>
      <c r="AN1121" s="21"/>
      <c r="AO1121" s="5"/>
      <c r="AP1121" s="20"/>
      <c r="AQ1121" s="2"/>
    </row>
    <row r="1122" spans="1:43" x14ac:dyDescent="0.25">
      <c r="A1122" s="1">
        <v>1110</v>
      </c>
      <c r="B1122" s="1">
        <f t="shared" si="18"/>
        <v>0</v>
      </c>
      <c r="C1122" s="7">
        <f>G$12/-PV(Table7[Monthly mortgage rate], (12*Table7[Amortization period (yrs)]),1 )</f>
        <v>4377.9977174134756</v>
      </c>
      <c r="D1122" s="11">
        <f>IF(Table1[[#This Row],[Month]]&lt;=(12*Table7[mortgage term (yrs)]),Table7[Monthly mortgage rate],Table7[Monthly Exp Renewal Rate])</f>
        <v>4.9038466830562122E-3</v>
      </c>
      <c r="E1122" s="21">
        <f>Table1[[#This Row],[Current mortgage rate]]*G1121</f>
        <v>-345690.57944476453</v>
      </c>
      <c r="F1122" s="5">
        <f>Table1[[#This Row],[Payment amount]]-Table1[[#This Row],[Interest paid]]</f>
        <v>350068.577162178</v>
      </c>
      <c r="G1122" s="20">
        <f>G1121-Table1[[#This Row],[Principal repaid]]-Table1[[#This Row],[Annual paym]]</f>
        <v>-70843826.189771846</v>
      </c>
      <c r="H1122" s="20">
        <f>H1121-(Table1[[#This Row],[Payment amount]]-Table1[[#This Row],[Interest Paid W/O LSP]])</f>
        <v>-47322418.352267019</v>
      </c>
      <c r="I1122">
        <f>H1121*Table1[[#This Row],[Current mortgage rate]]</f>
        <v>-230908.07743177339</v>
      </c>
      <c r="J1122" s="25">
        <f>IF(Table1[[#This Row],[Month]]&gt;Table7[Amortization period (yrs)]*12,0,IF(Table1[[#This Row],[Month]]&lt;Table7[mortgage term (yrs)]*12,0,IF(Table1[[#This Row],[Month]]=Table7[mortgage term (yrs)]*12,-H$5,Table1[[#This Row],[Payment amount]]+B1122)))</f>
        <v>0</v>
      </c>
      <c r="R1122" s="1"/>
      <c r="S1122" s="1"/>
      <c r="T1122" s="7"/>
      <c r="U1122" s="11"/>
      <c r="V1122" s="21"/>
      <c r="W1122" s="5"/>
      <c r="X1122" s="20"/>
      <c r="Y1122" s="2"/>
      <c r="AJ1122" s="1"/>
      <c r="AK1122" s="1"/>
      <c r="AL1122" s="7"/>
      <c r="AM1122" s="11"/>
      <c r="AN1122" s="21"/>
      <c r="AO1122" s="5"/>
      <c r="AP1122" s="20"/>
      <c r="AQ1122" s="2"/>
    </row>
    <row r="1123" spans="1:43" x14ac:dyDescent="0.25">
      <c r="A1123" s="1">
        <v>1111</v>
      </c>
      <c r="B1123" s="1">
        <f t="shared" si="18"/>
        <v>0</v>
      </c>
      <c r="C1123" s="7">
        <f>G$12/-PV(Table7[Monthly mortgage rate], (12*Table7[Amortization period (yrs)]),1 )</f>
        <v>4377.9977174134756</v>
      </c>
      <c r="D1123" s="11">
        <f>IF(Table1[[#This Row],[Month]]&lt;=(12*Table7[mortgage term (yrs)]),Table7[Monthly mortgage rate],Table7[Monthly Exp Renewal Rate])</f>
        <v>4.9038466830562122E-3</v>
      </c>
      <c r="E1123" s="21">
        <f>Table1[[#This Row],[Current mortgage rate]]*G1122</f>
        <v>-347407.2620757235</v>
      </c>
      <c r="F1123" s="5">
        <f>Table1[[#This Row],[Payment amount]]-Table1[[#This Row],[Interest paid]]</f>
        <v>351785.25979313697</v>
      </c>
      <c r="G1123" s="20">
        <f>G1122-Table1[[#This Row],[Principal repaid]]-Table1[[#This Row],[Annual paym]]</f>
        <v>-71195611.449564978</v>
      </c>
      <c r="H1123" s="20">
        <f>H1122-(Table1[[#This Row],[Payment amount]]-Table1[[#This Row],[Interest Paid W/O LSP]])</f>
        <v>-47558858.234255396</v>
      </c>
      <c r="I1123">
        <f>H1122*Table1[[#This Row],[Current mortgage rate]]</f>
        <v>-232061.88427096306</v>
      </c>
      <c r="J1123" s="25">
        <f>IF(Table1[[#This Row],[Month]]&gt;Table7[Amortization period (yrs)]*12,0,IF(Table1[[#This Row],[Month]]&lt;Table7[mortgage term (yrs)]*12,0,IF(Table1[[#This Row],[Month]]=Table7[mortgage term (yrs)]*12,-H$5,Table1[[#This Row],[Payment amount]]+B1123)))</f>
        <v>0</v>
      </c>
      <c r="R1123" s="1"/>
      <c r="S1123" s="1"/>
      <c r="T1123" s="7"/>
      <c r="U1123" s="11"/>
      <c r="V1123" s="21"/>
      <c r="W1123" s="5"/>
      <c r="X1123" s="20"/>
      <c r="Y1123" s="2"/>
      <c r="AJ1123" s="1"/>
      <c r="AK1123" s="1"/>
      <c r="AL1123" s="7"/>
      <c r="AM1123" s="11"/>
      <c r="AN1123" s="21"/>
      <c r="AO1123" s="5"/>
      <c r="AP1123" s="20"/>
      <c r="AQ1123" s="2"/>
    </row>
    <row r="1124" spans="1:43" x14ac:dyDescent="0.25">
      <c r="A1124" s="1">
        <v>1112</v>
      </c>
      <c r="B1124" s="1">
        <f t="shared" si="18"/>
        <v>0</v>
      </c>
      <c r="C1124" s="7">
        <f>G$12/-PV(Table7[Monthly mortgage rate], (12*Table7[Amortization period (yrs)]),1 )</f>
        <v>4377.9977174134756</v>
      </c>
      <c r="D1124" s="11">
        <f>IF(Table1[[#This Row],[Month]]&lt;=(12*Table7[mortgage term (yrs)]),Table7[Monthly mortgage rate],Table7[Monthly Exp Renewal Rate])</f>
        <v>4.9038466830562122E-3</v>
      </c>
      <c r="E1124" s="21">
        <f>Table1[[#This Row],[Current mortgage rate]]*G1123</f>
        <v>-349132.36305510812</v>
      </c>
      <c r="F1124" s="5">
        <f>Table1[[#This Row],[Payment amount]]-Table1[[#This Row],[Interest paid]]</f>
        <v>353510.36077252158</v>
      </c>
      <c r="G1124" s="20">
        <f>G1123-Table1[[#This Row],[Principal repaid]]-Table1[[#This Row],[Annual paym]]</f>
        <v>-71549121.810337499</v>
      </c>
      <c r="H1124" s="20">
        <f>H1123-(Table1[[#This Row],[Payment amount]]-Table1[[#This Row],[Interest Paid W/O LSP]])</f>
        <v>-47796457.581174806</v>
      </c>
      <c r="I1124">
        <f>H1123*Table1[[#This Row],[Current mortgage rate]]</f>
        <v>-233221.34920199396</v>
      </c>
      <c r="J1124" s="25">
        <f>IF(Table1[[#This Row],[Month]]&gt;Table7[Amortization period (yrs)]*12,0,IF(Table1[[#This Row],[Month]]&lt;Table7[mortgage term (yrs)]*12,0,IF(Table1[[#This Row],[Month]]=Table7[mortgage term (yrs)]*12,-H$5,Table1[[#This Row],[Payment amount]]+B1124)))</f>
        <v>0</v>
      </c>
      <c r="R1124" s="1"/>
      <c r="S1124" s="1"/>
      <c r="T1124" s="7"/>
      <c r="U1124" s="11"/>
      <c r="V1124" s="21"/>
      <c r="W1124" s="5"/>
      <c r="X1124" s="20"/>
      <c r="Y1124" s="2"/>
      <c r="AJ1124" s="1"/>
      <c r="AK1124" s="1"/>
      <c r="AL1124" s="7"/>
      <c r="AM1124" s="11"/>
      <c r="AN1124" s="21"/>
      <c r="AO1124" s="5"/>
      <c r="AP1124" s="20"/>
      <c r="AQ1124" s="2"/>
    </row>
    <row r="1125" spans="1:43" x14ac:dyDescent="0.25">
      <c r="A1125" s="1">
        <v>1113</v>
      </c>
      <c r="B1125" s="1">
        <f t="shared" si="18"/>
        <v>0</v>
      </c>
      <c r="C1125" s="7">
        <f>G$12/-PV(Table7[Monthly mortgage rate], (12*Table7[Amortization period (yrs)]),1 )</f>
        <v>4377.9977174134756</v>
      </c>
      <c r="D1125" s="11">
        <f>IF(Table1[[#This Row],[Month]]&lt;=(12*Table7[mortgage term (yrs)]),Table7[Monthly mortgage rate],Table7[Monthly Exp Renewal Rate])</f>
        <v>4.9038466830562122E-3</v>
      </c>
      <c r="E1125" s="21">
        <f>Table1[[#This Row],[Current mortgage rate]]*G1124</f>
        <v>-350865.92366520845</v>
      </c>
      <c r="F1125" s="5">
        <f>Table1[[#This Row],[Payment amount]]-Table1[[#This Row],[Interest paid]]</f>
        <v>355243.92138262192</v>
      </c>
      <c r="G1125" s="20">
        <f>G1124-Table1[[#This Row],[Principal repaid]]-Table1[[#This Row],[Annual paym]]</f>
        <v>-71904365.73172012</v>
      </c>
      <c r="H1125" s="20">
        <f>H1124-(Table1[[#This Row],[Payment amount]]-Table1[[#This Row],[Interest Paid W/O LSP]])</f>
        <v>-48035222.078863502</v>
      </c>
      <c r="I1125">
        <f>H1124*Table1[[#This Row],[Current mortgage rate]]</f>
        <v>-234386.49997128101</v>
      </c>
      <c r="J1125" s="25">
        <f>IF(Table1[[#This Row],[Month]]&gt;Table7[Amortization period (yrs)]*12,0,IF(Table1[[#This Row],[Month]]&lt;Table7[mortgage term (yrs)]*12,0,IF(Table1[[#This Row],[Month]]=Table7[mortgage term (yrs)]*12,-H$5,Table1[[#This Row],[Payment amount]]+B1125)))</f>
        <v>0</v>
      </c>
      <c r="R1125" s="1"/>
      <c r="S1125" s="1"/>
      <c r="T1125" s="7"/>
      <c r="U1125" s="11"/>
      <c r="V1125" s="21"/>
      <c r="W1125" s="5"/>
      <c r="X1125" s="20"/>
      <c r="Y1125" s="2"/>
      <c r="AJ1125" s="1"/>
      <c r="AK1125" s="1"/>
      <c r="AL1125" s="7"/>
      <c r="AM1125" s="11"/>
      <c r="AN1125" s="21"/>
      <c r="AO1125" s="5"/>
      <c r="AP1125" s="20"/>
      <c r="AQ1125" s="2"/>
    </row>
    <row r="1126" spans="1:43" x14ac:dyDescent="0.25">
      <c r="A1126" s="1">
        <v>1114</v>
      </c>
      <c r="B1126" s="1">
        <f t="shared" si="18"/>
        <v>0</v>
      </c>
      <c r="C1126" s="7">
        <f>G$12/-PV(Table7[Monthly mortgage rate], (12*Table7[Amortization period (yrs)]),1 )</f>
        <v>4377.9977174134756</v>
      </c>
      <c r="D1126" s="11">
        <f>IF(Table1[[#This Row],[Month]]&lt;=(12*Table7[mortgage term (yrs)]),Table7[Monthly mortgage rate],Table7[Monthly Exp Renewal Rate])</f>
        <v>4.9038466830562122E-3</v>
      </c>
      <c r="E1126" s="21">
        <f>Table1[[#This Row],[Current mortgage rate]]*G1125</f>
        <v>-352607.98539075645</v>
      </c>
      <c r="F1126" s="5">
        <f>Table1[[#This Row],[Payment amount]]-Table1[[#This Row],[Interest paid]]</f>
        <v>356985.98310816992</v>
      </c>
      <c r="G1126" s="20">
        <f>G1125-Table1[[#This Row],[Principal repaid]]-Table1[[#This Row],[Annual paym]]</f>
        <v>-72261351.714828283</v>
      </c>
      <c r="H1126" s="20">
        <f>H1125-(Table1[[#This Row],[Payment amount]]-Table1[[#This Row],[Interest Paid W/O LSP]])</f>
        <v>-48275157.441042215</v>
      </c>
      <c r="I1126">
        <f>H1125*Table1[[#This Row],[Current mortgage rate]]</f>
        <v>-235557.36446130331</v>
      </c>
      <c r="J1126" s="25">
        <f>IF(Table1[[#This Row],[Month]]&gt;Table7[Amortization period (yrs)]*12,0,IF(Table1[[#This Row],[Month]]&lt;Table7[mortgage term (yrs)]*12,0,IF(Table1[[#This Row],[Month]]=Table7[mortgage term (yrs)]*12,-H$5,Table1[[#This Row],[Payment amount]]+B1126)))</f>
        <v>0</v>
      </c>
      <c r="R1126" s="1"/>
      <c r="S1126" s="1"/>
      <c r="T1126" s="7"/>
      <c r="U1126" s="11"/>
      <c r="V1126" s="21"/>
      <c r="W1126" s="5"/>
      <c r="X1126" s="20"/>
      <c r="Y1126" s="2"/>
      <c r="AJ1126" s="1"/>
      <c r="AK1126" s="1"/>
      <c r="AL1126" s="7"/>
      <c r="AM1126" s="11"/>
      <c r="AN1126" s="21"/>
      <c r="AO1126" s="5"/>
      <c r="AP1126" s="20"/>
      <c r="AQ1126" s="2"/>
    </row>
    <row r="1127" spans="1:43" x14ac:dyDescent="0.25">
      <c r="A1127" s="1">
        <v>1115</v>
      </c>
      <c r="B1127" s="1">
        <f t="shared" si="18"/>
        <v>0</v>
      </c>
      <c r="C1127" s="7">
        <f>G$12/-PV(Table7[Monthly mortgage rate], (12*Table7[Amortization period (yrs)]),1 )</f>
        <v>4377.9977174134756</v>
      </c>
      <c r="D1127" s="11">
        <f>IF(Table1[[#This Row],[Month]]&lt;=(12*Table7[mortgage term (yrs)]),Table7[Monthly mortgage rate],Table7[Monthly Exp Renewal Rate])</f>
        <v>4.9038466830562122E-3</v>
      </c>
      <c r="E1127" s="21">
        <f>Table1[[#This Row],[Current mortgage rate]]*G1126</f>
        <v>-354358.58991991903</v>
      </c>
      <c r="F1127" s="5">
        <f>Table1[[#This Row],[Payment amount]]-Table1[[#This Row],[Interest paid]]</f>
        <v>358736.5876373325</v>
      </c>
      <c r="G1127" s="20">
        <f>G1126-Table1[[#This Row],[Principal repaid]]-Table1[[#This Row],[Annual paym]]</f>
        <v>-72620088.302465618</v>
      </c>
      <c r="H1127" s="20">
        <f>H1126-(Table1[[#This Row],[Payment amount]]-Table1[[#This Row],[Interest Paid W/O LSP]])</f>
        <v>-48516269.409450896</v>
      </c>
      <c r="I1127">
        <f>H1126*Table1[[#This Row],[Current mortgage rate]]</f>
        <v>-236733.97069127127</v>
      </c>
      <c r="J1127" s="25">
        <f>IF(Table1[[#This Row],[Month]]&gt;Table7[Amortization period (yrs)]*12,0,IF(Table1[[#This Row],[Month]]&lt;Table7[mortgage term (yrs)]*12,0,IF(Table1[[#This Row],[Month]]=Table7[mortgage term (yrs)]*12,-H$5,Table1[[#This Row],[Payment amount]]+B1127)))</f>
        <v>0</v>
      </c>
      <c r="R1127" s="1"/>
      <c r="S1127" s="1"/>
      <c r="T1127" s="7"/>
      <c r="U1127" s="11"/>
      <c r="V1127" s="21"/>
      <c r="W1127" s="5"/>
      <c r="X1127" s="20"/>
      <c r="Y1127" s="2"/>
      <c r="AJ1127" s="1"/>
      <c r="AK1127" s="1"/>
      <c r="AL1127" s="7"/>
      <c r="AM1127" s="11"/>
      <c r="AN1127" s="21"/>
      <c r="AO1127" s="5"/>
      <c r="AP1127" s="20"/>
      <c r="AQ1127" s="2"/>
    </row>
    <row r="1128" spans="1:43" x14ac:dyDescent="0.25">
      <c r="A1128" s="1">
        <v>1116</v>
      </c>
      <c r="B1128" s="1">
        <f t="shared" si="18"/>
        <v>0</v>
      </c>
      <c r="C1128" s="7">
        <f>G$12/-PV(Table7[Monthly mortgage rate], (12*Table7[Amortization period (yrs)]),1 )</f>
        <v>4377.9977174134756</v>
      </c>
      <c r="D1128" s="11">
        <f>IF(Table1[[#This Row],[Month]]&lt;=(12*Table7[mortgage term (yrs)]),Table7[Monthly mortgage rate],Table7[Monthly Exp Renewal Rate])</f>
        <v>4.9038466830562122E-3</v>
      </c>
      <c r="E1128" s="21">
        <f>Table1[[#This Row],[Current mortgage rate]]*G1127</f>
        <v>-356117.77914529527</v>
      </c>
      <c r="F1128" s="5">
        <f>Table1[[#This Row],[Payment amount]]-Table1[[#This Row],[Interest paid]]</f>
        <v>360495.77686270874</v>
      </c>
      <c r="G1128" s="20">
        <f>G1127-Table1[[#This Row],[Principal repaid]]-Table1[[#This Row],[Annual paym]]</f>
        <v>-72980584.079328328</v>
      </c>
      <c r="H1128" s="20">
        <f>H1127-(Table1[[#This Row],[Payment amount]]-Table1[[#This Row],[Interest Paid W/O LSP]])</f>
        <v>-48758563.753986105</v>
      </c>
      <c r="I1128">
        <f>H1127*Table1[[#This Row],[Current mortgage rate]]</f>
        <v>-237916.34681779734</v>
      </c>
      <c r="J1128" s="25">
        <f>IF(Table1[[#This Row],[Month]]&gt;Table7[Amortization period (yrs)]*12,0,IF(Table1[[#This Row],[Month]]&lt;Table7[mortgage term (yrs)]*12,0,IF(Table1[[#This Row],[Month]]=Table7[mortgage term (yrs)]*12,-H$5,Table1[[#This Row],[Payment amount]]+B1128)))</f>
        <v>0</v>
      </c>
      <c r="R1128" s="1"/>
      <c r="S1128" s="1"/>
      <c r="T1128" s="7"/>
      <c r="U1128" s="11"/>
      <c r="V1128" s="21"/>
      <c r="W1128" s="5"/>
      <c r="X1128" s="20"/>
      <c r="Y1128" s="2"/>
      <c r="AJ1128" s="1"/>
      <c r="AK1128" s="1"/>
      <c r="AL1128" s="7"/>
      <c r="AM1128" s="11"/>
      <c r="AN1128" s="21"/>
      <c r="AO1128" s="5"/>
      <c r="AP1128" s="20"/>
      <c r="AQ1128" s="2"/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 D</dc:creator>
  <cp:lastModifiedBy>Acer</cp:lastModifiedBy>
  <dcterms:created xsi:type="dcterms:W3CDTF">2019-11-22T06:16:10Z</dcterms:created>
  <dcterms:modified xsi:type="dcterms:W3CDTF">2019-11-29T22:01:23Z</dcterms:modified>
</cp:coreProperties>
</file>