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a\Unlam\Computación II\TPS\Excel\TP5\"/>
    </mc:Choice>
  </mc:AlternateContent>
  <bookViews>
    <workbookView xWindow="0" yWindow="0" windowWidth="20400" windowHeight="7665" tabRatio="702" activeTab="1"/>
  </bookViews>
  <sheets>
    <sheet name="Ejercicio 1" sheetId="2" r:id="rId1"/>
    <sheet name="Ejercicio 2" sheetId="4" r:id="rId2"/>
    <sheet name="Ejercicio 3" sheetId="5" r:id="rId3"/>
    <sheet name="Ejercicio 4" sheetId="7" r:id="rId4"/>
    <sheet name="Ejercicio 5" sheetId="10" r:id="rId5"/>
    <sheet name="Ejercicio 6" sheetId="12" r:id="rId6"/>
  </sheets>
  <definedNames>
    <definedName name="aranceles">#REF!</definedName>
    <definedName name="inscripciones">#REF!</definedName>
    <definedName name="IVA">#REF!</definedName>
    <definedName name="materias">#REF!</definedName>
    <definedName name="Productos">#REF!</definedName>
  </definedNames>
  <calcPr calcId="162913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E6" i="4"/>
  <c r="E7" i="4"/>
  <c r="E8" i="4"/>
  <c r="E9" i="4"/>
  <c r="E10" i="4"/>
  <c r="E11" i="4"/>
  <c r="E12" i="4"/>
  <c r="E13" i="4"/>
  <c r="E14" i="4"/>
  <c r="E15" i="4"/>
  <c r="E16" i="4"/>
  <c r="E17" i="4"/>
  <c r="E5" i="4"/>
  <c r="D19" i="2" l="1"/>
  <c r="G4" i="10"/>
  <c r="G5" i="10"/>
  <c r="G6" i="10"/>
  <c r="G7" i="10"/>
  <c r="G8" i="10"/>
  <c r="G9" i="10"/>
  <c r="G10" i="10"/>
  <c r="G11" i="10"/>
  <c r="G12" i="10"/>
  <c r="G3" i="10"/>
  <c r="I4" i="10"/>
  <c r="I5" i="10"/>
  <c r="I6" i="10"/>
  <c r="I7" i="10"/>
  <c r="I8" i="10"/>
  <c r="I9" i="10"/>
  <c r="I10" i="10"/>
  <c r="I11" i="10"/>
  <c r="I12" i="10"/>
  <c r="I3" i="10"/>
  <c r="B8" i="7"/>
  <c r="B9" i="7"/>
  <c r="B10" i="7"/>
  <c r="B11" i="7"/>
  <c r="B12" i="7"/>
  <c r="B13" i="7"/>
  <c r="B14" i="7"/>
  <c r="B15" i="7"/>
  <c r="B16" i="7"/>
  <c r="B7" i="7"/>
  <c r="D8" i="7"/>
  <c r="D9" i="7"/>
  <c r="D10" i="7"/>
  <c r="D11" i="7"/>
  <c r="D12" i="7"/>
  <c r="D13" i="7"/>
  <c r="D14" i="7"/>
  <c r="D15" i="7"/>
  <c r="D16" i="7"/>
  <c r="D7" i="7"/>
  <c r="I6" i="4"/>
  <c r="I7" i="4"/>
  <c r="I8" i="4"/>
  <c r="I9" i="4"/>
  <c r="I10" i="4"/>
  <c r="I11" i="4"/>
  <c r="I12" i="4"/>
  <c r="I13" i="4"/>
  <c r="I14" i="4"/>
  <c r="I15" i="4"/>
  <c r="I16" i="4"/>
  <c r="I17" i="4"/>
  <c r="I5" i="4"/>
  <c r="C6" i="4"/>
  <c r="C7" i="4"/>
  <c r="C8" i="4"/>
  <c r="C9" i="4"/>
  <c r="C10" i="4"/>
  <c r="C11" i="4"/>
  <c r="C12" i="4"/>
  <c r="C13" i="4"/>
  <c r="C14" i="4"/>
  <c r="C15" i="4"/>
  <c r="C16" i="4"/>
  <c r="C17" i="4"/>
  <c r="C5" i="4"/>
  <c r="B6" i="4"/>
  <c r="B7" i="4"/>
  <c r="B8" i="4"/>
  <c r="B9" i="4"/>
  <c r="B10" i="4"/>
  <c r="B11" i="4"/>
  <c r="B12" i="4"/>
  <c r="B13" i="4"/>
  <c r="B14" i="4"/>
  <c r="B15" i="4"/>
  <c r="B16" i="4"/>
  <c r="B17" i="4"/>
  <c r="B5" i="4"/>
  <c r="B11" i="2"/>
  <c r="B12" i="2"/>
  <c r="B13" i="2"/>
  <c r="B14" i="2"/>
  <c r="B15" i="2"/>
  <c r="B16" i="2"/>
  <c r="B10" i="2"/>
  <c r="C11" i="2"/>
  <c r="C12" i="2"/>
  <c r="C13" i="2"/>
  <c r="C14" i="2"/>
  <c r="C15" i="2"/>
  <c r="C16" i="2"/>
  <c r="C10" i="2"/>
  <c r="E11" i="2"/>
  <c r="E12" i="2"/>
  <c r="E13" i="2"/>
  <c r="E14" i="2"/>
  <c r="E15" i="2"/>
  <c r="E16" i="2"/>
  <c r="E10" i="2"/>
  <c r="C29" i="12" l="1"/>
  <c r="C28" i="12"/>
  <c r="C27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9" i="12"/>
  <c r="E6" i="12"/>
  <c r="G10" i="12" s="1"/>
  <c r="H10" i="12" s="1"/>
  <c r="J10" i="12" l="1"/>
  <c r="G17" i="12"/>
  <c r="H17" i="12" s="1"/>
  <c r="G13" i="12"/>
  <c r="H13" i="12" s="1"/>
  <c r="G25" i="12"/>
  <c r="H25" i="12" s="1"/>
  <c r="G21" i="12"/>
  <c r="H21" i="12" s="1"/>
  <c r="G24" i="12"/>
  <c r="H24" i="12" s="1"/>
  <c r="G20" i="12"/>
  <c r="H20" i="12" s="1"/>
  <c r="G16" i="12"/>
  <c r="H16" i="12" s="1"/>
  <c r="G12" i="12"/>
  <c r="H12" i="12" s="1"/>
  <c r="G23" i="12"/>
  <c r="H23" i="12" s="1"/>
  <c r="G19" i="12"/>
  <c r="H19" i="12" s="1"/>
  <c r="G15" i="12"/>
  <c r="H15" i="12" s="1"/>
  <c r="G11" i="12"/>
  <c r="H11" i="12" s="1"/>
  <c r="G9" i="12"/>
  <c r="G22" i="12"/>
  <c r="H22" i="12" s="1"/>
  <c r="G18" i="12"/>
  <c r="H18" i="12" s="1"/>
  <c r="G14" i="12"/>
  <c r="H14" i="12" s="1"/>
  <c r="J4" i="10"/>
  <c r="J5" i="10"/>
  <c r="J6" i="10"/>
  <c r="J7" i="10"/>
  <c r="J8" i="10"/>
  <c r="J9" i="10"/>
  <c r="J10" i="10"/>
  <c r="J11" i="10"/>
  <c r="J12" i="10"/>
  <c r="J3" i="10"/>
  <c r="E4" i="10"/>
  <c r="E5" i="10"/>
  <c r="E6" i="10"/>
  <c r="E7" i="10"/>
  <c r="E8" i="10"/>
  <c r="E9" i="10"/>
  <c r="E10" i="10"/>
  <c r="E11" i="10"/>
  <c r="E12" i="10"/>
  <c r="E3" i="10"/>
  <c r="D4" i="10"/>
  <c r="D5" i="10"/>
  <c r="D6" i="10"/>
  <c r="D7" i="10"/>
  <c r="D8" i="10"/>
  <c r="D9" i="10"/>
  <c r="D10" i="10"/>
  <c r="D11" i="10"/>
  <c r="D12" i="10"/>
  <c r="D3" i="10"/>
  <c r="C4" i="10"/>
  <c r="C5" i="10"/>
  <c r="C6" i="10"/>
  <c r="C7" i="10"/>
  <c r="C8" i="10"/>
  <c r="C9" i="10"/>
  <c r="C10" i="10"/>
  <c r="C11" i="10"/>
  <c r="C12" i="10"/>
  <c r="C3" i="10"/>
  <c r="H9" i="12" l="1"/>
  <c r="K10" i="12"/>
  <c r="J18" i="12"/>
  <c r="J15" i="12"/>
  <c r="J16" i="12"/>
  <c r="J25" i="12"/>
  <c r="J22" i="12"/>
  <c r="J19" i="12"/>
  <c r="J20" i="12"/>
  <c r="J13" i="12"/>
  <c r="J23" i="12"/>
  <c r="J24" i="12"/>
  <c r="J17" i="12"/>
  <c r="J14" i="12"/>
  <c r="J11" i="12"/>
  <c r="J12" i="12"/>
  <c r="J21" i="12"/>
  <c r="J9" i="12"/>
  <c r="B21" i="7"/>
  <c r="B22" i="7"/>
  <c r="B23" i="7"/>
  <c r="B20" i="7"/>
  <c r="E10" i="7"/>
  <c r="E11" i="7"/>
  <c r="E14" i="7"/>
  <c r="E15" i="7"/>
  <c r="E7" i="7"/>
  <c r="E8" i="7"/>
  <c r="E9" i="7"/>
  <c r="F9" i="7" s="1"/>
  <c r="G9" i="7" s="1"/>
  <c r="E12" i="7"/>
  <c r="F12" i="7" s="1"/>
  <c r="G12" i="7" s="1"/>
  <c r="E13" i="7"/>
  <c r="F13" i="7" s="1"/>
  <c r="G13" i="7" s="1"/>
  <c r="E16" i="7"/>
  <c r="F16" i="7" s="1"/>
  <c r="G16" i="7" s="1"/>
  <c r="F8" i="7"/>
  <c r="G8" i="7" s="1"/>
  <c r="C23" i="7" s="1"/>
  <c r="E20" i="5"/>
  <c r="E19" i="5"/>
  <c r="E15" i="5"/>
  <c r="E12" i="5"/>
  <c r="E8" i="5"/>
  <c r="E29" i="5"/>
  <c r="E28" i="5"/>
  <c r="D26" i="5"/>
  <c r="D25" i="5"/>
  <c r="C25" i="5"/>
  <c r="C26" i="5"/>
  <c r="F13" i="5"/>
  <c r="F16" i="5"/>
  <c r="F17" i="5"/>
  <c r="F9" i="5"/>
  <c r="F7" i="5"/>
  <c r="F10" i="5"/>
  <c r="F5" i="5"/>
  <c r="F14" i="5"/>
  <c r="F11" i="5"/>
  <c r="F6" i="5"/>
  <c r="F18" i="5"/>
  <c r="K12" i="12" l="1"/>
  <c r="K14" i="12"/>
  <c r="K24" i="12"/>
  <c r="K13" i="12"/>
  <c r="K19" i="12"/>
  <c r="K25" i="12"/>
  <c r="K15" i="12"/>
  <c r="K21" i="12"/>
  <c r="K11" i="12"/>
  <c r="K17" i="12"/>
  <c r="K23" i="12"/>
  <c r="K20" i="12"/>
  <c r="K22" i="12"/>
  <c r="K16" i="12"/>
  <c r="K18" i="12"/>
  <c r="K9" i="12"/>
  <c r="F7" i="7"/>
  <c r="G7" i="7" s="1"/>
  <c r="F15" i="7"/>
  <c r="G15" i="7" s="1"/>
  <c r="C22" i="7" s="1"/>
  <c r="F11" i="7"/>
  <c r="G11" i="7" s="1"/>
  <c r="C20" i="7" s="1"/>
  <c r="F14" i="7"/>
  <c r="G14" i="7" s="1"/>
  <c r="F10" i="7"/>
  <c r="G10" i="7" s="1"/>
  <c r="I56" i="4"/>
  <c r="I52" i="4"/>
  <c r="H53" i="4"/>
  <c r="C53" i="4"/>
  <c r="B53" i="4"/>
  <c r="H49" i="4"/>
  <c r="C49" i="4"/>
  <c r="F49" i="4" s="1"/>
  <c r="B49" i="4"/>
  <c r="H46" i="4"/>
  <c r="C46" i="4"/>
  <c r="B46" i="4"/>
  <c r="H48" i="4"/>
  <c r="C48" i="4"/>
  <c r="F48" i="4" s="1"/>
  <c r="B48" i="4"/>
  <c r="H54" i="4"/>
  <c r="C54" i="4"/>
  <c r="B54" i="4"/>
  <c r="H44" i="4"/>
  <c r="C44" i="4"/>
  <c r="F44" i="4" s="1"/>
  <c r="B44" i="4"/>
  <c r="H45" i="4"/>
  <c r="C45" i="4"/>
  <c r="B45" i="4"/>
  <c r="H51" i="4"/>
  <c r="C51" i="4"/>
  <c r="F51" i="4" s="1"/>
  <c r="B51" i="4"/>
  <c r="H50" i="4"/>
  <c r="C50" i="4"/>
  <c r="B50" i="4"/>
  <c r="H55" i="4"/>
  <c r="C55" i="4"/>
  <c r="F55" i="4" s="1"/>
  <c r="B55" i="4"/>
  <c r="H42" i="4"/>
  <c r="C42" i="4"/>
  <c r="B42" i="4"/>
  <c r="H43" i="4"/>
  <c r="C43" i="4"/>
  <c r="F43" i="4" s="1"/>
  <c r="B43" i="4"/>
  <c r="H41" i="4"/>
  <c r="C41" i="4"/>
  <c r="B41" i="4"/>
  <c r="H6" i="4"/>
  <c r="H7" i="4"/>
  <c r="H8" i="4"/>
  <c r="H9" i="4"/>
  <c r="H10" i="4"/>
  <c r="H11" i="4"/>
  <c r="H12" i="4"/>
  <c r="H13" i="4"/>
  <c r="H14" i="4"/>
  <c r="H15" i="4"/>
  <c r="H16" i="4"/>
  <c r="H17" i="4"/>
  <c r="H5" i="4"/>
  <c r="C30" i="12" l="1"/>
  <c r="C21" i="7"/>
  <c r="I50" i="4"/>
  <c r="I46" i="4"/>
  <c r="I53" i="4"/>
  <c r="E41" i="4"/>
  <c r="I41" i="4" s="1"/>
  <c r="E42" i="4"/>
  <c r="I42" i="4" s="1"/>
  <c r="E50" i="4"/>
  <c r="E45" i="4"/>
  <c r="I45" i="4" s="1"/>
  <c r="E54" i="4"/>
  <c r="I54" i="4" s="1"/>
  <c r="E46" i="4"/>
  <c r="E53" i="4"/>
  <c r="F41" i="4"/>
  <c r="F42" i="4"/>
  <c r="F50" i="4"/>
  <c r="F45" i="4"/>
  <c r="F54" i="4"/>
  <c r="F46" i="4"/>
  <c r="F53" i="4"/>
  <c r="E43" i="4"/>
  <c r="I43" i="4" s="1"/>
  <c r="E55" i="4"/>
  <c r="I55" i="4" s="1"/>
  <c r="E51" i="4"/>
  <c r="I51" i="4" s="1"/>
  <c r="E44" i="4"/>
  <c r="I44" i="4" s="1"/>
  <c r="E48" i="4"/>
  <c r="I48" i="4" s="1"/>
  <c r="E49" i="4"/>
  <c r="I49" i="4" s="1"/>
  <c r="J14" i="2"/>
  <c r="J10" i="2"/>
  <c r="I14" i="2"/>
  <c r="I10" i="2"/>
  <c r="G11" i="2"/>
  <c r="G12" i="2"/>
  <c r="G14" i="2"/>
  <c r="G15" i="2"/>
  <c r="G16" i="2"/>
  <c r="G10" i="2"/>
  <c r="F11" i="2"/>
  <c r="F12" i="2"/>
  <c r="F13" i="2"/>
  <c r="G13" i="2" s="1"/>
  <c r="H13" i="2" s="1"/>
  <c r="F14" i="2"/>
  <c r="F15" i="2"/>
  <c r="F16" i="2"/>
  <c r="F10" i="2"/>
  <c r="H10" i="2"/>
  <c r="H14" i="2"/>
  <c r="I6" i="2"/>
  <c r="I13" i="2" l="1"/>
  <c r="J13" i="2"/>
  <c r="H15" i="2"/>
  <c r="H11" i="2"/>
  <c r="I47" i="4"/>
  <c r="I57" i="4"/>
  <c r="H16" i="2"/>
  <c r="H12" i="2"/>
  <c r="B5" i="2"/>
  <c r="B4" i="2"/>
  <c r="I12" i="2" l="1"/>
  <c r="J12" i="2"/>
  <c r="H17" i="2"/>
  <c r="I16" i="2"/>
  <c r="J16" i="2"/>
  <c r="I11" i="2"/>
  <c r="I17" i="2" s="1"/>
  <c r="I15" i="2"/>
  <c r="J15" i="2" s="1"/>
  <c r="J11" i="2" l="1"/>
  <c r="J17" i="2" s="1"/>
</calcChain>
</file>

<file path=xl/sharedStrings.xml><?xml version="1.0" encoding="utf-8"?>
<sst xmlns="http://schemas.openxmlformats.org/spreadsheetml/2006/main" count="431" uniqueCount="254">
  <si>
    <t>Fecha:</t>
  </si>
  <si>
    <t>Cliente:</t>
  </si>
  <si>
    <t>Domicilio:</t>
  </si>
  <si>
    <t>Situación I.V.A:</t>
  </si>
  <si>
    <t>Código</t>
  </si>
  <si>
    <t>Rubro</t>
  </si>
  <si>
    <t>Descripción</t>
  </si>
  <si>
    <t>Cantidad</t>
  </si>
  <si>
    <t>Importes</t>
  </si>
  <si>
    <t>Unitario</t>
  </si>
  <si>
    <t>Descuento</t>
  </si>
  <si>
    <t>Neto</t>
  </si>
  <si>
    <t>Total</t>
  </si>
  <si>
    <t>IVA</t>
  </si>
  <si>
    <t>Final</t>
  </si>
  <si>
    <t>Detalle del producto</t>
  </si>
  <si>
    <t xml:space="preserve">Ud acumuló con ésta compra: </t>
  </si>
  <si>
    <t>Lo esperamos nuevamente!!</t>
  </si>
  <si>
    <t>TABLA DE PRODUCTOS A LA VENTA</t>
  </si>
  <si>
    <t>Precio unitario</t>
  </si>
  <si>
    <t>Almacén</t>
  </si>
  <si>
    <t>Perfumería</t>
  </si>
  <si>
    <t>Limpieza</t>
  </si>
  <si>
    <t>Bebidas</t>
  </si>
  <si>
    <t>Carnicería</t>
  </si>
  <si>
    <t>Yerba "Yuyito"</t>
  </si>
  <si>
    <t>Azucar "Sur"</t>
  </si>
  <si>
    <t>Colonia "Y2K"</t>
  </si>
  <si>
    <t>Jabón "Shock"</t>
  </si>
  <si>
    <t>Agua "H2O"</t>
  </si>
  <si>
    <t>Jugo "Hugo"</t>
  </si>
  <si>
    <t>Lomo</t>
  </si>
  <si>
    <t>Algodón "Copo"</t>
  </si>
  <si>
    <t>Sopa "Nor Suecia"</t>
  </si>
  <si>
    <t>Asado</t>
  </si>
  <si>
    <t>Porcentaje IVA:</t>
  </si>
  <si>
    <t>Situación</t>
  </si>
  <si>
    <t>Porcentaje</t>
  </si>
  <si>
    <t>TABLA DEL IVA</t>
  </si>
  <si>
    <t>R.I.</t>
  </si>
  <si>
    <t>R.N.I.</t>
  </si>
  <si>
    <t>Exento</t>
  </si>
  <si>
    <t>A</t>
  </si>
  <si>
    <t>B</t>
  </si>
  <si>
    <t>C</t>
  </si>
  <si>
    <t>Marca</t>
  </si>
  <si>
    <t>Modelo</t>
  </si>
  <si>
    <t>Origen</t>
  </si>
  <si>
    <t>Peugeot</t>
  </si>
  <si>
    <t>Nacional</t>
  </si>
  <si>
    <t>Importado</t>
  </si>
  <si>
    <t>Fiat</t>
  </si>
  <si>
    <t>Siena</t>
  </si>
  <si>
    <t>Chevrolet</t>
  </si>
  <si>
    <t>Corsa</t>
  </si>
  <si>
    <t>Uno</t>
  </si>
  <si>
    <t>Ford</t>
  </si>
  <si>
    <t>Mondeo</t>
  </si>
  <si>
    <t>Fiesta</t>
  </si>
  <si>
    <t>Unidades</t>
  </si>
  <si>
    <t>Modelos</t>
  </si>
  <si>
    <t>CODIGO</t>
  </si>
  <si>
    <t>PRODUCTO</t>
  </si>
  <si>
    <t>PLAN ELEGIDO</t>
  </si>
  <si>
    <t>PRECIO LISTA</t>
  </si>
  <si>
    <t>VALOR CUOTA</t>
  </si>
  <si>
    <t>VALOR INTERESES</t>
  </si>
  <si>
    <t>PRECIO FINAL</t>
  </si>
  <si>
    <t>IBM</t>
  </si>
  <si>
    <t>EPSON</t>
  </si>
  <si>
    <t>HP</t>
  </si>
  <si>
    <t>TEXAS</t>
  </si>
  <si>
    <t>SAMSUNG</t>
  </si>
  <si>
    <t>TOSHIBA</t>
  </si>
  <si>
    <t>COMPAQ</t>
  </si>
  <si>
    <t>CUOTAS</t>
  </si>
  <si>
    <t>Nº Vuelo</t>
  </si>
  <si>
    <t>Destino</t>
  </si>
  <si>
    <t>Precio</t>
  </si>
  <si>
    <t>Tasa de embarque</t>
  </si>
  <si>
    <t>Impuesto al turismo</t>
  </si>
  <si>
    <t>Exceso equipaje</t>
  </si>
  <si>
    <t>Banda negativa</t>
  </si>
  <si>
    <t>Descuento Banda Neg.</t>
  </si>
  <si>
    <t>Total a pagar</t>
  </si>
  <si>
    <t>Córdoba</t>
  </si>
  <si>
    <t>Bariloche</t>
  </si>
  <si>
    <t>Mendoza</t>
  </si>
  <si>
    <t>S</t>
  </si>
  <si>
    <t>N</t>
  </si>
  <si>
    <t>Exceso de equipaje</t>
  </si>
  <si>
    <t>Exceso, por kg</t>
  </si>
  <si>
    <t>Desc. banda negativa</t>
  </si>
  <si>
    <t>Imp.al turismo</t>
  </si>
  <si>
    <t>Tucumán</t>
  </si>
  <si>
    <t>Ushuaia</t>
  </si>
  <si>
    <t>EMPRESA "LOS NOGALES S.R.L."</t>
  </si>
  <si>
    <t>Planilla de Empleados</t>
  </si>
  <si>
    <t>Fecha</t>
  </si>
  <si>
    <t>Nº de legajo</t>
  </si>
  <si>
    <t>Apellido</t>
  </si>
  <si>
    <t>Nombre</t>
  </si>
  <si>
    <t>Fecha de Ingreso</t>
  </si>
  <si>
    <t>Sueldo</t>
  </si>
  <si>
    <t>Antigüedad</t>
  </si>
  <si>
    <t>Adicional por antigüedad</t>
  </si>
  <si>
    <t>Título terciario</t>
  </si>
  <si>
    <t>Adicional por título</t>
  </si>
  <si>
    <t>Sueldo con Adicionales</t>
  </si>
  <si>
    <t>Calleja</t>
  </si>
  <si>
    <t>José</t>
  </si>
  <si>
    <t>EJECUTIVO</t>
  </si>
  <si>
    <t>Magno</t>
  </si>
  <si>
    <t>Silvia</t>
  </si>
  <si>
    <t>Fuentes</t>
  </si>
  <si>
    <t>Angel</t>
  </si>
  <si>
    <t>FABRICACION</t>
  </si>
  <si>
    <t>Hernández</t>
  </si>
  <si>
    <t>Susana</t>
  </si>
  <si>
    <t>Vergara</t>
  </si>
  <si>
    <t>David</t>
  </si>
  <si>
    <t>VENTAS</t>
  </si>
  <si>
    <t>Diaz</t>
  </si>
  <si>
    <t>Marina</t>
  </si>
  <si>
    <t>Pacheco</t>
  </si>
  <si>
    <t>Jorge</t>
  </si>
  <si>
    <t>MARKETING</t>
  </si>
  <si>
    <t>Reglez</t>
  </si>
  <si>
    <t>Fernando</t>
  </si>
  <si>
    <t>Alcalde</t>
  </si>
  <si>
    <t>DISTRIBUCION</t>
  </si>
  <si>
    <t>Usero</t>
  </si>
  <si>
    <t>Lucio</t>
  </si>
  <si>
    <t>Yuste</t>
  </si>
  <si>
    <t>Cristina</t>
  </si>
  <si>
    <t>Martínez</t>
  </si>
  <si>
    <t>Lisa</t>
  </si>
  <si>
    <t>OPERACIONES</t>
  </si>
  <si>
    <t>Alonso</t>
  </si>
  <si>
    <t>Juan</t>
  </si>
  <si>
    <t>Salas</t>
  </si>
  <si>
    <t>María</t>
  </si>
  <si>
    <t>Calvillo</t>
  </si>
  <si>
    <t>Julia</t>
  </si>
  <si>
    <t>INFORMATICA</t>
  </si>
  <si>
    <t>Bermejo</t>
  </si>
  <si>
    <t>Gregorio</t>
  </si>
  <si>
    <t>Ramallo</t>
  </si>
  <si>
    <t>Ana</t>
  </si>
  <si>
    <t>Total de empleados:</t>
  </si>
  <si>
    <t>Cantidad de ejecutivos:</t>
  </si>
  <si>
    <t>Departamento</t>
  </si>
  <si>
    <t>I-MMXII</t>
  </si>
  <si>
    <t>ACER</t>
  </si>
  <si>
    <t>Hora:</t>
  </si>
  <si>
    <t>puntos para canjear por premios.</t>
  </si>
  <si>
    <t>Bazar</t>
  </si>
  <si>
    <t>Pava</t>
  </si>
  <si>
    <t>Colador</t>
  </si>
  <si>
    <t>Gaseosa "9up"</t>
  </si>
  <si>
    <t>Atún "Tuna"</t>
  </si>
  <si>
    <t>SUPERMERCADO "YING YANG"</t>
  </si>
  <si>
    <t>Palio</t>
  </si>
  <si>
    <t>Cruze</t>
  </si>
  <si>
    <t>C-10</t>
  </si>
  <si>
    <t>Cantidad de legajos &gt;= 2000</t>
  </si>
  <si>
    <t>TOTALES A ABONAR:</t>
  </si>
  <si>
    <t>Precio total</t>
  </si>
  <si>
    <t>Total importados</t>
  </si>
  <si>
    <t>Total nacionales</t>
  </si>
  <si>
    <t>LG</t>
  </si>
  <si>
    <t>APPLE</t>
  </si>
  <si>
    <t>COMPU MAX S.A.</t>
  </si>
  <si>
    <t>TU EMPRESA DE COMPUTACIÓN</t>
  </si>
  <si>
    <t>PLAN 0</t>
  </si>
  <si>
    <t>PLAN 1</t>
  </si>
  <si>
    <t>PLAN 2</t>
  </si>
  <si>
    <t>PLAN 3</t>
  </si>
  <si>
    <t>VENTAS DEL DIA</t>
  </si>
  <si>
    <t>INTERES</t>
  </si>
  <si>
    <t>AA1420</t>
  </si>
  <si>
    <t>AU1320</t>
  </si>
  <si>
    <t>LA3200</t>
  </si>
  <si>
    <t>AA1480</t>
  </si>
  <si>
    <t>LA3300</t>
  </si>
  <si>
    <t>LA5500</t>
  </si>
  <si>
    <t>AU3030</t>
  </si>
  <si>
    <t>LA2500</t>
  </si>
  <si>
    <t>GO4500</t>
  </si>
  <si>
    <t>AA2790</t>
  </si>
  <si>
    <t>Kg. equipaje</t>
  </si>
  <si>
    <t>Sueldos con adic. VENTAS:</t>
  </si>
  <si>
    <t>ATENCION DE PACIENTES</t>
  </si>
  <si>
    <t>Código de paciente</t>
  </si>
  <si>
    <t>Paciente</t>
  </si>
  <si>
    <t>Especialidad</t>
  </si>
  <si>
    <t>Fecha de consulta</t>
  </si>
  <si>
    <t>Prioridad</t>
  </si>
  <si>
    <t>Nro. Consultorio</t>
  </si>
  <si>
    <t>Estudios</t>
  </si>
  <si>
    <t>Prox. Consulta</t>
  </si>
  <si>
    <t>Arancel</t>
  </si>
  <si>
    <t>si</t>
  </si>
  <si>
    <t>no</t>
  </si>
  <si>
    <t>Código de especialidad</t>
  </si>
  <si>
    <t>D</t>
  </si>
  <si>
    <t>E</t>
  </si>
  <si>
    <t>Gómez, Mario</t>
  </si>
  <si>
    <t>Oftalmología</t>
  </si>
  <si>
    <t>Clínica</t>
  </si>
  <si>
    <t>Traumatología</t>
  </si>
  <si>
    <t>Pediatría</t>
  </si>
  <si>
    <t>Dermatología</t>
  </si>
  <si>
    <t>Pérez, Roberto</t>
  </si>
  <si>
    <t>López, Ana</t>
  </si>
  <si>
    <t>Vilches, Luis</t>
  </si>
  <si>
    <t>Flores, Pedro</t>
  </si>
  <si>
    <t>Forino, Hector</t>
  </si>
  <si>
    <t>Jerez, Marcos</t>
  </si>
  <si>
    <t>Ponce, Helena</t>
  </si>
  <si>
    <t>Pitani, José</t>
  </si>
  <si>
    <t>Pitani, Luisa</t>
  </si>
  <si>
    <t>López, María</t>
  </si>
  <si>
    <t>Pietra, Laura</t>
  </si>
  <si>
    <t>Llach, Martin</t>
  </si>
  <si>
    <t>Olmedo, Leonor</t>
  </si>
  <si>
    <t>Rosso, Marta</t>
  </si>
  <si>
    <t>Libre hasta:</t>
  </si>
  <si>
    <t>María Rosa Gimenez</t>
  </si>
  <si>
    <t>Avda de Mayo 511 Ramos Mejía</t>
  </si>
  <si>
    <t>VENTAS DEL PRIMER TRIMESTRE AÑO 2017</t>
  </si>
  <si>
    <t>El Calafate</t>
  </si>
  <si>
    <t>Salta</t>
  </si>
  <si>
    <t>CTN2-2C-17</t>
  </si>
  <si>
    <t>CTII-2017-2C</t>
  </si>
  <si>
    <t>Total ALTA</t>
  </si>
  <si>
    <t>Total BAJA</t>
  </si>
  <si>
    <t>Total NORMAL</t>
  </si>
  <si>
    <t>Total general</t>
  </si>
  <si>
    <t>Origenes:</t>
  </si>
  <si>
    <t>Marcas:</t>
  </si>
  <si>
    <t>Tablas para validación de datos</t>
  </si>
  <si>
    <t>Máx. Chevrolet</t>
  </si>
  <si>
    <t>Máx. Fiat</t>
  </si>
  <si>
    <t>Máx. Ford</t>
  </si>
  <si>
    <t>Máx. Peugeot</t>
  </si>
  <si>
    <t>Máximo general</t>
  </si>
  <si>
    <r>
      <t xml:space="preserve">Promedio de precio total de </t>
    </r>
    <r>
      <rPr>
        <b/>
        <u/>
        <sz val="10"/>
        <rFont val="Arial"/>
        <family val="2"/>
      </rPr>
      <t>marca:</t>
    </r>
  </si>
  <si>
    <r>
      <t xml:space="preserve">Precio total de unidades de </t>
    </r>
    <r>
      <rPr>
        <b/>
        <u/>
        <sz val="10"/>
        <rFont val="Arial"/>
        <family val="2"/>
      </rPr>
      <t>origen:</t>
    </r>
  </si>
  <si>
    <t>Aerolinea Nacional</t>
  </si>
  <si>
    <t>Asignación</t>
  </si>
  <si>
    <t>Si se usan condicionales SI anidados, cuando se quiera quitar o agregar elementos de la tabla de antigüedad habrá que rehacer la fórmula que calcula el adicional por antigüedad.</t>
  </si>
  <si>
    <t>Porque si uso varios condicionales SI anidados, deberé rehacer la fórmula cada vez que los datos cambien en el futuro.</t>
  </si>
  <si>
    <t>Porque no es necesario emplear funciones de bases de datos, además de que me implicaría más trabajo ya que debería definir las condiciones en una tabla aparte.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</si>
</sst>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&quot;Pts&quot;_-;\-* #,##0.00\ &quot;Pts&quot;_-;_-* &quot;-&quot;??\ &quot;Pts&quot;_-;_-@_-"/>
    <numFmt numFmtId="165" formatCode="[$$-2C0A]\ #,##0.00"/>
    <numFmt numFmtId="166" formatCode="_-* #,##0.00\ [$€]_-;\-* #,##0.00\ [$€]_-;_-* &quot;-&quot;??\ [$€]_-;_-@_-"/>
    <numFmt numFmtId="167" formatCode="&quot;$&quot;#,##0.00"/>
    <numFmt numFmtId="168" formatCode="0.0%"/>
    <numFmt numFmtId="169" formatCode="_ [$$-2C0A]\ * #,##0.00_ ;_ [$$-2C0A]\ * \-#,##0.00_ ;_ [$$-2C0A]\ * &quot;-&quot;??_ ;_ @_ "/>
    <numFmt numFmtId="170" formatCode="_ [$$-2C0A]\ * #,##0_ ;_ [$$-2C0A]\ * \-#,##0_ ;_ [$$-2C0A]\ * &quot;-&quot;??_ ;_ @_ "/>
    <numFmt numFmtId="171" formatCode="0\ &quot;Kg.&quot;"/>
    <numFmt numFmtId="172" formatCode="d\-m\-yy;@"/>
    <numFmt numFmtId="173" formatCode="0\ &quot;Años&quot;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0"/>
      <name val="Arial"/>
    </font>
    <font>
      <b/>
      <sz val="10"/>
      <name val="Arial"/>
      <family val="2"/>
    </font>
    <font>
      <sz val="26"/>
      <name val="Tekton Pro"/>
      <family val="2"/>
    </font>
    <font>
      <sz val="26"/>
      <name val="Arial"/>
      <family val="2"/>
    </font>
    <font>
      <b/>
      <sz val="20"/>
      <name val="Stencil"/>
      <family val="5"/>
    </font>
    <font>
      <b/>
      <sz val="10"/>
      <name val="Arial"/>
    </font>
    <font>
      <sz val="16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16"/>
      <color theme="0"/>
      <name val="Snap ITC"/>
      <family val="5"/>
    </font>
    <font>
      <sz val="24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gradientFill>
        <stop position="0">
          <color theme="4" tint="0.59999389629810485"/>
        </stop>
        <stop position="1">
          <color theme="4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horizontal="center"/>
    </xf>
    <xf numFmtId="9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2" applyNumberFormat="1" applyFont="1" applyBorder="1"/>
    <xf numFmtId="167" fontId="0" fillId="0" borderId="1" xfId="0" applyNumberFormat="1" applyBorder="1"/>
    <xf numFmtId="0" fontId="1" fillId="0" borderId="0" xfId="0" applyFont="1"/>
    <xf numFmtId="0" fontId="0" fillId="0" borderId="0" xfId="0" applyBorder="1"/>
    <xf numFmtId="10" fontId="0" fillId="0" borderId="0" xfId="0" applyNumberFormat="1" applyBorder="1"/>
    <xf numFmtId="168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167" fontId="0" fillId="0" borderId="0" xfId="0" applyNumberFormat="1" applyBorder="1"/>
    <xf numFmtId="14" fontId="3" fillId="0" borderId="0" xfId="0" applyNumberFormat="1" applyFont="1"/>
    <xf numFmtId="0" fontId="0" fillId="0" borderId="1" xfId="0" applyBorder="1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9" fontId="1" fillId="0" borderId="0" xfId="3" applyFont="1" applyFill="1" applyAlignment="1">
      <alignment horizontal="center"/>
    </xf>
    <xf numFmtId="0" fontId="0" fillId="4" borderId="0" xfId="0" applyFill="1"/>
    <xf numFmtId="0" fontId="5" fillId="0" borderId="0" xfId="0" applyFont="1"/>
    <xf numFmtId="169" fontId="0" fillId="0" borderId="1" xfId="0" applyNumberFormat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0" fontId="1" fillId="0" borderId="1" xfId="0" applyFont="1" applyBorder="1"/>
    <xf numFmtId="169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170" fontId="0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49" fontId="9" fillId="0" borderId="0" xfId="0" applyNumberFormat="1" applyFont="1"/>
    <xf numFmtId="170" fontId="0" fillId="0" borderId="0" xfId="0" applyNumberFormat="1"/>
    <xf numFmtId="170" fontId="1" fillId="0" borderId="0" xfId="0" applyNumberFormat="1" applyFont="1" applyAlignment="1">
      <alignment horizontal="right"/>
    </xf>
    <xf numFmtId="49" fontId="0" fillId="8" borderId="3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0" fillId="4" borderId="6" xfId="0" applyNumberFormat="1" applyFill="1" applyBorder="1"/>
    <xf numFmtId="0" fontId="0" fillId="4" borderId="7" xfId="0" applyFill="1" applyBorder="1"/>
    <xf numFmtId="9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0" fillId="0" borderId="6" xfId="0" applyNumberFormat="1" applyBorder="1"/>
    <xf numFmtId="0" fontId="0" fillId="0" borderId="10" xfId="0" applyBorder="1"/>
    <xf numFmtId="170" fontId="1" fillId="0" borderId="7" xfId="0" applyNumberFormat="1" applyFon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0" fillId="0" borderId="14" xfId="0" applyBorder="1"/>
    <xf numFmtId="10" fontId="0" fillId="0" borderId="14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3" borderId="15" xfId="0" applyFont="1" applyFill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69" fontId="1" fillId="0" borderId="17" xfId="0" applyNumberFormat="1" applyFont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9" fontId="0" fillId="3" borderId="15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11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169" fontId="0" fillId="11" borderId="1" xfId="0" applyNumberFormat="1" applyFill="1" applyBorder="1" applyAlignment="1">
      <alignment horizontal="center"/>
    </xf>
    <xf numFmtId="171" fontId="0" fillId="11" borderId="1" xfId="0" applyNumberFormat="1" applyFill="1" applyBorder="1" applyAlignment="1"/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3" xfId="0" applyFill="1" applyBorder="1"/>
    <xf numFmtId="172" fontId="0" fillId="0" borderId="1" xfId="0" applyNumberFormat="1" applyBorder="1" applyAlignment="1">
      <alignment horizontal="center"/>
    </xf>
    <xf numFmtId="0" fontId="0" fillId="0" borderId="6" xfId="0" applyBorder="1"/>
    <xf numFmtId="0" fontId="0" fillId="0" borderId="12" xfId="0" applyBorder="1"/>
    <xf numFmtId="14" fontId="0" fillId="0" borderId="12" xfId="0" applyNumberFormat="1" applyBorder="1"/>
    <xf numFmtId="0" fontId="0" fillId="0" borderId="12" xfId="0" applyBorder="1" applyAlignment="1">
      <alignment horizontal="center"/>
    </xf>
    <xf numFmtId="173" fontId="1" fillId="0" borderId="12" xfId="0" applyNumberFormat="1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0" fontId="0" fillId="0" borderId="8" xfId="0" applyBorder="1"/>
    <xf numFmtId="14" fontId="0" fillId="0" borderId="0" xfId="0" applyNumberFormat="1" applyBorder="1"/>
    <xf numFmtId="173" fontId="1" fillId="0" borderId="0" xfId="0" applyNumberFormat="1" applyFon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0" fontId="0" fillId="0" borderId="13" xfId="0" applyBorder="1"/>
    <xf numFmtId="14" fontId="0" fillId="0" borderId="13" xfId="0" applyNumberFormat="1" applyBorder="1"/>
    <xf numFmtId="0" fontId="0" fillId="0" borderId="13" xfId="0" applyBorder="1" applyAlignment="1">
      <alignment horizontal="center"/>
    </xf>
    <xf numFmtId="173" fontId="1" fillId="0" borderId="13" xfId="0" applyNumberFormat="1" applyFon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0" fillId="0" borderId="22" xfId="0" applyBorder="1"/>
    <xf numFmtId="0" fontId="0" fillId="0" borderId="23" xfId="0" applyBorder="1"/>
    <xf numFmtId="0" fontId="1" fillId="0" borderId="14" xfId="0" applyFont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9" fontId="0" fillId="0" borderId="5" xfId="3" applyFont="1" applyBorder="1" applyAlignment="1">
      <alignment horizontal="center" vertical="center"/>
    </xf>
    <xf numFmtId="170" fontId="1" fillId="0" borderId="14" xfId="0" applyNumberFormat="1" applyFont="1" applyBorder="1" applyAlignment="1">
      <alignment horizontal="center"/>
    </xf>
    <xf numFmtId="0" fontId="16" fillId="0" borderId="0" xfId="0" applyFont="1" applyBorder="1"/>
    <xf numFmtId="0" fontId="16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left"/>
    </xf>
    <xf numFmtId="49" fontId="1" fillId="4" borderId="9" xfId="0" applyNumberFormat="1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1" fillId="12" borderId="10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</cellXfs>
  <cellStyles count="4">
    <cellStyle name="Euro" xfId="1"/>
    <cellStyle name="Moneda" xfId="2" builtinId="4"/>
    <cellStyle name="Normal" xfId="0" builtinId="0"/>
    <cellStyle name="Porcentaje" xfId="3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vendida de cada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Cantidad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1'!$C$10:$C$16</c:f>
              <c:strCache>
                <c:ptCount val="7"/>
                <c:pt idx="0">
                  <c:v>Jabón "Shock"</c:v>
                </c:pt>
                <c:pt idx="1">
                  <c:v>Lomo</c:v>
                </c:pt>
                <c:pt idx="2">
                  <c:v>Sopa "Nor Suecia"</c:v>
                </c:pt>
                <c:pt idx="3">
                  <c:v>Colonia "Y2K"</c:v>
                </c:pt>
                <c:pt idx="4">
                  <c:v>Jugo "Hugo"</c:v>
                </c:pt>
                <c:pt idx="5">
                  <c:v>Atún "Tuna"</c:v>
                </c:pt>
                <c:pt idx="6">
                  <c:v>Yerba "Yuyito"</c:v>
                </c:pt>
              </c:strCache>
            </c:strRef>
          </c:cat>
          <c:val>
            <c:numRef>
              <c:f>'Ejercicio 1'!$D$10:$D$16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7BB-95D4-2375757E4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0401200"/>
        <c:axId val="340402032"/>
        <c:axId val="0"/>
      </c:bar3DChart>
      <c:catAx>
        <c:axId val="3404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402032"/>
        <c:crosses val="autoZero"/>
        <c:auto val="1"/>
        <c:lblAlgn val="ctr"/>
        <c:lblOffset val="100"/>
        <c:noMultiLvlLbl val="0"/>
      </c:catAx>
      <c:valAx>
        <c:axId val="3404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4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 del IVA en el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Comparación</c:v>
          </c:tx>
          <c:dPt>
            <c:idx val="0"/>
            <c:bubble3D val="0"/>
            <c:explosion val="36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BE7-45C8-98EB-E214CB1CFFBB}"/>
              </c:ext>
            </c:extLst>
          </c:dPt>
          <c:dPt>
            <c:idx val="1"/>
            <c:bubble3D val="0"/>
            <c:explosion val="27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BE7-45C8-98EB-E214CB1CFFB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B442186-896B-4499-836F-F8B9216300A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C97806B-2772-4FDC-91FC-AE2D7969F873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BE7-45C8-98EB-E214CB1CFF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87E94-8209-4A83-9D79-DA57D33FAD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E6BB935-993A-4AD4-8FC0-90915F26FCAD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BE7-45C8-98EB-E214CB1CFFB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'Ejercicio 1'!$H$9:$I$9</c:f>
              <c:strCache>
                <c:ptCount val="2"/>
                <c:pt idx="0">
                  <c:v>Total</c:v>
                </c:pt>
                <c:pt idx="1">
                  <c:v>IVA</c:v>
                </c:pt>
              </c:strCache>
            </c:strRef>
          </c:cat>
          <c:val>
            <c:numRef>
              <c:f>'Ejercicio 1'!$H$17:$I$17</c:f>
              <c:numCache>
                <c:formatCode>_ [$$-2C0A]\ * #,##0.00_ ;_ [$$-2C0A]\ * \-#,##0.00_ ;_ [$$-2C0A]\ * "-"??_ ;_ @_ </c:formatCode>
                <c:ptCount val="2"/>
                <c:pt idx="0">
                  <c:v>795.68000000000006</c:v>
                </c:pt>
                <c:pt idx="1">
                  <c:v>167.09279999999998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'Ejercicio 1'!$H$17:$I$17</c15:f>
                <c15:dlblRangeCache>
                  <c:ptCount val="2"/>
                  <c:pt idx="0">
                    <c:v> $ 795,68 </c:v>
                  </c:pt>
                  <c:pt idx="1">
                    <c:v> $ 167,09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E7-45C8-98EB-E214CB1CFF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Aranceles según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E1-461C-8C61-870160BAD53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E1-461C-8C61-870160BAD53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E1-461C-8C61-870160BAD53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('Ejercicio 2'!$E$47,'Ejercicio 2'!$E$52,'Ejercicio 2'!$E$56)</c:f>
              <c:strCache>
                <c:ptCount val="3"/>
                <c:pt idx="0">
                  <c:v>Total ALTA</c:v>
                </c:pt>
                <c:pt idx="1">
                  <c:v>Total BAJA</c:v>
                </c:pt>
                <c:pt idx="2">
                  <c:v>Total NORMAL</c:v>
                </c:pt>
              </c:strCache>
            </c:strRef>
          </c:cat>
          <c:val>
            <c:numRef>
              <c:f>('Ejercicio 2'!$I$47,'Ejercicio 2'!$I$56,'Ejercicio 2'!$I$52)</c:f>
              <c:numCache>
                <c:formatCode>_ [$$-2C0A]\ * #,##0_ ;_ [$$-2C0A]\ * \-#,##0_ ;_ [$$-2C0A]\ * "-"??_ ;_ @_ </c:formatCode>
                <c:ptCount val="3"/>
                <c:pt idx="0">
                  <c:v>1236</c:v>
                </c:pt>
                <c:pt idx="1">
                  <c:v>450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E1-461C-8C61-870160BA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Sueldo con adicionales</a:t>
            </a:r>
          </a:p>
        </c:rich>
      </c:tx>
      <c:overlay val="0"/>
      <c:spPr>
        <a:noFill/>
        <a:ln w="1905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'Ejercicio 6'!$A$9:$A$25</c:f>
              <c:numCache>
                <c:formatCode>General</c:formatCode>
                <c:ptCount val="17"/>
                <c:pt idx="0">
                  <c:v>2150</c:v>
                </c:pt>
                <c:pt idx="1">
                  <c:v>1400</c:v>
                </c:pt>
                <c:pt idx="2">
                  <c:v>1790</c:v>
                </c:pt>
                <c:pt idx="3">
                  <c:v>1450</c:v>
                </c:pt>
                <c:pt idx="4">
                  <c:v>1550</c:v>
                </c:pt>
                <c:pt idx="5">
                  <c:v>2030</c:v>
                </c:pt>
                <c:pt idx="6">
                  <c:v>1520</c:v>
                </c:pt>
                <c:pt idx="7">
                  <c:v>1730</c:v>
                </c:pt>
                <c:pt idx="8">
                  <c:v>1340</c:v>
                </c:pt>
                <c:pt idx="9">
                  <c:v>1850</c:v>
                </c:pt>
                <c:pt idx="10">
                  <c:v>2000</c:v>
                </c:pt>
                <c:pt idx="11">
                  <c:v>1820</c:v>
                </c:pt>
                <c:pt idx="12">
                  <c:v>1760</c:v>
                </c:pt>
                <c:pt idx="13">
                  <c:v>1880</c:v>
                </c:pt>
                <c:pt idx="14">
                  <c:v>1490</c:v>
                </c:pt>
                <c:pt idx="15">
                  <c:v>1370</c:v>
                </c:pt>
                <c:pt idx="16">
                  <c:v>2001</c:v>
                </c:pt>
              </c:numCache>
            </c:numRef>
          </c:cat>
          <c:val>
            <c:numRef>
              <c:f>'Ejercicio 6'!$K$9:$K$25</c:f>
              <c:numCache>
                <c:formatCode>_ [$$-2C0A]\ * #,##0_ ;_ [$$-2C0A]\ * \-#,##0_ ;_ [$$-2C0A]\ * "-"??_ ;_ @_ </c:formatCode>
                <c:ptCount val="17"/>
                <c:pt idx="0">
                  <c:v>26875</c:v>
                </c:pt>
                <c:pt idx="1">
                  <c:v>27430</c:v>
                </c:pt>
                <c:pt idx="2">
                  <c:v>19937.5</c:v>
                </c:pt>
                <c:pt idx="3">
                  <c:v>19140</c:v>
                </c:pt>
                <c:pt idx="4">
                  <c:v>24265</c:v>
                </c:pt>
                <c:pt idx="5">
                  <c:v>17736</c:v>
                </c:pt>
                <c:pt idx="6">
                  <c:v>21984</c:v>
                </c:pt>
                <c:pt idx="7">
                  <c:v>23125</c:v>
                </c:pt>
                <c:pt idx="8">
                  <c:v>52625</c:v>
                </c:pt>
                <c:pt idx="9">
                  <c:v>20735</c:v>
                </c:pt>
                <c:pt idx="10">
                  <c:v>26875</c:v>
                </c:pt>
                <c:pt idx="11">
                  <c:v>17736</c:v>
                </c:pt>
                <c:pt idx="12">
                  <c:v>24265</c:v>
                </c:pt>
                <c:pt idx="13">
                  <c:v>17736</c:v>
                </c:pt>
                <c:pt idx="14">
                  <c:v>17545</c:v>
                </c:pt>
                <c:pt idx="15">
                  <c:v>52625</c:v>
                </c:pt>
                <c:pt idx="16">
                  <c:v>22155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8-45F2-AE90-1EC49559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6112352"/>
        <c:axId val="276113600"/>
      </c:barChart>
      <c:catAx>
        <c:axId val="2761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Legajo</a:t>
                </a:r>
              </a:p>
            </c:rich>
          </c:tx>
          <c:layout>
            <c:manualLayout>
              <c:xMode val="edge"/>
              <c:yMode val="edge"/>
              <c:x val="0.50736715602106019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13600"/>
        <c:crosses val="autoZero"/>
        <c:auto val="1"/>
        <c:lblAlgn val="ctr"/>
        <c:lblOffset val="100"/>
        <c:noMultiLvlLbl val="0"/>
      </c:catAx>
      <c:valAx>
        <c:axId val="27611360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76200" dist="38100" dir="5400000" algn="ctr" rotWithShape="0">
                <a:srgbClr val="000000">
                  <a:alpha val="43137"/>
                </a:srgbClr>
              </a:outerShdw>
            </a:effectLst>
          </c:spPr>
        </c:majorGridlines>
        <c:numFmt formatCode="_ [$$-2C0A]\ * #,##0_ ;_ [$$-2C0A]\ * \-#,##0_ ;_ [$$-2C0A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61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714375</xdr:colOff>
      <xdr:row>0</xdr:row>
      <xdr:rowOff>28575</xdr:rowOff>
    </xdr:from>
    <xdr:to>
      <xdr:col>8</xdr:col>
      <xdr:colOff>320440</xdr:colOff>
      <xdr:row>4</xdr:row>
      <xdr:rowOff>104299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8575"/>
          <a:ext cx="672865" cy="885349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38</xdr:row>
      <xdr:rowOff>19050</xdr:rowOff>
    </xdr:from>
    <xdr:to>
      <xdr:col>4</xdr:col>
      <xdr:colOff>581025</xdr:colOff>
      <xdr:row>55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38</xdr:row>
      <xdr:rowOff>9525</xdr:rowOff>
    </xdr:from>
    <xdr:to>
      <xdr:col>11</xdr:col>
      <xdr:colOff>109537</xdr:colOff>
      <xdr:row>55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57</xdr:row>
      <xdr:rowOff>161924</xdr:rowOff>
    </xdr:from>
    <xdr:to>
      <xdr:col>8</xdr:col>
      <xdr:colOff>47625</xdr:colOff>
      <xdr:row>76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266536</xdr:rowOff>
    </xdr:from>
    <xdr:to>
      <xdr:col>1</xdr:col>
      <xdr:colOff>314325</xdr:colOff>
      <xdr:row>3</xdr:row>
      <xdr:rowOff>47461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66536"/>
          <a:ext cx="742950" cy="74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67393</xdr:rowOff>
    </xdr:from>
    <xdr:to>
      <xdr:col>2</xdr:col>
      <xdr:colOff>676275</xdr:colOff>
      <xdr:row>0</xdr:row>
      <xdr:rowOff>600340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7393"/>
          <a:ext cx="447675" cy="5329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45</xdr:row>
      <xdr:rowOff>142875</xdr:rowOff>
    </xdr:from>
    <xdr:to>
      <xdr:col>8</xdr:col>
      <xdr:colOff>9526</xdr:colOff>
      <xdr:row>62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609601</xdr:colOff>
      <xdr:row>0</xdr:row>
      <xdr:rowOff>0</xdr:rowOff>
    </xdr:from>
    <xdr:to>
      <xdr:col>2</xdr:col>
      <xdr:colOff>255261</xdr:colOff>
      <xdr:row>5</xdr:row>
      <xdr:rowOff>38367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0"/>
          <a:ext cx="769610" cy="943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M100"/>
  <sheetViews>
    <sheetView topLeftCell="A10" zoomScaleNormal="100" workbookViewId="0">
      <selection activeCell="D19" sqref="D19"/>
    </sheetView>
  </sheetViews>
  <sheetFormatPr baseColWidth="10" defaultColWidth="9.140625" defaultRowHeight="12.75" x14ac:dyDescent="0.2"/>
  <cols>
    <col min="1" max="1" width="10.140625" bestFit="1" customWidth="1"/>
    <col min="2" max="2" width="15.28515625" bestFit="1" customWidth="1"/>
    <col min="3" max="3" width="21.7109375" customWidth="1"/>
    <col min="4" max="4" width="14" bestFit="1" customWidth="1"/>
    <col min="5" max="5" width="13" customWidth="1"/>
    <col min="7" max="7" width="11.28515625" customWidth="1"/>
    <col min="8" max="8" width="16" customWidth="1"/>
    <col min="9" max="9" width="12.28515625" bestFit="1" customWidth="1"/>
    <col min="13" max="13" width="11.5703125" bestFit="1" customWidth="1"/>
  </cols>
  <sheetData>
    <row r="1" spans="1:13" x14ac:dyDescent="0.2">
      <c r="M1" t="s">
        <v>234</v>
      </c>
    </row>
    <row r="2" spans="1:13" ht="25.5" customHeight="1" x14ac:dyDescent="0.2">
      <c r="A2" s="133" t="s">
        <v>161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3" x14ac:dyDescent="0.2">
      <c r="C3" s="1"/>
    </row>
    <row r="4" spans="1:13" x14ac:dyDescent="0.2">
      <c r="A4" s="26" t="s">
        <v>0</v>
      </c>
      <c r="B4" s="6">
        <f ca="1">TODAY()</f>
        <v>43021</v>
      </c>
      <c r="D4" s="26" t="s">
        <v>1</v>
      </c>
      <c r="F4" t="s">
        <v>228</v>
      </c>
    </row>
    <row r="5" spans="1:13" x14ac:dyDescent="0.2">
      <c r="A5" s="26" t="s">
        <v>154</v>
      </c>
      <c r="B5" s="23">
        <f ca="1">NOW()</f>
        <v>43021.875563657406</v>
      </c>
      <c r="D5" s="26" t="s">
        <v>2</v>
      </c>
      <c r="F5" t="s">
        <v>229</v>
      </c>
    </row>
    <row r="6" spans="1:13" x14ac:dyDescent="0.2">
      <c r="D6" s="26" t="s">
        <v>3</v>
      </c>
      <c r="F6" s="24" t="s">
        <v>39</v>
      </c>
      <c r="H6" s="26" t="s">
        <v>35</v>
      </c>
      <c r="I6" s="25">
        <f>VLOOKUP(F6,F24:G26,2,0)</f>
        <v>0.21</v>
      </c>
    </row>
    <row r="7" spans="1:13" x14ac:dyDescent="0.2">
      <c r="F7" s="1"/>
      <c r="G7" s="1"/>
    </row>
    <row r="8" spans="1:13" x14ac:dyDescent="0.2">
      <c r="A8" s="139" t="s">
        <v>15</v>
      </c>
      <c r="B8" s="139"/>
      <c r="C8" s="139"/>
      <c r="D8" s="138" t="s">
        <v>7</v>
      </c>
      <c r="E8" s="139" t="s">
        <v>8</v>
      </c>
      <c r="F8" s="139"/>
      <c r="G8" s="139"/>
      <c r="H8" s="139"/>
      <c r="I8" s="139"/>
      <c r="J8" s="139"/>
    </row>
    <row r="9" spans="1:13" x14ac:dyDescent="0.2">
      <c r="A9" s="32" t="s">
        <v>4</v>
      </c>
      <c r="B9" s="32" t="s">
        <v>5</v>
      </c>
      <c r="C9" s="32" t="s">
        <v>6</v>
      </c>
      <c r="D9" s="138"/>
      <c r="E9" s="32" t="s">
        <v>9</v>
      </c>
      <c r="F9" s="32" t="s">
        <v>10</v>
      </c>
      <c r="G9" s="32" t="s">
        <v>11</v>
      </c>
      <c r="H9" s="32" t="s">
        <v>12</v>
      </c>
      <c r="I9" s="32" t="s">
        <v>13</v>
      </c>
      <c r="J9" s="32" t="s">
        <v>14</v>
      </c>
    </row>
    <row r="10" spans="1:13" x14ac:dyDescent="0.2">
      <c r="A10" s="8">
        <v>1330</v>
      </c>
      <c r="B10" s="22" t="str">
        <f>VLOOKUP(A10,$A$23:$B$37,2,0)</f>
        <v>Limpieza</v>
      </c>
      <c r="C10" s="22" t="str">
        <f>VLOOKUP(A10,$A$23:$C$37,3,0)</f>
        <v>Jabón "Shock"</v>
      </c>
      <c r="D10" s="8">
        <v>3</v>
      </c>
      <c r="E10" s="28">
        <f>VLOOKUP(A10,$A$23:$D$36,4,0)</f>
        <v>5.4</v>
      </c>
      <c r="F10" s="29">
        <f>IF(D10&gt;4,E10*0.1,0)</f>
        <v>0</v>
      </c>
      <c r="G10" s="28">
        <f>E10-F10</f>
        <v>5.4</v>
      </c>
      <c r="H10" s="28">
        <f>G10*D10</f>
        <v>16.200000000000003</v>
      </c>
      <c r="I10" s="28">
        <f>H10*$I$6</f>
        <v>3.4020000000000006</v>
      </c>
      <c r="J10" s="28">
        <f>H10+I10</f>
        <v>19.602000000000004</v>
      </c>
    </row>
    <row r="11" spans="1:13" x14ac:dyDescent="0.2">
      <c r="A11" s="8">
        <v>1370</v>
      </c>
      <c r="B11" s="22" t="str">
        <f t="shared" ref="B11:B16" si="0">VLOOKUP(A11,$A$23:$B$37,2,0)</f>
        <v>Carnicería</v>
      </c>
      <c r="C11" s="22" t="str">
        <f t="shared" ref="C11:C16" si="1">VLOOKUP(A11,$A$23:$C$37,3,0)</f>
        <v>Lomo</v>
      </c>
      <c r="D11" s="8">
        <v>5</v>
      </c>
      <c r="E11" s="28">
        <f t="shared" ref="E11:E16" si="2">VLOOKUP(A11,$A$23:$D$36,4,0)</f>
        <v>75.400000000000006</v>
      </c>
      <c r="F11" s="29">
        <f t="shared" ref="F11:F16" si="3">IF(D11&gt;4,E11*0.1,0)</f>
        <v>7.5400000000000009</v>
      </c>
      <c r="G11" s="28">
        <f t="shared" ref="G11:G16" si="4">E11-F11</f>
        <v>67.86</v>
      </c>
      <c r="H11" s="28">
        <f t="shared" ref="H11:H16" si="5">G11*D11</f>
        <v>339.3</v>
      </c>
      <c r="I11" s="28">
        <f t="shared" ref="I11:I16" si="6">H11*$I$6</f>
        <v>71.253</v>
      </c>
      <c r="J11" s="28">
        <f t="shared" ref="J11:J16" si="7">H11+I11</f>
        <v>410.553</v>
      </c>
    </row>
    <row r="12" spans="1:13" x14ac:dyDescent="0.2">
      <c r="A12" s="8">
        <v>1390</v>
      </c>
      <c r="B12" s="22" t="str">
        <f t="shared" si="0"/>
        <v>Almacén</v>
      </c>
      <c r="C12" s="22" t="str">
        <f t="shared" si="1"/>
        <v>Sopa "Nor Suecia"</v>
      </c>
      <c r="D12" s="8">
        <v>1</v>
      </c>
      <c r="E12" s="28">
        <f t="shared" si="2"/>
        <v>14.7</v>
      </c>
      <c r="F12" s="29">
        <f t="shared" si="3"/>
        <v>0</v>
      </c>
      <c r="G12" s="28">
        <f t="shared" si="4"/>
        <v>14.7</v>
      </c>
      <c r="H12" s="28">
        <f t="shared" si="5"/>
        <v>14.7</v>
      </c>
      <c r="I12" s="28">
        <f t="shared" si="6"/>
        <v>3.0869999999999997</v>
      </c>
      <c r="J12" s="28">
        <f t="shared" si="7"/>
        <v>17.786999999999999</v>
      </c>
    </row>
    <row r="13" spans="1:13" x14ac:dyDescent="0.2">
      <c r="A13" s="8">
        <v>1320</v>
      </c>
      <c r="B13" s="22" t="str">
        <f t="shared" si="0"/>
        <v>Perfumería</v>
      </c>
      <c r="C13" s="22" t="str">
        <f t="shared" si="1"/>
        <v>Colonia "Y2K"</v>
      </c>
      <c r="D13" s="10">
        <v>5</v>
      </c>
      <c r="E13" s="28">
        <f t="shared" si="2"/>
        <v>46</v>
      </c>
      <c r="F13" s="29">
        <f t="shared" si="3"/>
        <v>4.6000000000000005</v>
      </c>
      <c r="G13" s="28">
        <f t="shared" si="4"/>
        <v>41.4</v>
      </c>
      <c r="H13" s="28">
        <f t="shared" si="5"/>
        <v>207</v>
      </c>
      <c r="I13" s="28">
        <f t="shared" si="6"/>
        <v>43.47</v>
      </c>
      <c r="J13" s="28">
        <f t="shared" si="7"/>
        <v>250.47</v>
      </c>
    </row>
    <row r="14" spans="1:13" x14ac:dyDescent="0.2">
      <c r="A14" s="8">
        <v>1360</v>
      </c>
      <c r="B14" s="22" t="str">
        <f t="shared" si="0"/>
        <v>Bebidas</v>
      </c>
      <c r="C14" s="22" t="str">
        <f t="shared" si="1"/>
        <v>Jugo "Hugo"</v>
      </c>
      <c r="D14" s="8">
        <v>2</v>
      </c>
      <c r="E14" s="28">
        <f t="shared" si="2"/>
        <v>2.8</v>
      </c>
      <c r="F14" s="29">
        <f t="shared" si="3"/>
        <v>0</v>
      </c>
      <c r="G14" s="28">
        <f t="shared" si="4"/>
        <v>2.8</v>
      </c>
      <c r="H14" s="28">
        <f t="shared" si="5"/>
        <v>5.6</v>
      </c>
      <c r="I14" s="28">
        <f t="shared" si="6"/>
        <v>1.1759999999999999</v>
      </c>
      <c r="J14" s="28">
        <f t="shared" si="7"/>
        <v>6.7759999999999998</v>
      </c>
    </row>
    <row r="15" spans="1:13" x14ac:dyDescent="0.2">
      <c r="A15" s="8">
        <v>1340</v>
      </c>
      <c r="B15" s="22" t="str">
        <f t="shared" si="0"/>
        <v>Almacén</v>
      </c>
      <c r="C15" s="22" t="str">
        <f t="shared" si="1"/>
        <v>Atún "Tuna"</v>
      </c>
      <c r="D15" s="8">
        <v>8</v>
      </c>
      <c r="E15" s="28">
        <f t="shared" si="2"/>
        <v>15.4</v>
      </c>
      <c r="F15" s="29">
        <f t="shared" si="3"/>
        <v>1.54</v>
      </c>
      <c r="G15" s="28">
        <f t="shared" si="4"/>
        <v>13.86</v>
      </c>
      <c r="H15" s="28">
        <f t="shared" si="5"/>
        <v>110.88</v>
      </c>
      <c r="I15" s="28">
        <f t="shared" si="6"/>
        <v>23.284799999999997</v>
      </c>
      <c r="J15" s="28">
        <f t="shared" si="7"/>
        <v>134.16479999999999</v>
      </c>
    </row>
    <row r="16" spans="1:13" x14ac:dyDescent="0.2">
      <c r="A16" s="8">
        <v>1300</v>
      </c>
      <c r="B16" s="22" t="str">
        <f t="shared" si="0"/>
        <v>Almacén</v>
      </c>
      <c r="C16" s="22" t="str">
        <f t="shared" si="1"/>
        <v>Yerba "Yuyito"</v>
      </c>
      <c r="D16" s="8">
        <v>4</v>
      </c>
      <c r="E16" s="28">
        <f t="shared" si="2"/>
        <v>25.5</v>
      </c>
      <c r="F16" s="29">
        <f t="shared" si="3"/>
        <v>0</v>
      </c>
      <c r="G16" s="28">
        <f t="shared" si="4"/>
        <v>25.5</v>
      </c>
      <c r="H16" s="28">
        <f t="shared" si="5"/>
        <v>102</v>
      </c>
      <c r="I16" s="28">
        <f t="shared" si="6"/>
        <v>21.419999999999998</v>
      </c>
      <c r="J16" s="28">
        <f t="shared" si="7"/>
        <v>123.42</v>
      </c>
    </row>
    <row r="17" spans="1:10" x14ac:dyDescent="0.2">
      <c r="A17" s="8"/>
      <c r="B17" s="8"/>
      <c r="C17" s="8"/>
      <c r="D17" s="8"/>
      <c r="E17" s="8"/>
      <c r="F17" s="30" t="s">
        <v>166</v>
      </c>
      <c r="G17" s="8"/>
      <c r="H17" s="28">
        <f>SUM(H10:H16)</f>
        <v>795.68000000000006</v>
      </c>
      <c r="I17" s="31">
        <f>SUM(I10:I16)</f>
        <v>167.09279999999998</v>
      </c>
      <c r="J17" s="31">
        <f>SUM(J10:J16)</f>
        <v>962.77279999999985</v>
      </c>
    </row>
    <row r="18" spans="1:10" x14ac:dyDescent="0.2">
      <c r="F18" s="1"/>
    </row>
    <row r="19" spans="1:10" x14ac:dyDescent="0.2">
      <c r="A19" s="135" t="s">
        <v>16</v>
      </c>
      <c r="B19" s="135"/>
      <c r="C19" s="135"/>
      <c r="D19" s="22">
        <f>ROUNDDOWN(J17/7,0)</f>
        <v>137</v>
      </c>
      <c r="E19" s="27" t="s">
        <v>155</v>
      </c>
      <c r="F19" s="1"/>
    </row>
    <row r="20" spans="1:10" x14ac:dyDescent="0.2">
      <c r="A20" t="s">
        <v>17</v>
      </c>
      <c r="F20" s="1"/>
    </row>
    <row r="22" spans="1:10" x14ac:dyDescent="0.2">
      <c r="A22" s="136" t="s">
        <v>18</v>
      </c>
      <c r="B22" s="136"/>
      <c r="C22" s="136"/>
      <c r="D22" s="136"/>
      <c r="F22" s="137" t="s">
        <v>38</v>
      </c>
      <c r="G22" s="137"/>
    </row>
    <row r="23" spans="1:10" x14ac:dyDescent="0.2">
      <c r="A23" s="8" t="s">
        <v>4</v>
      </c>
      <c r="B23" s="8" t="s">
        <v>5</v>
      </c>
      <c r="C23" s="8" t="s">
        <v>6</v>
      </c>
      <c r="D23" s="8" t="s">
        <v>19</v>
      </c>
      <c r="F23" s="8" t="s">
        <v>36</v>
      </c>
      <c r="G23" s="8" t="s">
        <v>37</v>
      </c>
    </row>
    <row r="24" spans="1:10" x14ac:dyDescent="0.2">
      <c r="A24" s="8">
        <v>1300</v>
      </c>
      <c r="B24" s="8" t="s">
        <v>20</v>
      </c>
      <c r="C24" s="8" t="s">
        <v>25</v>
      </c>
      <c r="D24" s="8">
        <v>25.5</v>
      </c>
      <c r="F24" s="8" t="s">
        <v>41</v>
      </c>
      <c r="G24" s="9">
        <v>0</v>
      </c>
    </row>
    <row r="25" spans="1:10" x14ac:dyDescent="0.2">
      <c r="A25" s="8">
        <v>1310</v>
      </c>
      <c r="B25" s="8" t="s">
        <v>20</v>
      </c>
      <c r="C25" s="8" t="s">
        <v>26</v>
      </c>
      <c r="D25" s="8">
        <v>9.8000000000000007</v>
      </c>
      <c r="F25" s="8" t="s">
        <v>40</v>
      </c>
      <c r="G25" s="9">
        <v>0.315</v>
      </c>
    </row>
    <row r="26" spans="1:10" x14ac:dyDescent="0.2">
      <c r="A26" s="8">
        <v>1320</v>
      </c>
      <c r="B26" s="8" t="s">
        <v>21</v>
      </c>
      <c r="C26" s="8" t="s">
        <v>27</v>
      </c>
      <c r="D26" s="8">
        <v>46</v>
      </c>
      <c r="F26" s="8" t="s">
        <v>39</v>
      </c>
      <c r="G26" s="9">
        <v>0.21</v>
      </c>
    </row>
    <row r="27" spans="1:10" x14ac:dyDescent="0.2">
      <c r="A27" s="8">
        <v>1330</v>
      </c>
      <c r="B27" s="8" t="s">
        <v>22</v>
      </c>
      <c r="C27" s="8" t="s">
        <v>28</v>
      </c>
      <c r="D27" s="8">
        <v>5.4</v>
      </c>
    </row>
    <row r="28" spans="1:10" x14ac:dyDescent="0.2">
      <c r="A28" s="8">
        <v>1340</v>
      </c>
      <c r="B28" s="8" t="s">
        <v>20</v>
      </c>
      <c r="C28" s="8" t="s">
        <v>160</v>
      </c>
      <c r="D28" s="8">
        <v>15.4</v>
      </c>
    </row>
    <row r="29" spans="1:10" x14ac:dyDescent="0.2">
      <c r="A29" s="8">
        <v>1350</v>
      </c>
      <c r="B29" s="8" t="s">
        <v>23</v>
      </c>
      <c r="C29" s="8" t="s">
        <v>29</v>
      </c>
      <c r="D29" s="8">
        <v>12.8</v>
      </c>
    </row>
    <row r="30" spans="1:10" x14ac:dyDescent="0.2">
      <c r="A30" s="8">
        <v>1360</v>
      </c>
      <c r="B30" s="8" t="s">
        <v>23</v>
      </c>
      <c r="C30" s="8" t="s">
        <v>30</v>
      </c>
      <c r="D30" s="8">
        <v>2.8</v>
      </c>
    </row>
    <row r="31" spans="1:10" x14ac:dyDescent="0.2">
      <c r="A31" s="8">
        <v>1370</v>
      </c>
      <c r="B31" s="8" t="s">
        <v>24</v>
      </c>
      <c r="C31" s="8" t="s">
        <v>31</v>
      </c>
      <c r="D31" s="8">
        <v>75.400000000000006</v>
      </c>
    </row>
    <row r="32" spans="1:10" x14ac:dyDescent="0.2">
      <c r="A32" s="8">
        <v>1380</v>
      </c>
      <c r="B32" s="8" t="s">
        <v>21</v>
      </c>
      <c r="C32" s="8" t="s">
        <v>32</v>
      </c>
      <c r="D32" s="8">
        <v>12.6</v>
      </c>
    </row>
    <row r="33" spans="1:4" x14ac:dyDescent="0.2">
      <c r="A33" s="8">
        <v>1390</v>
      </c>
      <c r="B33" s="8" t="s">
        <v>20</v>
      </c>
      <c r="C33" s="8" t="s">
        <v>33</v>
      </c>
      <c r="D33" s="8">
        <v>14.7</v>
      </c>
    </row>
    <row r="34" spans="1:4" x14ac:dyDescent="0.2">
      <c r="A34" s="8">
        <v>1400</v>
      </c>
      <c r="B34" s="8" t="s">
        <v>24</v>
      </c>
      <c r="C34" s="8" t="s">
        <v>34</v>
      </c>
      <c r="D34" s="8">
        <v>60.4</v>
      </c>
    </row>
    <row r="35" spans="1:4" x14ac:dyDescent="0.2">
      <c r="A35" s="8">
        <v>1425</v>
      </c>
      <c r="B35" s="8" t="s">
        <v>156</v>
      </c>
      <c r="C35" s="8" t="s">
        <v>157</v>
      </c>
      <c r="D35" s="8">
        <v>125</v>
      </c>
    </row>
    <row r="36" spans="1:4" x14ac:dyDescent="0.2">
      <c r="A36" s="8">
        <v>1450</v>
      </c>
      <c r="B36" s="8" t="s">
        <v>156</v>
      </c>
      <c r="C36" s="8" t="s">
        <v>158</v>
      </c>
      <c r="D36" s="8">
        <v>75.5</v>
      </c>
    </row>
    <row r="37" spans="1:4" x14ac:dyDescent="0.2">
      <c r="A37" s="8">
        <v>1495</v>
      </c>
      <c r="B37" s="8" t="s">
        <v>23</v>
      </c>
      <c r="C37" s="8" t="s">
        <v>159</v>
      </c>
      <c r="D37" s="8">
        <v>14.3</v>
      </c>
    </row>
    <row r="100" spans="1:1" x14ac:dyDescent="0.2">
      <c r="A100" s="21">
        <v>41730</v>
      </c>
    </row>
  </sheetData>
  <mergeCells count="7">
    <mergeCell ref="A2:J2"/>
    <mergeCell ref="A19:C19"/>
    <mergeCell ref="A22:D22"/>
    <mergeCell ref="F22:G22"/>
    <mergeCell ref="D8:D9"/>
    <mergeCell ref="A8:C8"/>
    <mergeCell ref="E8:J8"/>
  </mergeCells>
  <phoneticPr fontId="0" type="noConversion"/>
  <dataValidations disablePrompts="1" count="1">
    <dataValidation type="list" allowBlank="1" showInputMessage="1" showErrorMessage="1" error="Valor no válido" prompt="Los estados posibles para esta celda son Exento, R.N.I. o R.I." sqref="F6">
      <formula1>$F$24:$F$26</formula1>
    </dataValidation>
  </dataValidation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M90"/>
  <sheetViews>
    <sheetView tabSelected="1" topLeftCell="A4" workbookViewId="0">
      <selection activeCell="E17" sqref="E17"/>
    </sheetView>
  </sheetViews>
  <sheetFormatPr baseColWidth="10" defaultRowHeight="12.75" outlineLevelRow="2" x14ac:dyDescent="0.2"/>
  <cols>
    <col min="2" max="2" width="14.140625" bestFit="1" customWidth="1"/>
    <col min="3" max="3" width="13.85546875" customWidth="1"/>
    <col min="5" max="5" width="12.28515625" bestFit="1" customWidth="1"/>
    <col min="6" max="6" width="11.28515625" bestFit="1" customWidth="1"/>
    <col min="8" max="8" width="12.5703125" bestFit="1" customWidth="1"/>
    <col min="10" max="10" width="11.85546875" bestFit="1" customWidth="1"/>
    <col min="12" max="12" width="15.28515625" customWidth="1"/>
    <col min="13" max="13" width="11.5703125" bestFit="1" customWidth="1"/>
  </cols>
  <sheetData>
    <row r="1" spans="1:13" x14ac:dyDescent="0.2">
      <c r="M1" t="s">
        <v>234</v>
      </c>
    </row>
    <row r="2" spans="1:13" ht="25.5" customHeight="1" x14ac:dyDescent="0.4">
      <c r="A2" s="140" t="s">
        <v>192</v>
      </c>
      <c r="B2" s="141"/>
      <c r="C2" s="141"/>
      <c r="D2" s="141"/>
      <c r="E2" s="141"/>
      <c r="F2" s="141"/>
      <c r="G2" s="141"/>
      <c r="H2" s="141"/>
      <c r="I2" s="141"/>
    </row>
    <row r="4" spans="1:13" ht="25.5" customHeight="1" x14ac:dyDescent="0.2">
      <c r="A4" s="33" t="s">
        <v>193</v>
      </c>
      <c r="B4" s="33" t="s">
        <v>194</v>
      </c>
      <c r="C4" s="34" t="s">
        <v>195</v>
      </c>
      <c r="D4" s="33" t="s">
        <v>196</v>
      </c>
      <c r="E4" s="33" t="s">
        <v>197</v>
      </c>
      <c r="F4" s="33" t="s">
        <v>198</v>
      </c>
      <c r="G4" s="33" t="s">
        <v>199</v>
      </c>
      <c r="H4" s="33" t="s">
        <v>200</v>
      </c>
      <c r="I4" s="33" t="s">
        <v>201</v>
      </c>
    </row>
    <row r="5" spans="1:13" x14ac:dyDescent="0.2">
      <c r="A5" s="8">
        <v>112</v>
      </c>
      <c r="B5" s="36" t="str">
        <f>VLOOKUP(A5,$A$21:$C$36,2,0)</f>
        <v>Flores, Pedro</v>
      </c>
      <c r="C5" s="36" t="str">
        <f>HLOOKUP(VLOOKUP(A5,$A$21:$C$36,3,0),$F$21:$J$23,2,0)</f>
        <v>Pediatría</v>
      </c>
      <c r="D5" s="35">
        <v>42931</v>
      </c>
      <c r="E5" s="22" t="str">
        <f>IF(OR(C5="Pediatría",C5="Traumatología"),"ALTA",IF(C5="Oftalmología","NORMAL","BAJA"))</f>
        <v>ALTA</v>
      </c>
      <c r="F5" s="22">
        <f>IF(AND(C5="Traumatología",D5&gt;DATE(2017,7,10)),25,20)</f>
        <v>20</v>
      </c>
      <c r="G5" s="22" t="s">
        <v>202</v>
      </c>
      <c r="H5" s="35">
        <f>D5+IF(G5="si",7,60)</f>
        <v>42938</v>
      </c>
      <c r="I5" s="42">
        <f>HLOOKUP(C5, $E$22:$J$23, 2, 0)*IF(E5="ALTA",1.2,1)</f>
        <v>156</v>
      </c>
    </row>
    <row r="6" spans="1:13" x14ac:dyDescent="0.2">
      <c r="A6" s="8">
        <v>120</v>
      </c>
      <c r="B6" s="36" t="str">
        <f t="shared" ref="B6:B17" si="0">VLOOKUP(A6,$A$21:$C$36,2,0)</f>
        <v>Jerez, Marcos</v>
      </c>
      <c r="C6" s="36" t="str">
        <f t="shared" ref="C6:C17" si="1">HLOOKUP(VLOOKUP(A6,$A$21:$C$36,3,0),$F$21:$J$23,2,0)</f>
        <v>Traumatología</v>
      </c>
      <c r="D6" s="35">
        <v>42926</v>
      </c>
      <c r="E6" s="22" t="str">
        <f t="shared" ref="E6:E17" si="2">IF(OR(C6="Pediatría",C6="Traumatología"),"ALTA",IF(C6="Oftalmología","NORMAL","BAJA"))</f>
        <v>ALTA</v>
      </c>
      <c r="F6" s="132">
        <f t="shared" ref="F6:F17" si="3">IF(AND(C6="Traumatología",D6&gt;DATE(2017,7,10)),25,20)</f>
        <v>20</v>
      </c>
      <c r="G6" s="22" t="s">
        <v>202</v>
      </c>
      <c r="H6" s="35">
        <f t="shared" ref="H6:H17" si="4">D6+IF(G6="si",7,60)</f>
        <v>42933</v>
      </c>
      <c r="I6" s="42">
        <f t="shared" ref="I6:I17" si="5">HLOOKUP(C6, $E$22:$J$23, 2, 0)*IF(E6="ALTA",1.2,1)</f>
        <v>216</v>
      </c>
    </row>
    <row r="7" spans="1:13" x14ac:dyDescent="0.2">
      <c r="A7" s="8">
        <v>115</v>
      </c>
      <c r="B7" s="36" t="str">
        <f t="shared" si="0"/>
        <v>Forino, Hector</v>
      </c>
      <c r="C7" s="36" t="str">
        <f t="shared" si="1"/>
        <v>Traumatología</v>
      </c>
      <c r="D7" s="35">
        <v>42927</v>
      </c>
      <c r="E7" s="22" t="str">
        <f t="shared" si="2"/>
        <v>ALTA</v>
      </c>
      <c r="F7" s="22">
        <f t="shared" si="3"/>
        <v>25</v>
      </c>
      <c r="G7" s="22" t="s">
        <v>202</v>
      </c>
      <c r="H7" s="35">
        <f t="shared" si="4"/>
        <v>42934</v>
      </c>
      <c r="I7" s="42">
        <f t="shared" si="5"/>
        <v>216</v>
      </c>
    </row>
    <row r="8" spans="1:13" x14ac:dyDescent="0.2">
      <c r="A8" s="8">
        <v>125</v>
      </c>
      <c r="B8" s="36" t="str">
        <f t="shared" si="0"/>
        <v>Ponce, Helena</v>
      </c>
      <c r="C8" s="36" t="str">
        <f t="shared" si="1"/>
        <v>Oftalmología</v>
      </c>
      <c r="D8" s="35">
        <v>42923</v>
      </c>
      <c r="E8" s="22" t="str">
        <f t="shared" si="2"/>
        <v>NORMAL</v>
      </c>
      <c r="F8" s="22">
        <f t="shared" si="3"/>
        <v>20</v>
      </c>
      <c r="G8" s="22" t="s">
        <v>203</v>
      </c>
      <c r="H8" s="35">
        <f t="shared" si="4"/>
        <v>42983</v>
      </c>
      <c r="I8" s="42">
        <f t="shared" si="5"/>
        <v>150</v>
      </c>
    </row>
    <row r="9" spans="1:13" x14ac:dyDescent="0.2">
      <c r="A9" s="8">
        <v>109</v>
      </c>
      <c r="B9" s="36" t="str">
        <f t="shared" si="0"/>
        <v>Pietra, Laura</v>
      </c>
      <c r="C9" s="36" t="str">
        <f t="shared" si="1"/>
        <v>Dermatología</v>
      </c>
      <c r="D9" s="35">
        <v>42934</v>
      </c>
      <c r="E9" s="22" t="str">
        <f t="shared" si="2"/>
        <v>BAJA</v>
      </c>
      <c r="F9" s="22">
        <f t="shared" si="3"/>
        <v>20</v>
      </c>
      <c r="G9" s="22" t="s">
        <v>202</v>
      </c>
      <c r="H9" s="35">
        <f t="shared" si="4"/>
        <v>42941</v>
      </c>
      <c r="I9" s="42">
        <f t="shared" si="5"/>
        <v>150</v>
      </c>
    </row>
    <row r="10" spans="1:13" x14ac:dyDescent="0.2">
      <c r="A10" s="8">
        <v>108</v>
      </c>
      <c r="B10" s="36" t="str">
        <f t="shared" si="0"/>
        <v>Vilches, Luis</v>
      </c>
      <c r="C10" s="36" t="str">
        <f t="shared" si="1"/>
        <v>Clínica</v>
      </c>
      <c r="D10" s="35">
        <v>42939</v>
      </c>
      <c r="E10" s="22" t="str">
        <f t="shared" si="2"/>
        <v>BAJA</v>
      </c>
      <c r="F10" s="22">
        <f t="shared" si="3"/>
        <v>20</v>
      </c>
      <c r="G10" s="22" t="s">
        <v>202</v>
      </c>
      <c r="H10" s="35">
        <f t="shared" si="4"/>
        <v>42946</v>
      </c>
      <c r="I10" s="42">
        <f t="shared" si="5"/>
        <v>100</v>
      </c>
    </row>
    <row r="11" spans="1:13" x14ac:dyDescent="0.2">
      <c r="A11" s="8">
        <v>130</v>
      </c>
      <c r="B11" s="36" t="str">
        <f t="shared" si="0"/>
        <v>Pitani, José</v>
      </c>
      <c r="C11" s="36" t="str">
        <f t="shared" si="1"/>
        <v>Traumatología</v>
      </c>
      <c r="D11" s="35">
        <v>42943</v>
      </c>
      <c r="E11" s="22" t="str">
        <f t="shared" si="2"/>
        <v>ALTA</v>
      </c>
      <c r="F11" s="22">
        <f t="shared" si="3"/>
        <v>25</v>
      </c>
      <c r="G11" s="22" t="s">
        <v>202</v>
      </c>
      <c r="H11" s="35">
        <f t="shared" si="4"/>
        <v>42950</v>
      </c>
      <c r="I11" s="42">
        <f t="shared" si="5"/>
        <v>216</v>
      </c>
    </row>
    <row r="12" spans="1:13" x14ac:dyDescent="0.2">
      <c r="A12" s="8">
        <v>142</v>
      </c>
      <c r="B12" s="36" t="str">
        <f t="shared" si="0"/>
        <v>López, Ana</v>
      </c>
      <c r="C12" s="36" t="str">
        <f t="shared" si="1"/>
        <v>Traumatología</v>
      </c>
      <c r="D12" s="35">
        <v>42929</v>
      </c>
      <c r="E12" s="22" t="str">
        <f t="shared" si="2"/>
        <v>ALTA</v>
      </c>
      <c r="F12" s="22">
        <f t="shared" si="3"/>
        <v>25</v>
      </c>
      <c r="G12" s="22" t="s">
        <v>202</v>
      </c>
      <c r="H12" s="35">
        <f t="shared" si="4"/>
        <v>42936</v>
      </c>
      <c r="I12" s="42">
        <f t="shared" si="5"/>
        <v>216</v>
      </c>
    </row>
    <row r="13" spans="1:13" x14ac:dyDescent="0.2">
      <c r="A13" s="8">
        <v>128</v>
      </c>
      <c r="B13" s="36" t="str">
        <f t="shared" si="0"/>
        <v>Pérez, Roberto</v>
      </c>
      <c r="C13" s="36" t="str">
        <f t="shared" si="1"/>
        <v>Oftalmología</v>
      </c>
      <c r="D13" s="35">
        <v>42937</v>
      </c>
      <c r="E13" s="22" t="str">
        <f t="shared" si="2"/>
        <v>NORMAL</v>
      </c>
      <c r="F13" s="22">
        <f t="shared" si="3"/>
        <v>20</v>
      </c>
      <c r="G13" s="22" t="s">
        <v>203</v>
      </c>
      <c r="H13" s="35">
        <f t="shared" si="4"/>
        <v>42997</v>
      </c>
      <c r="I13" s="42">
        <f t="shared" si="5"/>
        <v>150</v>
      </c>
    </row>
    <row r="14" spans="1:13" x14ac:dyDescent="0.2">
      <c r="A14" s="8">
        <v>113</v>
      </c>
      <c r="B14" s="36" t="str">
        <f t="shared" si="0"/>
        <v>López, María</v>
      </c>
      <c r="C14" s="36" t="str">
        <f t="shared" si="1"/>
        <v>Clínica</v>
      </c>
      <c r="D14" s="35">
        <v>42926</v>
      </c>
      <c r="E14" s="22" t="str">
        <f t="shared" si="2"/>
        <v>BAJA</v>
      </c>
      <c r="F14" s="22">
        <f t="shared" si="3"/>
        <v>20</v>
      </c>
      <c r="G14" s="22" t="s">
        <v>203</v>
      </c>
      <c r="H14" s="35">
        <f t="shared" si="4"/>
        <v>42986</v>
      </c>
      <c r="I14" s="42">
        <f t="shared" si="5"/>
        <v>100</v>
      </c>
    </row>
    <row r="15" spans="1:13" x14ac:dyDescent="0.2">
      <c r="A15" s="8">
        <v>122</v>
      </c>
      <c r="B15" s="36" t="str">
        <f t="shared" si="0"/>
        <v>Rosso, Marta</v>
      </c>
      <c r="C15" s="36" t="str">
        <f t="shared" si="1"/>
        <v>Traumatología</v>
      </c>
      <c r="D15" s="35">
        <v>42930</v>
      </c>
      <c r="E15" s="22" t="str">
        <f t="shared" si="2"/>
        <v>ALTA</v>
      </c>
      <c r="F15" s="22">
        <f t="shared" si="3"/>
        <v>25</v>
      </c>
      <c r="G15" s="22" t="s">
        <v>202</v>
      </c>
      <c r="H15" s="35">
        <f t="shared" si="4"/>
        <v>42937</v>
      </c>
      <c r="I15" s="42">
        <f t="shared" si="5"/>
        <v>216</v>
      </c>
    </row>
    <row r="16" spans="1:13" x14ac:dyDescent="0.2">
      <c r="A16" s="8">
        <v>117</v>
      </c>
      <c r="B16" s="36" t="str">
        <f t="shared" si="0"/>
        <v>Olmedo, Leonor</v>
      </c>
      <c r="C16" s="36" t="str">
        <f t="shared" si="1"/>
        <v>Clínica</v>
      </c>
      <c r="D16" s="35">
        <v>42934</v>
      </c>
      <c r="E16" s="22" t="str">
        <f t="shared" si="2"/>
        <v>BAJA</v>
      </c>
      <c r="F16" s="22">
        <f t="shared" si="3"/>
        <v>20</v>
      </c>
      <c r="G16" s="22" t="s">
        <v>203</v>
      </c>
      <c r="H16" s="35">
        <f t="shared" si="4"/>
        <v>42994</v>
      </c>
      <c r="I16" s="42">
        <f t="shared" si="5"/>
        <v>100</v>
      </c>
    </row>
    <row r="17" spans="1:10" x14ac:dyDescent="0.2">
      <c r="A17" s="8">
        <v>148</v>
      </c>
      <c r="B17" s="36" t="str">
        <f t="shared" si="0"/>
        <v>Llach, Martin</v>
      </c>
      <c r="C17" s="36" t="str">
        <f t="shared" si="1"/>
        <v>Oftalmología</v>
      </c>
      <c r="D17" s="35">
        <v>42939</v>
      </c>
      <c r="E17" s="22" t="str">
        <f t="shared" si="2"/>
        <v>NORMAL</v>
      </c>
      <c r="F17" s="22">
        <f t="shared" si="3"/>
        <v>20</v>
      </c>
      <c r="G17" s="22" t="s">
        <v>202</v>
      </c>
      <c r="H17" s="35">
        <f t="shared" si="4"/>
        <v>42946</v>
      </c>
      <c r="I17" s="42">
        <f t="shared" si="5"/>
        <v>150</v>
      </c>
    </row>
    <row r="18" spans="1:10" x14ac:dyDescent="0.2">
      <c r="C18" s="2"/>
      <c r="D18" s="1"/>
      <c r="F18" s="1"/>
      <c r="G18" s="1"/>
      <c r="H18" s="1"/>
    </row>
    <row r="21" spans="1:10" ht="24.75" customHeight="1" x14ac:dyDescent="0.2">
      <c r="A21" s="39" t="s">
        <v>193</v>
      </c>
      <c r="B21" s="39" t="s">
        <v>194</v>
      </c>
      <c r="C21" s="39" t="s">
        <v>204</v>
      </c>
      <c r="E21" s="39" t="s">
        <v>204</v>
      </c>
      <c r="F21" s="37" t="s">
        <v>42</v>
      </c>
      <c r="G21" s="37" t="s">
        <v>43</v>
      </c>
      <c r="H21" s="37" t="s">
        <v>44</v>
      </c>
      <c r="I21" s="37" t="s">
        <v>205</v>
      </c>
      <c r="J21" s="37" t="s">
        <v>206</v>
      </c>
    </row>
    <row r="22" spans="1:10" x14ac:dyDescent="0.2">
      <c r="A22" s="8">
        <v>101</v>
      </c>
      <c r="B22" s="8" t="s">
        <v>207</v>
      </c>
      <c r="C22" s="38" t="s">
        <v>42</v>
      </c>
      <c r="E22" s="40" t="s">
        <v>195</v>
      </c>
      <c r="F22" s="38" t="s">
        <v>208</v>
      </c>
      <c r="G22" s="38" t="s">
        <v>209</v>
      </c>
      <c r="H22" s="38" t="s">
        <v>210</v>
      </c>
      <c r="I22" s="38" t="s">
        <v>211</v>
      </c>
      <c r="J22" s="38" t="s">
        <v>212</v>
      </c>
    </row>
    <row r="23" spans="1:10" x14ac:dyDescent="0.2">
      <c r="A23" s="8">
        <v>128</v>
      </c>
      <c r="B23" s="8" t="s">
        <v>213</v>
      </c>
      <c r="C23" s="38" t="s">
        <v>42</v>
      </c>
      <c r="E23" s="40" t="s">
        <v>201</v>
      </c>
      <c r="F23" s="8">
        <v>150</v>
      </c>
      <c r="G23" s="8">
        <v>100</v>
      </c>
      <c r="H23" s="8">
        <v>180</v>
      </c>
      <c r="I23" s="8">
        <v>130</v>
      </c>
      <c r="J23" s="8">
        <v>150</v>
      </c>
    </row>
    <row r="24" spans="1:10" x14ac:dyDescent="0.2">
      <c r="A24" s="8">
        <v>142</v>
      </c>
      <c r="B24" s="8" t="s">
        <v>214</v>
      </c>
      <c r="C24" s="38" t="s">
        <v>44</v>
      </c>
    </row>
    <row r="25" spans="1:10" x14ac:dyDescent="0.2">
      <c r="A25" s="8">
        <v>108</v>
      </c>
      <c r="B25" s="8" t="s">
        <v>215</v>
      </c>
      <c r="C25" s="41" t="s">
        <v>43</v>
      </c>
    </row>
    <row r="26" spans="1:10" x14ac:dyDescent="0.2">
      <c r="A26" s="8">
        <v>112</v>
      </c>
      <c r="B26" s="8" t="s">
        <v>216</v>
      </c>
      <c r="C26" s="38" t="s">
        <v>205</v>
      </c>
    </row>
    <row r="27" spans="1:10" x14ac:dyDescent="0.2">
      <c r="A27" s="8">
        <v>115</v>
      </c>
      <c r="B27" s="8" t="s">
        <v>217</v>
      </c>
      <c r="C27" s="38" t="s">
        <v>44</v>
      </c>
    </row>
    <row r="28" spans="1:10" x14ac:dyDescent="0.2">
      <c r="A28" s="8">
        <v>120</v>
      </c>
      <c r="B28" s="8" t="s">
        <v>218</v>
      </c>
      <c r="C28" s="38" t="s">
        <v>44</v>
      </c>
    </row>
    <row r="29" spans="1:10" x14ac:dyDescent="0.2">
      <c r="A29" s="8">
        <v>125</v>
      </c>
      <c r="B29" s="8" t="s">
        <v>219</v>
      </c>
      <c r="C29" s="38" t="s">
        <v>42</v>
      </c>
    </row>
    <row r="30" spans="1:10" x14ac:dyDescent="0.2">
      <c r="A30" s="8">
        <v>130</v>
      </c>
      <c r="B30" s="8" t="s">
        <v>220</v>
      </c>
      <c r="C30" s="38" t="s">
        <v>44</v>
      </c>
    </row>
    <row r="31" spans="1:10" x14ac:dyDescent="0.2">
      <c r="A31" s="8">
        <v>131</v>
      </c>
      <c r="B31" s="8" t="s">
        <v>221</v>
      </c>
      <c r="C31" s="38" t="s">
        <v>44</v>
      </c>
    </row>
    <row r="32" spans="1:10" x14ac:dyDescent="0.2">
      <c r="A32" s="8">
        <v>113</v>
      </c>
      <c r="B32" s="8" t="s">
        <v>222</v>
      </c>
      <c r="C32" s="38" t="s">
        <v>43</v>
      </c>
    </row>
    <row r="33" spans="1:9" x14ac:dyDescent="0.2">
      <c r="A33" s="8">
        <v>109</v>
      </c>
      <c r="B33" s="8" t="s">
        <v>223</v>
      </c>
      <c r="C33" s="38" t="s">
        <v>206</v>
      </c>
    </row>
    <row r="34" spans="1:9" x14ac:dyDescent="0.2">
      <c r="A34" s="8">
        <v>148</v>
      </c>
      <c r="B34" s="8" t="s">
        <v>224</v>
      </c>
      <c r="C34" s="38" t="s">
        <v>42</v>
      </c>
    </row>
    <row r="35" spans="1:9" x14ac:dyDescent="0.2">
      <c r="A35" s="8">
        <v>117</v>
      </c>
      <c r="B35" s="8" t="s">
        <v>225</v>
      </c>
      <c r="C35" s="38" t="s">
        <v>43</v>
      </c>
    </row>
    <row r="36" spans="1:9" x14ac:dyDescent="0.2">
      <c r="A36" s="8">
        <v>122</v>
      </c>
      <c r="B36" s="8" t="s">
        <v>226</v>
      </c>
      <c r="C36" s="38" t="s">
        <v>44</v>
      </c>
    </row>
    <row r="40" spans="1:9" ht="25.5" x14ac:dyDescent="0.2">
      <c r="A40" s="33" t="s">
        <v>193</v>
      </c>
      <c r="B40" s="33" t="s">
        <v>194</v>
      </c>
      <c r="C40" s="34" t="s">
        <v>195</v>
      </c>
      <c r="D40" s="33" t="s">
        <v>196</v>
      </c>
      <c r="E40" s="33" t="s">
        <v>197</v>
      </c>
      <c r="F40" s="33" t="s">
        <v>198</v>
      </c>
      <c r="G40" s="33" t="s">
        <v>199</v>
      </c>
      <c r="H40" s="33" t="s">
        <v>200</v>
      </c>
      <c r="I40" s="33" t="s">
        <v>201</v>
      </c>
    </row>
    <row r="41" spans="1:9" outlineLevel="2" x14ac:dyDescent="0.2">
      <c r="A41" s="8">
        <v>112</v>
      </c>
      <c r="B41" s="36" t="str">
        <f t="shared" ref="B41:B46" si="6">VLOOKUP(A41,$A$22:$B$36,2,0)</f>
        <v>Flores, Pedro</v>
      </c>
      <c r="C41" s="36" t="str">
        <f t="shared" ref="C41:C46" si="7">HLOOKUP(VLOOKUP(A41,$A$22:$C$36,3,0),$F$21:$J$23,2,0)</f>
        <v>Pediatría</v>
      </c>
      <c r="D41" s="35">
        <v>42931</v>
      </c>
      <c r="E41" s="22" t="str">
        <f t="shared" ref="E41:E46" si="8">IF(OR(C41=$I$22,C41=$H$22),"ALTA",IF(C41=$F$22,"NORMAL","BAJA"))</f>
        <v>ALTA</v>
      </c>
      <c r="F41" s="22">
        <f t="shared" ref="F41:F46" si="9">IF(AND(C41=$H$22,D41&gt;DATE(2017,7,10)),25,20)</f>
        <v>20</v>
      </c>
      <c r="G41" s="22" t="s">
        <v>202</v>
      </c>
      <c r="H41" s="35">
        <f t="shared" ref="H41:H46" si="10">D41+IF(G41="si",7,60)</f>
        <v>42938</v>
      </c>
      <c r="I41" s="48">
        <f t="shared" ref="I41:I46" si="11">HLOOKUP(C41,$F$22:$J$23,2,0)*IF(E41="ALTA",1.2,1)</f>
        <v>156</v>
      </c>
    </row>
    <row r="42" spans="1:9" outlineLevel="2" x14ac:dyDescent="0.2">
      <c r="A42" s="8">
        <v>115</v>
      </c>
      <c r="B42" s="36" t="str">
        <f t="shared" si="6"/>
        <v>Forino, Hector</v>
      </c>
      <c r="C42" s="36" t="str">
        <f t="shared" si="7"/>
        <v>Traumatología</v>
      </c>
      <c r="D42" s="35">
        <v>42927</v>
      </c>
      <c r="E42" s="22" t="str">
        <f t="shared" si="8"/>
        <v>ALTA</v>
      </c>
      <c r="F42" s="22">
        <f t="shared" si="9"/>
        <v>25</v>
      </c>
      <c r="G42" s="22" t="s">
        <v>202</v>
      </c>
      <c r="H42" s="35">
        <f t="shared" si="10"/>
        <v>42934</v>
      </c>
      <c r="I42" s="48">
        <f t="shared" si="11"/>
        <v>216</v>
      </c>
    </row>
    <row r="43" spans="1:9" outlineLevel="2" x14ac:dyDescent="0.2">
      <c r="A43" s="8">
        <v>120</v>
      </c>
      <c r="B43" s="36" t="str">
        <f t="shared" si="6"/>
        <v>Jerez, Marcos</v>
      </c>
      <c r="C43" s="36" t="str">
        <f t="shared" si="7"/>
        <v>Traumatología</v>
      </c>
      <c r="D43" s="35">
        <v>42926</v>
      </c>
      <c r="E43" s="22" t="str">
        <f t="shared" si="8"/>
        <v>ALTA</v>
      </c>
      <c r="F43" s="22">
        <f t="shared" si="9"/>
        <v>20</v>
      </c>
      <c r="G43" s="22" t="s">
        <v>202</v>
      </c>
      <c r="H43" s="35">
        <f t="shared" si="10"/>
        <v>42933</v>
      </c>
      <c r="I43" s="48">
        <f t="shared" si="11"/>
        <v>216</v>
      </c>
    </row>
    <row r="44" spans="1:9" outlineLevel="2" x14ac:dyDescent="0.2">
      <c r="A44" s="8">
        <v>142</v>
      </c>
      <c r="B44" s="36" t="str">
        <f t="shared" si="6"/>
        <v>López, Ana</v>
      </c>
      <c r="C44" s="36" t="str">
        <f t="shared" si="7"/>
        <v>Traumatología</v>
      </c>
      <c r="D44" s="35">
        <v>42929</v>
      </c>
      <c r="E44" s="22" t="str">
        <f t="shared" si="8"/>
        <v>ALTA</v>
      </c>
      <c r="F44" s="22">
        <f t="shared" si="9"/>
        <v>25</v>
      </c>
      <c r="G44" s="22" t="s">
        <v>202</v>
      </c>
      <c r="H44" s="35">
        <f t="shared" si="10"/>
        <v>42936</v>
      </c>
      <c r="I44" s="48">
        <f t="shared" si="11"/>
        <v>216</v>
      </c>
    </row>
    <row r="45" spans="1:9" outlineLevel="2" x14ac:dyDescent="0.2">
      <c r="A45" s="8">
        <v>130</v>
      </c>
      <c r="B45" s="36" t="str">
        <f t="shared" si="6"/>
        <v>Pitani, José</v>
      </c>
      <c r="C45" s="36" t="str">
        <f t="shared" si="7"/>
        <v>Traumatología</v>
      </c>
      <c r="D45" s="35">
        <v>42943</v>
      </c>
      <c r="E45" s="22" t="str">
        <f t="shared" si="8"/>
        <v>ALTA</v>
      </c>
      <c r="F45" s="22">
        <f t="shared" si="9"/>
        <v>25</v>
      </c>
      <c r="G45" s="22" t="s">
        <v>202</v>
      </c>
      <c r="H45" s="35">
        <f t="shared" si="10"/>
        <v>42950</v>
      </c>
      <c r="I45" s="48">
        <f t="shared" si="11"/>
        <v>216</v>
      </c>
    </row>
    <row r="46" spans="1:9" outlineLevel="2" x14ac:dyDescent="0.2">
      <c r="A46" s="8">
        <v>122</v>
      </c>
      <c r="B46" s="36" t="str">
        <f t="shared" si="6"/>
        <v>Rosso, Marta</v>
      </c>
      <c r="C46" s="36" t="str">
        <f t="shared" si="7"/>
        <v>Traumatología</v>
      </c>
      <c r="D46" s="35">
        <v>42930</v>
      </c>
      <c r="E46" s="22" t="str">
        <f t="shared" si="8"/>
        <v>ALTA</v>
      </c>
      <c r="F46" s="22">
        <f t="shared" si="9"/>
        <v>25</v>
      </c>
      <c r="G46" s="22" t="s">
        <v>202</v>
      </c>
      <c r="H46" s="35">
        <f t="shared" si="10"/>
        <v>42937</v>
      </c>
      <c r="I46" s="48">
        <f t="shared" si="11"/>
        <v>216</v>
      </c>
    </row>
    <row r="47" spans="1:9" outlineLevel="1" x14ac:dyDescent="0.2">
      <c r="A47" s="8"/>
      <c r="B47" s="36"/>
      <c r="C47" s="36"/>
      <c r="D47" s="35"/>
      <c r="E47" s="43" t="s">
        <v>235</v>
      </c>
      <c r="F47" s="22"/>
      <c r="G47" s="22"/>
      <c r="H47" s="35"/>
      <c r="I47" s="48">
        <f>SUBTOTAL(9,I41:I46)</f>
        <v>1236</v>
      </c>
    </row>
    <row r="48" spans="1:9" outlineLevel="2" x14ac:dyDescent="0.2">
      <c r="A48" s="8">
        <v>113</v>
      </c>
      <c r="B48" s="36" t="str">
        <f>VLOOKUP(A48,$A$22:$B$36,2,0)</f>
        <v>López, María</v>
      </c>
      <c r="C48" s="36" t="str">
        <f>HLOOKUP(VLOOKUP(A48,$A$22:$C$36,3,0),$F$21:$J$23,2,0)</f>
        <v>Clínica</v>
      </c>
      <c r="D48" s="35">
        <v>42926</v>
      </c>
      <c r="E48" s="22" t="str">
        <f>IF(OR(C48=$I$22,C48=$H$22),"ALTA",IF(C48=$F$22,"NORMAL","BAJA"))</f>
        <v>BAJA</v>
      </c>
      <c r="F48" s="22">
        <f>IF(AND(C48=$H$22,D48&gt;DATE(2017,7,10)),25,20)</f>
        <v>20</v>
      </c>
      <c r="G48" s="22" t="s">
        <v>203</v>
      </c>
      <c r="H48" s="35">
        <f>D48+IF(G48="si",7,60)</f>
        <v>42986</v>
      </c>
      <c r="I48" s="48">
        <f>HLOOKUP(C48,$F$22:$J$23,2,0)*IF(E48="ALTA",1.2,1)</f>
        <v>100</v>
      </c>
    </row>
    <row r="49" spans="1:9" outlineLevel="2" x14ac:dyDescent="0.2">
      <c r="A49" s="8">
        <v>117</v>
      </c>
      <c r="B49" s="36" t="str">
        <f>VLOOKUP(A49,$A$22:$B$36,2,0)</f>
        <v>Olmedo, Leonor</v>
      </c>
      <c r="C49" s="36" t="str">
        <f>HLOOKUP(VLOOKUP(A49,$A$22:$C$36,3,0),$F$21:$J$23,2,0)</f>
        <v>Clínica</v>
      </c>
      <c r="D49" s="35">
        <v>42934</v>
      </c>
      <c r="E49" s="22" t="str">
        <f>IF(OR(C49=$I$22,C49=$H$22),"ALTA",IF(C49=$F$22,"NORMAL","BAJA"))</f>
        <v>BAJA</v>
      </c>
      <c r="F49" s="22">
        <f>IF(AND(C49=$H$22,D49&gt;DATE(2017,7,10)),25,20)</f>
        <v>20</v>
      </c>
      <c r="G49" s="22" t="s">
        <v>203</v>
      </c>
      <c r="H49" s="35">
        <f>D49+IF(G49="si",7,60)</f>
        <v>42994</v>
      </c>
      <c r="I49" s="48">
        <f>HLOOKUP(C49,$F$22:$J$23,2,0)*IF(E49="ALTA",1.2,1)</f>
        <v>100</v>
      </c>
    </row>
    <row r="50" spans="1:9" outlineLevel="2" x14ac:dyDescent="0.2">
      <c r="A50" s="8">
        <v>109</v>
      </c>
      <c r="B50" s="36" t="str">
        <f>VLOOKUP(A50,$A$22:$B$36,2,0)</f>
        <v>Pietra, Laura</v>
      </c>
      <c r="C50" s="36" t="str">
        <f>HLOOKUP(VLOOKUP(A50,$A$22:$C$36,3,0),$F$21:$J$23,2,0)</f>
        <v>Dermatología</v>
      </c>
      <c r="D50" s="35">
        <v>42934</v>
      </c>
      <c r="E50" s="22" t="str">
        <f>IF(OR(C50=$I$22,C50=$H$22),"ALTA",IF(C50=$F$22,"NORMAL","BAJA"))</f>
        <v>BAJA</v>
      </c>
      <c r="F50" s="22">
        <f>IF(AND(C50=$H$22,D50&gt;DATE(2017,7,10)),25,20)</f>
        <v>20</v>
      </c>
      <c r="G50" s="22" t="s">
        <v>202</v>
      </c>
      <c r="H50" s="35">
        <f>D50+IF(G50="si",7,60)</f>
        <v>42941</v>
      </c>
      <c r="I50" s="48">
        <f>HLOOKUP(C50,$F$22:$J$23,2,0)*IF(E50="ALTA",1.2,1)</f>
        <v>150</v>
      </c>
    </row>
    <row r="51" spans="1:9" outlineLevel="2" x14ac:dyDescent="0.2">
      <c r="A51" s="8">
        <v>108</v>
      </c>
      <c r="B51" s="36" t="str">
        <f>VLOOKUP(A51,$A$22:$B$36,2,0)</f>
        <v>Vilches, Luis</v>
      </c>
      <c r="C51" s="36" t="str">
        <f>HLOOKUP(VLOOKUP(A51,$A$22:$C$36,3,0),$F$21:$J$23,2,0)</f>
        <v>Clínica</v>
      </c>
      <c r="D51" s="35">
        <v>42939</v>
      </c>
      <c r="E51" s="22" t="str">
        <f>IF(OR(C51=$I$22,C51=$H$22),"ALTA",IF(C51=$F$22,"NORMAL","BAJA"))</f>
        <v>BAJA</v>
      </c>
      <c r="F51" s="22">
        <f>IF(AND(C51=$H$22,D51&gt;DATE(2017,7,10)),25,20)</f>
        <v>20</v>
      </c>
      <c r="G51" s="22" t="s">
        <v>202</v>
      </c>
      <c r="H51" s="35">
        <f>D51+IF(G51="si",7,60)</f>
        <v>42946</v>
      </c>
      <c r="I51" s="48">
        <f>HLOOKUP(C51,$F$22:$J$23,2,0)*IF(E51="ALTA",1.2,1)</f>
        <v>100</v>
      </c>
    </row>
    <row r="52" spans="1:9" outlineLevel="1" x14ac:dyDescent="0.2">
      <c r="A52" s="8"/>
      <c r="B52" s="36"/>
      <c r="C52" s="36"/>
      <c r="D52" s="35"/>
      <c r="E52" s="43" t="s">
        <v>236</v>
      </c>
      <c r="F52" s="22"/>
      <c r="G52" s="22"/>
      <c r="H52" s="35"/>
      <c r="I52" s="48">
        <f>SUBTOTAL(9,I48:I51)</f>
        <v>450</v>
      </c>
    </row>
    <row r="53" spans="1:9" outlineLevel="2" x14ac:dyDescent="0.2">
      <c r="A53" s="8">
        <v>148</v>
      </c>
      <c r="B53" s="36" t="str">
        <f>VLOOKUP(A53,$A$22:$B$36,2,0)</f>
        <v>Llach, Martin</v>
      </c>
      <c r="C53" s="36" t="str">
        <f>HLOOKUP(VLOOKUP(A53,$A$22:$C$36,3,0),$F$21:$J$23,2,0)</f>
        <v>Oftalmología</v>
      </c>
      <c r="D53" s="35">
        <v>42939</v>
      </c>
      <c r="E53" s="22" t="str">
        <f>IF(OR(C53=$I$22,C53=$H$22),"ALTA",IF(C53=$F$22,"NORMAL","BAJA"))</f>
        <v>NORMAL</v>
      </c>
      <c r="F53" s="22">
        <f>IF(AND(C53=$H$22,D53&gt;DATE(2017,7,10)),25,20)</f>
        <v>20</v>
      </c>
      <c r="G53" s="22" t="s">
        <v>202</v>
      </c>
      <c r="H53" s="35">
        <f>D53+IF(G53="si",7,60)</f>
        <v>42946</v>
      </c>
      <c r="I53" s="48">
        <f>HLOOKUP(C53,$F$22:$J$23,2,0)*IF(E53="ALTA",1.2,1)</f>
        <v>150</v>
      </c>
    </row>
    <row r="54" spans="1:9" outlineLevel="2" x14ac:dyDescent="0.2">
      <c r="A54" s="8">
        <v>128</v>
      </c>
      <c r="B54" s="36" t="str">
        <f>VLOOKUP(A54,$A$22:$B$36,2,0)</f>
        <v>Pérez, Roberto</v>
      </c>
      <c r="C54" s="36" t="str">
        <f>HLOOKUP(VLOOKUP(A54,$A$22:$C$36,3,0),$F$21:$J$23,2,0)</f>
        <v>Oftalmología</v>
      </c>
      <c r="D54" s="35">
        <v>42937</v>
      </c>
      <c r="E54" s="22" t="str">
        <f>IF(OR(C54=$I$22,C54=$H$22),"ALTA",IF(C54=$F$22,"NORMAL","BAJA"))</f>
        <v>NORMAL</v>
      </c>
      <c r="F54" s="22">
        <f>IF(AND(C54=$H$22,D54&gt;DATE(2017,7,10)),25,20)</f>
        <v>20</v>
      </c>
      <c r="G54" s="22" t="s">
        <v>203</v>
      </c>
      <c r="H54" s="35">
        <f>D54+IF(G54="si",7,60)</f>
        <v>42997</v>
      </c>
      <c r="I54" s="48">
        <f>HLOOKUP(C54,$F$22:$J$23,2,0)*IF(E54="ALTA",1.2,1)</f>
        <v>150</v>
      </c>
    </row>
    <row r="55" spans="1:9" outlineLevel="2" x14ac:dyDescent="0.2">
      <c r="A55" s="8">
        <v>125</v>
      </c>
      <c r="B55" s="36" t="str">
        <f>VLOOKUP(A55,$A$22:$B$36,2,0)</f>
        <v>Ponce, Helena</v>
      </c>
      <c r="C55" s="36" t="str">
        <f>HLOOKUP(VLOOKUP(A55,$A$22:$C$36,3,0),$F$21:$J$23,2,0)</f>
        <v>Oftalmología</v>
      </c>
      <c r="D55" s="35">
        <v>42923</v>
      </c>
      <c r="E55" s="22" t="str">
        <f>IF(OR(C55=$I$22,C55=$H$22),"ALTA",IF(C55=$F$22,"NORMAL","BAJA"))</f>
        <v>NORMAL</v>
      </c>
      <c r="F55" s="22">
        <f>IF(AND(C55=$H$22,D55&gt;DATE(2017,7,10)),25,20)</f>
        <v>20</v>
      </c>
      <c r="G55" s="22" t="s">
        <v>203</v>
      </c>
      <c r="H55" s="35">
        <f>D55+IF(G55="si",7,60)</f>
        <v>42983</v>
      </c>
      <c r="I55" s="48">
        <f>HLOOKUP(C55,$F$22:$J$23,2,0)*IF(E55="ALTA",1.2,1)</f>
        <v>150</v>
      </c>
    </row>
    <row r="56" spans="1:9" outlineLevel="1" x14ac:dyDescent="0.2">
      <c r="A56" s="14"/>
      <c r="B56" s="44"/>
      <c r="C56" s="44"/>
      <c r="D56" s="45"/>
      <c r="E56" s="47" t="s">
        <v>237</v>
      </c>
      <c r="F56" s="46"/>
      <c r="G56" s="46"/>
      <c r="H56" s="45"/>
      <c r="I56" s="49">
        <f>SUBTOTAL(9,I53:I55)</f>
        <v>450</v>
      </c>
    </row>
    <row r="57" spans="1:9" x14ac:dyDescent="0.2">
      <c r="A57" s="14"/>
      <c r="B57" s="44"/>
      <c r="C57" s="44"/>
      <c r="D57" s="45"/>
      <c r="E57" s="47" t="s">
        <v>238</v>
      </c>
      <c r="F57" s="46"/>
      <c r="G57" s="46"/>
      <c r="H57" s="45"/>
      <c r="I57" s="49">
        <f>SUBTOTAL(9,I41:I55)</f>
        <v>2136</v>
      </c>
    </row>
    <row r="90" spans="1:1" x14ac:dyDescent="0.2">
      <c r="A90" s="21">
        <v>41730</v>
      </c>
    </row>
  </sheetData>
  <sortState ref="A41:I53">
    <sortCondition ref="E41:E53"/>
    <sortCondition ref="B41:B53"/>
  </sortState>
  <mergeCells count="1">
    <mergeCell ref="A2:I2"/>
  </mergeCells>
  <phoneticPr fontId="2" type="noConversion"/>
  <conditionalFormatting sqref="E5:E17">
    <cfRule type="containsText" dxfId="5" priority="4" operator="containsText" text="BAJA">
      <formula>NOT(ISERROR(SEARCH("BAJA",E5)))</formula>
    </cfRule>
    <cfRule type="containsText" dxfId="4" priority="5" operator="containsText" text="NORMAL">
      <formula>NOT(ISERROR(SEARCH("NORMAL",E5)))</formula>
    </cfRule>
    <cfRule type="containsText" dxfId="3" priority="6" operator="containsText" text="ALTA">
      <formula>NOT(ISERROR(SEARCH("ALTA",E5)))</formula>
    </cfRule>
  </conditionalFormatting>
  <conditionalFormatting sqref="E41:E46 E57 E53:E55 E48:E51">
    <cfRule type="containsText" dxfId="2" priority="1" operator="containsText" text="BAJA">
      <formula>NOT(ISERROR(SEARCH("BAJA",E41)))</formula>
    </cfRule>
    <cfRule type="containsText" dxfId="1" priority="2" operator="containsText" text="NORMAL">
      <formula>NOT(ISERROR(SEARCH("NORMAL",E41)))</formula>
    </cfRule>
    <cfRule type="containsText" dxfId="0" priority="3" operator="containsText" text="ALTA">
      <formula>NOT(ISERROR(SEARCH("ALTA",E41)))</formula>
    </cfRule>
  </conditionalFormatting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M1007"/>
  <sheetViews>
    <sheetView topLeftCell="A16" workbookViewId="0">
      <selection activeCell="E29" sqref="E29"/>
    </sheetView>
  </sheetViews>
  <sheetFormatPr baseColWidth="10" defaultRowHeight="12.75" outlineLevelRow="2" x14ac:dyDescent="0.2"/>
  <cols>
    <col min="3" max="3" width="12.28515625" bestFit="1" customWidth="1"/>
    <col min="5" max="6" width="14.42578125" bestFit="1" customWidth="1"/>
    <col min="13" max="13" width="11.5703125" bestFit="1" customWidth="1"/>
  </cols>
  <sheetData>
    <row r="1" spans="1:13" ht="13.5" thickBot="1" x14ac:dyDescent="0.25">
      <c r="M1" t="s">
        <v>234</v>
      </c>
    </row>
    <row r="2" spans="1:13" ht="21" customHeight="1" thickBot="1" x14ac:dyDescent="0.35">
      <c r="A2" s="145" t="s">
        <v>230</v>
      </c>
      <c r="B2" s="146"/>
      <c r="C2" s="146"/>
      <c r="D2" s="146"/>
      <c r="E2" s="146"/>
      <c r="F2" s="147"/>
    </row>
    <row r="3" spans="1:13" ht="13.5" thickBot="1" x14ac:dyDescent="0.25"/>
    <row r="4" spans="1:13" ht="26.25" customHeight="1" thickBot="1" x14ac:dyDescent="0.25">
      <c r="A4" s="53" t="s">
        <v>45</v>
      </c>
      <c r="B4" s="54" t="s">
        <v>46</v>
      </c>
      <c r="C4" s="54" t="s">
        <v>47</v>
      </c>
      <c r="D4" s="54" t="s">
        <v>7</v>
      </c>
      <c r="E4" s="55" t="s">
        <v>19</v>
      </c>
      <c r="F4" s="56" t="s">
        <v>167</v>
      </c>
    </row>
    <row r="5" spans="1:13" outlineLevel="2" x14ac:dyDescent="0.2">
      <c r="A5" s="3" t="s">
        <v>53</v>
      </c>
      <c r="B5" t="s">
        <v>164</v>
      </c>
      <c r="C5" t="s">
        <v>50</v>
      </c>
      <c r="D5">
        <v>17</v>
      </c>
      <c r="E5" s="51">
        <v>120000</v>
      </c>
      <c r="F5" s="52">
        <f>D5*E5</f>
        <v>2040000</v>
      </c>
    </row>
    <row r="6" spans="1:13" outlineLevel="2" x14ac:dyDescent="0.2">
      <c r="A6" s="3" t="s">
        <v>53</v>
      </c>
      <c r="B6" t="s">
        <v>163</v>
      </c>
      <c r="C6" t="s">
        <v>50</v>
      </c>
      <c r="D6">
        <v>16</v>
      </c>
      <c r="E6" s="51">
        <v>130000</v>
      </c>
      <c r="F6" s="52">
        <f>D6*E6</f>
        <v>2080000</v>
      </c>
    </row>
    <row r="7" spans="1:13" outlineLevel="2" x14ac:dyDescent="0.2">
      <c r="A7" s="3" t="s">
        <v>53</v>
      </c>
      <c r="B7" t="s">
        <v>54</v>
      </c>
      <c r="C7" t="s">
        <v>49</v>
      </c>
      <c r="D7">
        <v>12</v>
      </c>
      <c r="E7" s="51">
        <v>65000</v>
      </c>
      <c r="F7" s="52">
        <f>D7*E7</f>
        <v>780000</v>
      </c>
    </row>
    <row r="8" spans="1:13" outlineLevel="1" x14ac:dyDescent="0.2">
      <c r="A8" s="50" t="s">
        <v>242</v>
      </c>
      <c r="E8" s="51">
        <f>SUBTOTAL(4,E5:E7)</f>
        <v>130000</v>
      </c>
      <c r="F8" s="52"/>
    </row>
    <row r="9" spans="1:13" outlineLevel="2" x14ac:dyDescent="0.2">
      <c r="A9" s="3" t="s">
        <v>51</v>
      </c>
      <c r="B9" t="s">
        <v>52</v>
      </c>
      <c r="C9" t="s">
        <v>49</v>
      </c>
      <c r="D9">
        <v>15</v>
      </c>
      <c r="E9" s="51">
        <v>71000</v>
      </c>
      <c r="F9" s="52">
        <f>D9*E9</f>
        <v>1065000</v>
      </c>
    </row>
    <row r="10" spans="1:13" outlineLevel="2" x14ac:dyDescent="0.2">
      <c r="A10" s="3" t="s">
        <v>51</v>
      </c>
      <c r="B10" t="s">
        <v>55</v>
      </c>
      <c r="C10" t="s">
        <v>49</v>
      </c>
      <c r="D10">
        <v>16</v>
      </c>
      <c r="E10" s="51">
        <v>60000</v>
      </c>
      <c r="F10" s="52">
        <f>D10*E10</f>
        <v>960000</v>
      </c>
    </row>
    <row r="11" spans="1:13" outlineLevel="2" x14ac:dyDescent="0.2">
      <c r="A11" s="3" t="s">
        <v>51</v>
      </c>
      <c r="B11" t="s">
        <v>162</v>
      </c>
      <c r="C11" t="s">
        <v>49</v>
      </c>
      <c r="D11">
        <v>5</v>
      </c>
      <c r="E11" s="51">
        <v>80000</v>
      </c>
      <c r="F11" s="52">
        <f>D11*E11</f>
        <v>400000</v>
      </c>
    </row>
    <row r="12" spans="1:13" outlineLevel="1" x14ac:dyDescent="0.2">
      <c r="A12" s="50" t="s">
        <v>243</v>
      </c>
      <c r="E12" s="51">
        <f>SUBTOTAL(4,E9:E11)</f>
        <v>80000</v>
      </c>
      <c r="F12" s="52"/>
    </row>
    <row r="13" spans="1:13" outlineLevel="2" x14ac:dyDescent="0.2">
      <c r="A13" s="3" t="s">
        <v>56</v>
      </c>
      <c r="B13" s="3" t="s">
        <v>58</v>
      </c>
      <c r="C13" t="s">
        <v>50</v>
      </c>
      <c r="D13">
        <v>12</v>
      </c>
      <c r="E13" s="51">
        <v>75000</v>
      </c>
      <c r="F13" s="52">
        <f>D13*E13</f>
        <v>900000</v>
      </c>
    </row>
    <row r="14" spans="1:13" outlineLevel="2" x14ac:dyDescent="0.2">
      <c r="A14" s="3" t="s">
        <v>56</v>
      </c>
      <c r="B14" t="s">
        <v>57</v>
      </c>
      <c r="C14" t="s">
        <v>50</v>
      </c>
      <c r="D14">
        <v>4</v>
      </c>
      <c r="E14" s="51">
        <v>140000</v>
      </c>
      <c r="F14" s="52">
        <f>D14*E14</f>
        <v>560000</v>
      </c>
    </row>
    <row r="15" spans="1:13" outlineLevel="1" x14ac:dyDescent="0.2">
      <c r="A15" s="50" t="s">
        <v>244</v>
      </c>
      <c r="E15" s="51">
        <f>SUBTOTAL(4,E13:E14)</f>
        <v>140000</v>
      </c>
      <c r="F15" s="52"/>
    </row>
    <row r="16" spans="1:13" outlineLevel="2" x14ac:dyDescent="0.2">
      <c r="A16" s="3" t="s">
        <v>48</v>
      </c>
      <c r="B16" s="3">
        <v>307</v>
      </c>
      <c r="C16" t="s">
        <v>50</v>
      </c>
      <c r="D16">
        <v>9</v>
      </c>
      <c r="E16" s="51">
        <v>95000</v>
      </c>
      <c r="F16" s="52">
        <f>D16*E16</f>
        <v>855000</v>
      </c>
    </row>
    <row r="17" spans="1:6" outlineLevel="2" x14ac:dyDescent="0.2">
      <c r="A17" s="3" t="s">
        <v>48</v>
      </c>
      <c r="B17" s="3">
        <v>406</v>
      </c>
      <c r="C17" t="s">
        <v>50</v>
      </c>
      <c r="D17">
        <v>12</v>
      </c>
      <c r="E17" s="51">
        <v>110000</v>
      </c>
      <c r="F17" s="52">
        <f>D17*E17</f>
        <v>1320000</v>
      </c>
    </row>
    <row r="18" spans="1:6" outlineLevel="2" x14ac:dyDescent="0.2">
      <c r="A18" s="3" t="s">
        <v>48</v>
      </c>
      <c r="B18" s="3">
        <v>206</v>
      </c>
      <c r="C18" t="s">
        <v>49</v>
      </c>
      <c r="D18">
        <v>20</v>
      </c>
      <c r="E18" s="51">
        <v>78000</v>
      </c>
      <c r="F18" s="52">
        <f>D18*E18</f>
        <v>1560000</v>
      </c>
    </row>
    <row r="19" spans="1:6" outlineLevel="1" x14ac:dyDescent="0.2">
      <c r="A19" s="50" t="s">
        <v>245</v>
      </c>
      <c r="B19" s="3"/>
      <c r="E19" s="51">
        <f>SUBTOTAL(4,E16:E18)</f>
        <v>110000</v>
      </c>
      <c r="F19" s="52"/>
    </row>
    <row r="20" spans="1:6" x14ac:dyDescent="0.2">
      <c r="A20" s="50" t="s">
        <v>246</v>
      </c>
      <c r="B20" s="3"/>
      <c r="E20" s="51">
        <f>SUBTOTAL(4,E5:E18)</f>
        <v>140000</v>
      </c>
      <c r="F20" s="52"/>
    </row>
    <row r="21" spans="1:6" x14ac:dyDescent="0.2">
      <c r="A21" s="3"/>
    </row>
    <row r="22" spans="1:6" x14ac:dyDescent="0.2">
      <c r="A22" s="3"/>
      <c r="C22" s="4"/>
    </row>
    <row r="23" spans="1:6" ht="13.5" thickBot="1" x14ac:dyDescent="0.25">
      <c r="A23" s="3"/>
      <c r="C23" s="4"/>
    </row>
    <row r="24" spans="1:6" x14ac:dyDescent="0.2">
      <c r="A24" s="57"/>
      <c r="B24" s="58"/>
      <c r="C24" s="59" t="s">
        <v>59</v>
      </c>
      <c r="D24" s="60" t="s">
        <v>60</v>
      </c>
    </row>
    <row r="25" spans="1:6" x14ac:dyDescent="0.2">
      <c r="A25" s="148" t="s">
        <v>168</v>
      </c>
      <c r="B25" s="149"/>
      <c r="C25" s="61">
        <f>SUMIF(C5:C18,"=Importado",D5:D18)</f>
        <v>70</v>
      </c>
      <c r="D25" s="62">
        <f>COUNTIF(C5:C18,"=Importado")</f>
        <v>6</v>
      </c>
    </row>
    <row r="26" spans="1:6" ht="13.5" thickBot="1" x14ac:dyDescent="0.25">
      <c r="A26" s="150" t="s">
        <v>169</v>
      </c>
      <c r="B26" s="151"/>
      <c r="C26" s="63">
        <f>SUMIF(C5:C18,"=Nacional",D5:D18)</f>
        <v>68</v>
      </c>
      <c r="D26" s="64">
        <f>COUNTIF(C5:C18,"=Nacional")</f>
        <v>5</v>
      </c>
    </row>
    <row r="27" spans="1:6" ht="13.5" thickBot="1" x14ac:dyDescent="0.25"/>
    <row r="28" spans="1:6" x14ac:dyDescent="0.2">
      <c r="A28" s="152" t="s">
        <v>247</v>
      </c>
      <c r="B28" s="153"/>
      <c r="C28" s="154"/>
      <c r="D28" s="65" t="s">
        <v>51</v>
      </c>
      <c r="E28" s="67">
        <f>AVERAGEIF(A5:A18,D28,F5:F18)</f>
        <v>808333.33333333337</v>
      </c>
    </row>
    <row r="29" spans="1:6" ht="13.5" thickBot="1" x14ac:dyDescent="0.25">
      <c r="A29" s="150" t="s">
        <v>248</v>
      </c>
      <c r="B29" s="155"/>
      <c r="C29" s="151"/>
      <c r="D29" s="66" t="s">
        <v>49</v>
      </c>
      <c r="E29" s="68">
        <f>SUMIF(C5:C18,D29,F5:F18)</f>
        <v>4765000</v>
      </c>
    </row>
    <row r="32" spans="1:6" ht="13.5" thickBot="1" x14ac:dyDescent="0.25"/>
    <row r="33" spans="1:3" ht="13.5" thickBot="1" x14ac:dyDescent="0.25">
      <c r="A33" s="142" t="s">
        <v>241</v>
      </c>
      <c r="B33" s="143"/>
      <c r="C33" s="144"/>
    </row>
    <row r="35" spans="1:3" x14ac:dyDescent="0.2">
      <c r="A35" s="69" t="s">
        <v>239</v>
      </c>
      <c r="B35" s="27"/>
      <c r="C35" s="69" t="s">
        <v>240</v>
      </c>
    </row>
    <row r="36" spans="1:3" x14ac:dyDescent="0.2">
      <c r="A36" s="8" t="s">
        <v>50</v>
      </c>
      <c r="C36" s="8" t="s">
        <v>51</v>
      </c>
    </row>
    <row r="37" spans="1:3" x14ac:dyDescent="0.2">
      <c r="A37" s="8" t="s">
        <v>49</v>
      </c>
      <c r="C37" s="8" t="s">
        <v>56</v>
      </c>
    </row>
    <row r="38" spans="1:3" x14ac:dyDescent="0.2">
      <c r="C38" s="8" t="s">
        <v>48</v>
      </c>
    </row>
    <row r="39" spans="1:3" x14ac:dyDescent="0.2">
      <c r="C39" s="8" t="s">
        <v>53</v>
      </c>
    </row>
    <row r="105" spans="1:1" x14ac:dyDescent="0.2">
      <c r="A105" s="21">
        <v>41730</v>
      </c>
    </row>
    <row r="1007" spans="1:1" x14ac:dyDescent="0.2">
      <c r="A1007" t="s">
        <v>152</v>
      </c>
    </row>
  </sheetData>
  <sortState ref="A5:F15">
    <sortCondition ref="A5:A15"/>
    <sortCondition ref="C5:C15"/>
  </sortState>
  <mergeCells count="6">
    <mergeCell ref="A33:C33"/>
    <mergeCell ref="A2:F2"/>
    <mergeCell ref="A25:B25"/>
    <mergeCell ref="A26:B26"/>
    <mergeCell ref="A28:C28"/>
    <mergeCell ref="A29:C29"/>
  </mergeCells>
  <phoneticPr fontId="2" type="noConversion"/>
  <dataValidations count="2">
    <dataValidation type="list" allowBlank="1" showInputMessage="1" showErrorMessage="1" error="El origen no es válido." prompt="El origen puede ser Importado o Nacional." sqref="D29">
      <formula1>$A$36:$A$37</formula1>
    </dataValidation>
    <dataValidation type="list" allowBlank="1" showInputMessage="1" showErrorMessage="1" error="La marca no es válida." prompt="La marca puede ser Fiat, Ford, Peugeot o Chevrolet." sqref="D28">
      <formula1>$C$36:$C$39</formula1>
    </dataValidation>
  </dataValidation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M100"/>
  <sheetViews>
    <sheetView topLeftCell="A4" workbookViewId="0">
      <selection activeCell="E18" sqref="E18"/>
    </sheetView>
  </sheetViews>
  <sheetFormatPr baseColWidth="10" defaultRowHeight="12.75" x14ac:dyDescent="0.2"/>
  <cols>
    <col min="2" max="2" width="13" bestFit="1" customWidth="1"/>
    <col min="3" max="3" width="14.5703125" bestFit="1" customWidth="1"/>
    <col min="5" max="5" width="14.5703125" bestFit="1" customWidth="1"/>
    <col min="6" max="6" width="18.42578125" bestFit="1" customWidth="1"/>
    <col min="13" max="13" width="11.5703125" bestFit="1" customWidth="1"/>
  </cols>
  <sheetData>
    <row r="1" spans="1:13" ht="24.75" customHeight="1" x14ac:dyDescent="0.4">
      <c r="A1" s="156" t="s">
        <v>172</v>
      </c>
      <c r="B1" s="156"/>
      <c r="C1" s="156"/>
      <c r="M1" t="s">
        <v>234</v>
      </c>
    </row>
    <row r="2" spans="1:13" x14ac:dyDescent="0.2">
      <c r="A2" s="157" t="s">
        <v>173</v>
      </c>
      <c r="B2" s="158"/>
      <c r="C2" s="158"/>
      <c r="D2" s="158"/>
      <c r="E2" s="158"/>
      <c r="F2" s="158"/>
      <c r="G2" s="158"/>
    </row>
    <row r="3" spans="1:13" ht="38.25" customHeight="1" x14ac:dyDescent="0.2">
      <c r="A3" s="158"/>
      <c r="B3" s="158"/>
      <c r="C3" s="158"/>
      <c r="D3" s="158"/>
      <c r="E3" s="158"/>
      <c r="F3" s="158"/>
      <c r="G3" s="158"/>
    </row>
    <row r="4" spans="1:13" x14ac:dyDescent="0.2">
      <c r="K4" s="14"/>
      <c r="L4" s="14"/>
    </row>
    <row r="5" spans="1:13" x14ac:dyDescent="0.2">
      <c r="A5" s="159" t="s">
        <v>178</v>
      </c>
      <c r="B5" s="159"/>
      <c r="C5" s="159"/>
      <c r="D5" s="159"/>
      <c r="E5" s="159"/>
      <c r="F5" s="159"/>
      <c r="G5" s="159"/>
      <c r="K5" s="14"/>
      <c r="L5" s="15"/>
    </row>
    <row r="6" spans="1:13" ht="36.75" customHeight="1" x14ac:dyDescent="0.2">
      <c r="A6" s="70" t="s">
        <v>61</v>
      </c>
      <c r="B6" s="70" t="s">
        <v>62</v>
      </c>
      <c r="C6" s="70" t="s">
        <v>63</v>
      </c>
      <c r="D6" s="70" t="s">
        <v>64</v>
      </c>
      <c r="E6" s="70" t="s">
        <v>65</v>
      </c>
      <c r="F6" s="70" t="s">
        <v>66</v>
      </c>
      <c r="G6" s="70" t="s">
        <v>67</v>
      </c>
      <c r="J6" s="14"/>
      <c r="K6" s="14"/>
      <c r="L6" s="15"/>
    </row>
    <row r="7" spans="1:13" x14ac:dyDescent="0.2">
      <c r="A7" s="8">
        <v>1</v>
      </c>
      <c r="B7" s="17" t="str">
        <f>IF(ISBLANK(A7),"Ingrese código",VLOOKUP(A7,$A$26:$C$36,2,0))</f>
        <v>ACER</v>
      </c>
      <c r="C7" s="8" t="s">
        <v>175</v>
      </c>
      <c r="D7" s="17">
        <f>IF(ISBLANK(A7), "", VLOOKUP(A7,$A$26:$C$36,3,0))</f>
        <v>7120</v>
      </c>
      <c r="E7" s="28">
        <f>IF(ISBLANK(A7), "", (D7 / HLOOKUP(C7,$E$26:$I$28,2,0)))</f>
        <v>2373.3333333333335</v>
      </c>
      <c r="F7" s="31">
        <f>IF(ISBLANK(A7), "", E7 * HLOOKUP(C7,$E$26:$I$28,3,0))</f>
        <v>59.333333333333343</v>
      </c>
      <c r="G7" s="31">
        <f>IF(ISBLANK(A7), "", E7+F7)</f>
        <v>2432.666666666667</v>
      </c>
      <c r="J7" s="14"/>
      <c r="K7" s="14"/>
      <c r="L7" s="15"/>
    </row>
    <row r="8" spans="1:13" x14ac:dyDescent="0.2">
      <c r="A8" s="8">
        <v>2</v>
      </c>
      <c r="B8" s="17" t="str">
        <f t="shared" ref="B8:B16" si="0">IF(ISBLANK(A8),"Ingrese código",VLOOKUP(A8,$A$26:$C$36,2,0))</f>
        <v>IBM</v>
      </c>
      <c r="C8" s="30" t="s">
        <v>177</v>
      </c>
      <c r="D8" s="17">
        <f t="shared" ref="D8:D16" si="1">IF(ISBLANK(A8), "", VLOOKUP(A8,$A$26:$C$36,3,0))</f>
        <v>4890</v>
      </c>
      <c r="E8" s="28">
        <f t="shared" ref="E8:E16" si="2">IF(ISBLANK(A8), "", (D8 / HLOOKUP(C8,$E$26:$I$28,2,0)))</f>
        <v>407.5</v>
      </c>
      <c r="F8" s="31">
        <f t="shared" ref="F8:F16" si="3">IF(ISBLANK(A8), "", E8 * HLOOKUP(C8,$E$26:$I$28,3,0))</f>
        <v>18.337499999999999</v>
      </c>
      <c r="G8" s="31">
        <f t="shared" ref="G8:G16" si="4">IF(ISBLANK(A8), "", E8+F8)</f>
        <v>425.83749999999998</v>
      </c>
      <c r="J8" s="14"/>
    </row>
    <row r="9" spans="1:13" x14ac:dyDescent="0.2">
      <c r="A9" s="8">
        <v>3</v>
      </c>
      <c r="B9" s="17" t="str">
        <f t="shared" si="0"/>
        <v>EPSON</v>
      </c>
      <c r="C9" s="8" t="s">
        <v>176</v>
      </c>
      <c r="D9" s="17">
        <f t="shared" si="1"/>
        <v>3525</v>
      </c>
      <c r="E9" s="28">
        <f t="shared" si="2"/>
        <v>587.5</v>
      </c>
      <c r="F9" s="31">
        <f t="shared" si="3"/>
        <v>22.03125</v>
      </c>
      <c r="G9" s="31">
        <f t="shared" si="4"/>
        <v>609.53125</v>
      </c>
      <c r="J9" s="14"/>
    </row>
    <row r="10" spans="1:13" x14ac:dyDescent="0.2">
      <c r="A10" s="8">
        <v>9</v>
      </c>
      <c r="B10" s="17" t="str">
        <f t="shared" si="0"/>
        <v>APPLE</v>
      </c>
      <c r="C10" s="7" t="s">
        <v>175</v>
      </c>
      <c r="D10" s="17">
        <f t="shared" si="1"/>
        <v>8945</v>
      </c>
      <c r="E10" s="28">
        <f t="shared" si="2"/>
        <v>2981.6666666666665</v>
      </c>
      <c r="F10" s="31">
        <f t="shared" si="3"/>
        <v>74.541666666666671</v>
      </c>
      <c r="G10" s="31">
        <f t="shared" si="4"/>
        <v>3056.208333333333</v>
      </c>
      <c r="H10" s="1"/>
      <c r="I10" s="1"/>
    </row>
    <row r="11" spans="1:13" x14ac:dyDescent="0.2">
      <c r="A11" s="8">
        <v>5</v>
      </c>
      <c r="B11" s="17" t="str">
        <f t="shared" si="0"/>
        <v>TEXAS</v>
      </c>
      <c r="C11" s="7" t="s">
        <v>174</v>
      </c>
      <c r="D11" s="17">
        <f t="shared" si="1"/>
        <v>4800</v>
      </c>
      <c r="E11" s="28">
        <f t="shared" si="2"/>
        <v>4800</v>
      </c>
      <c r="F11" s="31">
        <f t="shared" si="3"/>
        <v>0</v>
      </c>
      <c r="G11" s="31">
        <f t="shared" si="4"/>
        <v>4800</v>
      </c>
      <c r="H11" s="1"/>
      <c r="I11" s="1"/>
    </row>
    <row r="12" spans="1:13" x14ac:dyDescent="0.2">
      <c r="A12" s="8">
        <v>2</v>
      </c>
      <c r="B12" s="17" t="str">
        <f t="shared" si="0"/>
        <v>IBM</v>
      </c>
      <c r="C12" s="7" t="s">
        <v>176</v>
      </c>
      <c r="D12" s="17">
        <f t="shared" si="1"/>
        <v>4890</v>
      </c>
      <c r="E12" s="28">
        <f t="shared" si="2"/>
        <v>815</v>
      </c>
      <c r="F12" s="31">
        <f t="shared" si="3"/>
        <v>30.5625</v>
      </c>
      <c r="G12" s="31">
        <f t="shared" si="4"/>
        <v>845.5625</v>
      </c>
      <c r="H12" s="1"/>
      <c r="I12" s="1"/>
    </row>
    <row r="13" spans="1:13" x14ac:dyDescent="0.2">
      <c r="A13" s="8">
        <v>7</v>
      </c>
      <c r="B13" s="17" t="str">
        <f t="shared" si="0"/>
        <v>TOSHIBA</v>
      </c>
      <c r="C13" s="7" t="s">
        <v>174</v>
      </c>
      <c r="D13" s="17">
        <f t="shared" si="1"/>
        <v>6530</v>
      </c>
      <c r="E13" s="28">
        <f t="shared" si="2"/>
        <v>6530</v>
      </c>
      <c r="F13" s="31">
        <f t="shared" si="3"/>
        <v>0</v>
      </c>
      <c r="G13" s="31">
        <f t="shared" si="4"/>
        <v>6530</v>
      </c>
      <c r="H13" s="1"/>
      <c r="I13" s="1"/>
    </row>
    <row r="14" spans="1:13" x14ac:dyDescent="0.2">
      <c r="A14" s="8">
        <v>8</v>
      </c>
      <c r="B14" s="17" t="str">
        <f t="shared" si="0"/>
        <v>COMPAQ</v>
      </c>
      <c r="C14" s="7" t="s">
        <v>175</v>
      </c>
      <c r="D14" s="17">
        <f t="shared" si="1"/>
        <v>5645</v>
      </c>
      <c r="E14" s="28">
        <f t="shared" si="2"/>
        <v>1881.6666666666667</v>
      </c>
      <c r="F14" s="31">
        <f t="shared" si="3"/>
        <v>47.041666666666671</v>
      </c>
      <c r="G14" s="31">
        <f t="shared" si="4"/>
        <v>1928.7083333333335</v>
      </c>
      <c r="H14" s="1"/>
      <c r="I14" s="1"/>
    </row>
    <row r="15" spans="1:13" x14ac:dyDescent="0.2">
      <c r="A15" s="8">
        <v>9</v>
      </c>
      <c r="B15" s="17" t="str">
        <f t="shared" si="0"/>
        <v>APPLE</v>
      </c>
      <c r="C15" s="7" t="s">
        <v>176</v>
      </c>
      <c r="D15" s="17">
        <f t="shared" si="1"/>
        <v>8945</v>
      </c>
      <c r="E15" s="28">
        <f t="shared" si="2"/>
        <v>1490.8333333333333</v>
      </c>
      <c r="F15" s="31">
        <f t="shared" si="3"/>
        <v>55.906249999999993</v>
      </c>
      <c r="G15" s="31">
        <f t="shared" si="4"/>
        <v>1546.7395833333333</v>
      </c>
      <c r="H15" s="1"/>
      <c r="I15" s="1"/>
    </row>
    <row r="16" spans="1:13" x14ac:dyDescent="0.2">
      <c r="A16" s="8">
        <v>10</v>
      </c>
      <c r="B16" s="17" t="str">
        <f t="shared" si="0"/>
        <v>LG</v>
      </c>
      <c r="C16" s="7" t="s">
        <v>177</v>
      </c>
      <c r="D16" s="17">
        <f t="shared" si="1"/>
        <v>3700</v>
      </c>
      <c r="E16" s="28">
        <f t="shared" si="2"/>
        <v>308.33333333333331</v>
      </c>
      <c r="F16" s="31">
        <f t="shared" si="3"/>
        <v>13.874999999999998</v>
      </c>
      <c r="G16" s="31">
        <f t="shared" si="4"/>
        <v>322.20833333333331</v>
      </c>
      <c r="H16" s="1"/>
      <c r="I16" s="1"/>
    </row>
    <row r="17" spans="1:9" x14ac:dyDescent="0.2">
      <c r="C17" s="4"/>
      <c r="D17" s="1"/>
      <c r="G17" s="1"/>
      <c r="H17" s="1"/>
      <c r="I17" s="1"/>
    </row>
    <row r="18" spans="1:9" ht="13.5" thickBot="1" x14ac:dyDescent="0.25">
      <c r="C18" s="4"/>
      <c r="D18" s="1"/>
      <c r="G18" s="1"/>
      <c r="H18" s="1"/>
      <c r="I18" s="1"/>
    </row>
    <row r="19" spans="1:9" x14ac:dyDescent="0.2">
      <c r="A19" s="76"/>
      <c r="B19" s="82" t="s">
        <v>7</v>
      </c>
      <c r="C19" s="85" t="s">
        <v>167</v>
      </c>
      <c r="D19" s="1"/>
      <c r="G19" s="1"/>
      <c r="H19" s="1"/>
      <c r="I19" s="1"/>
    </row>
    <row r="20" spans="1:9" x14ac:dyDescent="0.2">
      <c r="A20" s="77" t="s">
        <v>174</v>
      </c>
      <c r="B20" s="83">
        <f>COUNTIF($C$7:$C$16,A20)</f>
        <v>2</v>
      </c>
      <c r="C20" s="80">
        <f>SUMIF($C$7:$C$16,A20,$G$7:$G$16)</f>
        <v>11330</v>
      </c>
      <c r="D20" s="1"/>
      <c r="G20" s="1"/>
      <c r="H20" s="1"/>
      <c r="I20" s="1"/>
    </row>
    <row r="21" spans="1:9" x14ac:dyDescent="0.2">
      <c r="A21" s="77" t="s">
        <v>175</v>
      </c>
      <c r="B21" s="83">
        <f t="shared" ref="B21:B23" si="5">COUNTIF($C$7:$C$16,A21)</f>
        <v>3</v>
      </c>
      <c r="C21" s="80">
        <f t="shared" ref="C21:C23" si="6">SUMIF($C$7:$C$16,A21,$G$7:$G$16)</f>
        <v>7417.5833333333339</v>
      </c>
      <c r="D21" s="1"/>
      <c r="G21" s="1"/>
      <c r="H21" s="1"/>
      <c r="I21" s="1"/>
    </row>
    <row r="22" spans="1:9" x14ac:dyDescent="0.2">
      <c r="A22" s="77" t="s">
        <v>176</v>
      </c>
      <c r="B22" s="83">
        <f t="shared" si="5"/>
        <v>3</v>
      </c>
      <c r="C22" s="80">
        <f t="shared" si="6"/>
        <v>3001.833333333333</v>
      </c>
      <c r="D22" s="1"/>
      <c r="G22" s="1"/>
      <c r="H22" s="1"/>
      <c r="I22" s="1"/>
    </row>
    <row r="23" spans="1:9" ht="13.5" thickBot="1" x14ac:dyDescent="0.25">
      <c r="A23" s="78" t="s">
        <v>177</v>
      </c>
      <c r="B23" s="84">
        <f t="shared" si="5"/>
        <v>2</v>
      </c>
      <c r="C23" s="81">
        <f t="shared" si="6"/>
        <v>748.04583333333335</v>
      </c>
      <c r="D23" s="1"/>
      <c r="G23" s="1"/>
      <c r="H23" s="1"/>
      <c r="I23" s="1"/>
    </row>
    <row r="25" spans="1:9" ht="13.5" thickBot="1" x14ac:dyDescent="0.25"/>
    <row r="26" spans="1:9" x14ac:dyDescent="0.2">
      <c r="A26" s="76" t="s">
        <v>61</v>
      </c>
      <c r="B26" s="76" t="s">
        <v>62</v>
      </c>
      <c r="C26" s="79" t="s">
        <v>64</v>
      </c>
      <c r="E26" s="73" t="s">
        <v>63</v>
      </c>
      <c r="F26" s="71" t="s">
        <v>174</v>
      </c>
      <c r="G26" s="8" t="s">
        <v>175</v>
      </c>
      <c r="H26" s="8" t="s">
        <v>176</v>
      </c>
      <c r="I26" s="8" t="s">
        <v>177</v>
      </c>
    </row>
    <row r="27" spans="1:9" x14ac:dyDescent="0.2">
      <c r="A27" s="77">
        <v>1</v>
      </c>
      <c r="B27" s="77" t="s">
        <v>153</v>
      </c>
      <c r="C27" s="80">
        <v>7120</v>
      </c>
      <c r="E27" s="74" t="s">
        <v>75</v>
      </c>
      <c r="F27" s="71">
        <v>1</v>
      </c>
      <c r="G27" s="8">
        <v>3</v>
      </c>
      <c r="H27" s="8">
        <v>6</v>
      </c>
      <c r="I27" s="8">
        <v>12</v>
      </c>
    </row>
    <row r="28" spans="1:9" ht="13.5" thickBot="1" x14ac:dyDescent="0.25">
      <c r="A28" s="77">
        <v>8</v>
      </c>
      <c r="B28" s="77" t="s">
        <v>74</v>
      </c>
      <c r="C28" s="80">
        <v>5645</v>
      </c>
      <c r="E28" s="75" t="s">
        <v>179</v>
      </c>
      <c r="F28" s="72">
        <v>0</v>
      </c>
      <c r="G28" s="9">
        <v>2.5000000000000001E-2</v>
      </c>
      <c r="H28" s="9">
        <v>3.7499999999999999E-2</v>
      </c>
      <c r="I28" s="9">
        <v>4.4999999999999998E-2</v>
      </c>
    </row>
    <row r="29" spans="1:9" x14ac:dyDescent="0.2">
      <c r="A29" s="77">
        <v>3</v>
      </c>
      <c r="B29" s="77" t="s">
        <v>69</v>
      </c>
      <c r="C29" s="80">
        <v>3525</v>
      </c>
    </row>
    <row r="30" spans="1:9" x14ac:dyDescent="0.2">
      <c r="A30" s="77">
        <v>4</v>
      </c>
      <c r="B30" s="77" t="s">
        <v>70</v>
      </c>
      <c r="C30" s="80">
        <v>2600</v>
      </c>
      <c r="E30" s="13" t="s">
        <v>252</v>
      </c>
    </row>
    <row r="31" spans="1:9" x14ac:dyDescent="0.2">
      <c r="A31" s="77">
        <v>2</v>
      </c>
      <c r="B31" s="77" t="s">
        <v>68</v>
      </c>
      <c r="C31" s="80">
        <v>4890</v>
      </c>
      <c r="E31" s="13" t="s">
        <v>253</v>
      </c>
    </row>
    <row r="32" spans="1:9" x14ac:dyDescent="0.2">
      <c r="A32" s="77">
        <v>9</v>
      </c>
      <c r="B32" s="77" t="s">
        <v>171</v>
      </c>
      <c r="C32" s="80">
        <v>8945</v>
      </c>
    </row>
    <row r="33" spans="1:3" x14ac:dyDescent="0.2">
      <c r="A33" s="77">
        <v>6</v>
      </c>
      <c r="B33" s="77" t="s">
        <v>72</v>
      </c>
      <c r="C33" s="80">
        <v>5500</v>
      </c>
    </row>
    <row r="34" spans="1:3" x14ac:dyDescent="0.2">
      <c r="A34" s="77">
        <v>5</v>
      </c>
      <c r="B34" s="77" t="s">
        <v>71</v>
      </c>
      <c r="C34" s="80">
        <v>4800</v>
      </c>
    </row>
    <row r="35" spans="1:3" x14ac:dyDescent="0.2">
      <c r="A35" s="77">
        <v>10</v>
      </c>
      <c r="B35" s="77" t="s">
        <v>170</v>
      </c>
      <c r="C35" s="80">
        <v>3700</v>
      </c>
    </row>
    <row r="36" spans="1:3" ht="13.5" thickBot="1" x14ac:dyDescent="0.25">
      <c r="A36" s="78">
        <v>7</v>
      </c>
      <c r="B36" s="78" t="s">
        <v>73</v>
      </c>
      <c r="C36" s="81">
        <v>6530</v>
      </c>
    </row>
    <row r="100" spans="1:1" x14ac:dyDescent="0.2">
      <c r="A100" s="21">
        <v>41730</v>
      </c>
    </row>
  </sheetData>
  <sortState ref="A25:C34">
    <sortCondition ref="B12:B21"/>
    <sortCondition ref="C12:C21"/>
  </sortState>
  <mergeCells count="3">
    <mergeCell ref="A1:C1"/>
    <mergeCell ref="A2:G3"/>
    <mergeCell ref="A5:G5"/>
  </mergeCells>
  <phoneticPr fontId="2" type="noConversion"/>
  <dataValidations count="2">
    <dataValidation type="whole" allowBlank="1" showInputMessage="1" showErrorMessage="1" error="El código no es válido." prompt="Ingrese un código entre 1 y 10." sqref="A7:A16">
      <formula1>1</formula1>
      <formula2>10</formula2>
    </dataValidation>
    <dataValidation type="list" allowBlank="1" showInputMessage="1" showErrorMessage="1" error="Plan no válido." prompt="Las opciones posibles son PLAN 0, 1, 2 o 3." sqref="C7:C16">
      <formula1>$A$20:$A$23</formula1>
    </dataValidation>
  </dataValidations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M100"/>
  <sheetViews>
    <sheetView workbookViewId="0">
      <selection activeCell="J3" sqref="J3"/>
    </sheetView>
  </sheetViews>
  <sheetFormatPr baseColWidth="10" defaultRowHeight="12.75" x14ac:dyDescent="0.2"/>
  <cols>
    <col min="1" max="1" width="16.42578125" bestFit="1" customWidth="1"/>
    <col min="2" max="2" width="10" customWidth="1"/>
    <col min="3" max="3" width="10.85546875" bestFit="1" customWidth="1"/>
    <col min="4" max="4" width="10.42578125" customWidth="1"/>
    <col min="5" max="6" width="9.7109375" customWidth="1"/>
    <col min="10" max="10" width="11.7109375" bestFit="1" customWidth="1"/>
    <col min="13" max="13" width="11.5703125" bestFit="1" customWidth="1"/>
  </cols>
  <sheetData>
    <row r="1" spans="1:13" ht="54" customHeight="1" x14ac:dyDescent="0.2">
      <c r="A1" s="161" t="s">
        <v>249</v>
      </c>
      <c r="B1" s="161"/>
      <c r="C1" s="161"/>
      <c r="D1" s="161"/>
      <c r="E1" s="161"/>
      <c r="F1" s="161"/>
      <c r="G1" s="161"/>
      <c r="H1" s="161"/>
      <c r="I1" s="161"/>
      <c r="J1" s="161"/>
      <c r="M1" t="s">
        <v>234</v>
      </c>
    </row>
    <row r="2" spans="1:13" ht="27.75" customHeight="1" x14ac:dyDescent="0.2">
      <c r="A2" s="86" t="s">
        <v>76</v>
      </c>
      <c r="B2" s="86" t="s">
        <v>77</v>
      </c>
      <c r="C2" s="86" t="s">
        <v>78</v>
      </c>
      <c r="D2" s="86" t="s">
        <v>79</v>
      </c>
      <c r="E2" s="86" t="s">
        <v>80</v>
      </c>
      <c r="F2" s="87" t="s">
        <v>190</v>
      </c>
      <c r="G2" s="86" t="s">
        <v>81</v>
      </c>
      <c r="H2" s="86" t="s">
        <v>82</v>
      </c>
      <c r="I2" s="86" t="s">
        <v>83</v>
      </c>
      <c r="J2" s="86" t="s">
        <v>84</v>
      </c>
    </row>
    <row r="3" spans="1:13" ht="15" customHeight="1" x14ac:dyDescent="0.2">
      <c r="A3" s="88" t="s">
        <v>180</v>
      </c>
      <c r="B3" s="89" t="s">
        <v>95</v>
      </c>
      <c r="C3" s="91">
        <f>HLOOKUP(B3,$B$24:$H$26,2,0)</f>
        <v>2766</v>
      </c>
      <c r="D3" s="91">
        <f>HLOOKUP(B3,$B$24:$H$26,3,0)</f>
        <v>170</v>
      </c>
      <c r="E3" s="91">
        <f>C3*$A$21</f>
        <v>235.11</v>
      </c>
      <c r="F3" s="92">
        <v>8</v>
      </c>
      <c r="G3" s="91">
        <f>IF(F3&gt;$B$16, (F3 - $B$16) * $C$17, B17)</f>
        <v>0</v>
      </c>
      <c r="H3" s="91" t="s">
        <v>88</v>
      </c>
      <c r="I3" s="91">
        <f>C3 * VLOOKUP(H3,$E$15:$F$17,2,0)</f>
        <v>1106.4000000000001</v>
      </c>
      <c r="J3" s="91">
        <f>C3 + D3 + E3 + G3 - I3</f>
        <v>2064.71</v>
      </c>
    </row>
    <row r="4" spans="1:13" x14ac:dyDescent="0.2">
      <c r="A4" s="88" t="s">
        <v>181</v>
      </c>
      <c r="B4" s="89" t="s">
        <v>87</v>
      </c>
      <c r="C4" s="91">
        <f t="shared" ref="C4:C12" si="0">HLOOKUP(B4,$B$24:$H$26,2,0)</f>
        <v>2096</v>
      </c>
      <c r="D4" s="91">
        <f t="shared" ref="D4:D12" si="1">HLOOKUP(B4,$B$24:$H$26,3,0)</f>
        <v>140</v>
      </c>
      <c r="E4" s="91">
        <f t="shared" ref="E4:E12" si="2">C4*$A$21</f>
        <v>178.16000000000003</v>
      </c>
      <c r="F4" s="92">
        <v>4</v>
      </c>
      <c r="G4" s="91">
        <f t="shared" ref="G4:G12" si="3">IF(F4&gt;$B$16, (F4 - $B$16) * $C$17, B18)</f>
        <v>0</v>
      </c>
      <c r="H4" s="91" t="s">
        <v>88</v>
      </c>
      <c r="I4" s="91">
        <f t="shared" ref="I4:I12" si="4">C4 * VLOOKUP(H4,$E$15:$F$17,2,0)</f>
        <v>838.40000000000009</v>
      </c>
      <c r="J4" s="91">
        <f t="shared" ref="J4:J12" si="5">C4 + D4 + E4 + G4 - I4</f>
        <v>1575.7599999999998</v>
      </c>
    </row>
    <row r="5" spans="1:13" x14ac:dyDescent="0.2">
      <c r="A5" s="88" t="s">
        <v>182</v>
      </c>
      <c r="B5" s="89" t="s">
        <v>232</v>
      </c>
      <c r="C5" s="91">
        <f t="shared" si="0"/>
        <v>2496</v>
      </c>
      <c r="D5" s="91">
        <f t="shared" si="1"/>
        <v>120</v>
      </c>
      <c r="E5" s="91">
        <f t="shared" si="2"/>
        <v>212.16000000000003</v>
      </c>
      <c r="F5" s="92">
        <v>12</v>
      </c>
      <c r="G5" s="91">
        <f t="shared" si="3"/>
        <v>96</v>
      </c>
      <c r="H5" s="91" t="s">
        <v>88</v>
      </c>
      <c r="I5" s="91">
        <f t="shared" si="4"/>
        <v>998.40000000000009</v>
      </c>
      <c r="J5" s="91">
        <f t="shared" si="5"/>
        <v>1925.7599999999998</v>
      </c>
    </row>
    <row r="6" spans="1:13" x14ac:dyDescent="0.2">
      <c r="A6" s="88" t="s">
        <v>183</v>
      </c>
      <c r="B6" s="89" t="s">
        <v>86</v>
      </c>
      <c r="C6" s="91">
        <f t="shared" si="0"/>
        <v>2809</v>
      </c>
      <c r="D6" s="91">
        <f t="shared" si="1"/>
        <v>150</v>
      </c>
      <c r="E6" s="91">
        <f t="shared" si="2"/>
        <v>238.76500000000001</v>
      </c>
      <c r="F6" s="92">
        <v>20</v>
      </c>
      <c r="G6" s="91">
        <f t="shared" si="3"/>
        <v>288</v>
      </c>
      <c r="H6" s="91" t="s">
        <v>88</v>
      </c>
      <c r="I6" s="91">
        <f t="shared" si="4"/>
        <v>1123.6000000000001</v>
      </c>
      <c r="J6" s="91">
        <f t="shared" si="5"/>
        <v>2362.165</v>
      </c>
    </row>
    <row r="7" spans="1:13" x14ac:dyDescent="0.2">
      <c r="A7" s="88" t="s">
        <v>184</v>
      </c>
      <c r="B7" s="89" t="s">
        <v>87</v>
      </c>
      <c r="C7" s="91">
        <f t="shared" si="0"/>
        <v>2096</v>
      </c>
      <c r="D7" s="91">
        <f t="shared" si="1"/>
        <v>140</v>
      </c>
      <c r="E7" s="91">
        <f t="shared" si="2"/>
        <v>178.16000000000003</v>
      </c>
      <c r="F7" s="92">
        <v>10</v>
      </c>
      <c r="G7" s="91">
        <f t="shared" si="3"/>
        <v>48</v>
      </c>
      <c r="H7" s="91" t="s">
        <v>89</v>
      </c>
      <c r="I7" s="91">
        <f t="shared" si="4"/>
        <v>0</v>
      </c>
      <c r="J7" s="91">
        <f t="shared" si="5"/>
        <v>2462.16</v>
      </c>
    </row>
    <row r="8" spans="1:13" x14ac:dyDescent="0.2">
      <c r="A8" s="88" t="s">
        <v>185</v>
      </c>
      <c r="B8" s="89" t="s">
        <v>86</v>
      </c>
      <c r="C8" s="91">
        <f t="shared" si="0"/>
        <v>2809</v>
      </c>
      <c r="D8" s="91">
        <f t="shared" si="1"/>
        <v>150</v>
      </c>
      <c r="E8" s="91">
        <f t="shared" si="2"/>
        <v>238.76500000000001</v>
      </c>
      <c r="F8" s="92">
        <v>6</v>
      </c>
      <c r="G8" s="91">
        <f t="shared" si="3"/>
        <v>0</v>
      </c>
      <c r="H8" s="91" t="s">
        <v>88</v>
      </c>
      <c r="I8" s="91">
        <f t="shared" si="4"/>
        <v>1123.6000000000001</v>
      </c>
      <c r="J8" s="91">
        <f t="shared" si="5"/>
        <v>2074.165</v>
      </c>
    </row>
    <row r="9" spans="1:13" x14ac:dyDescent="0.2">
      <c r="A9" s="88" t="s">
        <v>186</v>
      </c>
      <c r="B9" s="89" t="s">
        <v>231</v>
      </c>
      <c r="C9" s="91">
        <f t="shared" si="0"/>
        <v>2664</v>
      </c>
      <c r="D9" s="91">
        <f t="shared" si="1"/>
        <v>130</v>
      </c>
      <c r="E9" s="91">
        <f t="shared" si="2"/>
        <v>226.44000000000003</v>
      </c>
      <c r="F9" s="92">
        <v>9</v>
      </c>
      <c r="G9" s="91">
        <f t="shared" si="3"/>
        <v>24</v>
      </c>
      <c r="H9" s="91" t="s">
        <v>89</v>
      </c>
      <c r="I9" s="91">
        <f t="shared" si="4"/>
        <v>0</v>
      </c>
      <c r="J9" s="91">
        <f t="shared" si="5"/>
        <v>3044.44</v>
      </c>
    </row>
    <row r="10" spans="1:13" x14ac:dyDescent="0.2">
      <c r="A10" s="88" t="s">
        <v>187</v>
      </c>
      <c r="B10" s="89" t="s">
        <v>85</v>
      </c>
      <c r="C10" s="91">
        <f t="shared" si="0"/>
        <v>1675</v>
      </c>
      <c r="D10" s="91">
        <f t="shared" si="1"/>
        <v>130</v>
      </c>
      <c r="E10" s="91">
        <f t="shared" si="2"/>
        <v>142.375</v>
      </c>
      <c r="F10" s="92">
        <v>27</v>
      </c>
      <c r="G10" s="91">
        <f t="shared" si="3"/>
        <v>456</v>
      </c>
      <c r="H10" s="91" t="s">
        <v>89</v>
      </c>
      <c r="I10" s="91">
        <f t="shared" si="4"/>
        <v>0</v>
      </c>
      <c r="J10" s="91">
        <f t="shared" si="5"/>
        <v>2403.375</v>
      </c>
    </row>
    <row r="11" spans="1:13" x14ac:dyDescent="0.2">
      <c r="A11" s="88" t="s">
        <v>188</v>
      </c>
      <c r="B11" s="89" t="s">
        <v>87</v>
      </c>
      <c r="C11" s="91">
        <f t="shared" si="0"/>
        <v>2096</v>
      </c>
      <c r="D11" s="91">
        <f t="shared" si="1"/>
        <v>140</v>
      </c>
      <c r="E11" s="91">
        <f t="shared" si="2"/>
        <v>178.16000000000003</v>
      </c>
      <c r="F11" s="92">
        <v>30</v>
      </c>
      <c r="G11" s="91">
        <f t="shared" si="3"/>
        <v>528</v>
      </c>
      <c r="H11" s="91" t="s">
        <v>89</v>
      </c>
      <c r="I11" s="91">
        <f t="shared" si="4"/>
        <v>0</v>
      </c>
      <c r="J11" s="91">
        <f t="shared" si="5"/>
        <v>2942.16</v>
      </c>
    </row>
    <row r="12" spans="1:13" x14ac:dyDescent="0.2">
      <c r="A12" s="88" t="s">
        <v>189</v>
      </c>
      <c r="B12" s="89" t="s">
        <v>86</v>
      </c>
      <c r="C12" s="91">
        <f t="shared" si="0"/>
        <v>2809</v>
      </c>
      <c r="D12" s="91">
        <f t="shared" si="1"/>
        <v>150</v>
      </c>
      <c r="E12" s="91">
        <f t="shared" si="2"/>
        <v>238.76500000000001</v>
      </c>
      <c r="F12" s="92">
        <v>12</v>
      </c>
      <c r="G12" s="91">
        <f t="shared" si="3"/>
        <v>96</v>
      </c>
      <c r="H12" s="91" t="s">
        <v>89</v>
      </c>
      <c r="I12" s="91">
        <f t="shared" si="4"/>
        <v>0</v>
      </c>
      <c r="J12" s="91">
        <f t="shared" si="5"/>
        <v>3293.7649999999999</v>
      </c>
    </row>
    <row r="13" spans="1:13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13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13" x14ac:dyDescent="0.2">
      <c r="A15" s="160" t="s">
        <v>90</v>
      </c>
      <c r="B15" s="160"/>
      <c r="C15" s="160"/>
      <c r="D15" s="5"/>
      <c r="E15" s="162" t="s">
        <v>92</v>
      </c>
      <c r="F15" s="163"/>
      <c r="G15" s="5"/>
      <c r="H15" s="18"/>
      <c r="I15" s="19"/>
      <c r="J15" s="18"/>
    </row>
    <row r="16" spans="1:13" x14ac:dyDescent="0.2">
      <c r="A16" s="8" t="s">
        <v>227</v>
      </c>
      <c r="B16" s="8">
        <v>8</v>
      </c>
      <c r="C16" s="11">
        <v>0</v>
      </c>
      <c r="E16" s="90" t="s">
        <v>88</v>
      </c>
      <c r="F16" s="7">
        <v>0.4</v>
      </c>
      <c r="H16" s="14"/>
      <c r="I16" s="20"/>
      <c r="J16" s="20"/>
    </row>
    <row r="17" spans="1:10" x14ac:dyDescent="0.2">
      <c r="A17" s="8" t="s">
        <v>91</v>
      </c>
      <c r="B17" s="8"/>
      <c r="C17" s="11">
        <v>24</v>
      </c>
      <c r="E17" s="90" t="s">
        <v>89</v>
      </c>
      <c r="F17" s="7">
        <v>0</v>
      </c>
      <c r="H17" s="14"/>
      <c r="I17" s="20"/>
      <c r="J17" s="20"/>
    </row>
    <row r="18" spans="1:10" x14ac:dyDescent="0.2">
      <c r="H18" s="14"/>
      <c r="I18" s="20"/>
      <c r="J18" s="20"/>
    </row>
    <row r="19" spans="1:10" x14ac:dyDescent="0.2">
      <c r="H19" s="14"/>
      <c r="I19" s="20"/>
      <c r="J19" s="20"/>
    </row>
    <row r="20" spans="1:10" x14ac:dyDescent="0.2">
      <c r="A20" s="89" t="s">
        <v>93</v>
      </c>
      <c r="H20" s="14"/>
      <c r="I20" s="20"/>
      <c r="J20" s="20"/>
    </row>
    <row r="21" spans="1:10" x14ac:dyDescent="0.2">
      <c r="A21" s="16">
        <v>8.5000000000000006E-2</v>
      </c>
      <c r="H21" s="14"/>
      <c r="I21" s="20"/>
      <c r="J21" s="20"/>
    </row>
    <row r="22" spans="1:10" x14ac:dyDescent="0.2">
      <c r="H22" s="14"/>
      <c r="I22" s="20"/>
      <c r="J22" s="20"/>
    </row>
    <row r="24" spans="1:10" x14ac:dyDescent="0.2">
      <c r="A24" s="89" t="s">
        <v>77</v>
      </c>
      <c r="B24" s="90" t="s">
        <v>86</v>
      </c>
      <c r="C24" s="90" t="s">
        <v>85</v>
      </c>
      <c r="D24" s="90" t="s">
        <v>231</v>
      </c>
      <c r="E24" s="90" t="s">
        <v>87</v>
      </c>
      <c r="F24" s="90" t="s">
        <v>232</v>
      </c>
      <c r="G24" s="90" t="s">
        <v>94</v>
      </c>
      <c r="H24" s="90" t="s">
        <v>95</v>
      </c>
    </row>
    <row r="25" spans="1:10" x14ac:dyDescent="0.2">
      <c r="A25" s="89" t="s">
        <v>78</v>
      </c>
      <c r="B25" s="12">
        <v>2809</v>
      </c>
      <c r="C25" s="12">
        <v>1675</v>
      </c>
      <c r="D25" s="12">
        <v>2664</v>
      </c>
      <c r="E25" s="12">
        <v>2096</v>
      </c>
      <c r="F25" s="12">
        <v>2496</v>
      </c>
      <c r="G25" s="12">
        <v>2300</v>
      </c>
      <c r="H25" s="12">
        <v>2766</v>
      </c>
    </row>
    <row r="26" spans="1:10" x14ac:dyDescent="0.2">
      <c r="A26" s="89" t="s">
        <v>79</v>
      </c>
      <c r="B26" s="12">
        <v>150</v>
      </c>
      <c r="C26" s="12">
        <v>130</v>
      </c>
      <c r="D26" s="12">
        <v>130</v>
      </c>
      <c r="E26" s="12">
        <v>140</v>
      </c>
      <c r="F26" s="12">
        <v>120</v>
      </c>
      <c r="G26" s="12">
        <v>150</v>
      </c>
      <c r="H26" s="12">
        <v>170</v>
      </c>
    </row>
    <row r="100" spans="1:1" x14ac:dyDescent="0.2">
      <c r="A100" s="21">
        <v>41730</v>
      </c>
    </row>
  </sheetData>
  <mergeCells count="3">
    <mergeCell ref="A15:C15"/>
    <mergeCell ref="A1:J1"/>
    <mergeCell ref="E15:F15"/>
  </mergeCells>
  <phoneticPr fontId="2" type="noConversion"/>
  <dataValidations count="1">
    <dataValidation type="list" allowBlank="1" showInputMessage="1" showErrorMessage="1" error="Destino no válido." prompt="Destinos posibles: Bariloche, Córdoba, El Calafate, Mendoza, Salta, Tucumán o Usuahia." sqref="B3:B12">
      <formula1>$B$24:$H$24</formula1>
    </dataValidation>
  </dataValidations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U2017"/>
  <sheetViews>
    <sheetView topLeftCell="A4" workbookViewId="0">
      <selection activeCell="H9" sqref="H9"/>
    </sheetView>
  </sheetViews>
  <sheetFormatPr baseColWidth="10" defaultRowHeight="12.75" x14ac:dyDescent="0.2"/>
  <cols>
    <col min="1" max="1" width="8.7109375" customWidth="1"/>
    <col min="2" max="2" width="16.85546875" customWidth="1"/>
    <col min="3" max="3" width="12.28515625" bestFit="1" customWidth="1"/>
    <col min="5" max="5" width="14.5703125" bestFit="1" customWidth="1"/>
    <col min="6" max="6" width="13.140625" customWidth="1"/>
    <col min="8" max="8" width="12.28515625" bestFit="1" customWidth="1"/>
    <col min="10" max="10" width="11.5703125" bestFit="1" customWidth="1"/>
    <col min="11" max="11" width="11.85546875" bestFit="1" customWidth="1"/>
    <col min="13" max="13" width="11.5703125" bestFit="1" customWidth="1"/>
  </cols>
  <sheetData>
    <row r="1" spans="1:13" x14ac:dyDescent="0.2">
      <c r="A1" s="166" t="s">
        <v>96</v>
      </c>
      <c r="B1" s="167"/>
      <c r="C1" s="167"/>
      <c r="D1" s="167"/>
      <c r="E1" s="167"/>
      <c r="F1" s="167"/>
      <c r="G1" s="167"/>
      <c r="H1" s="167"/>
      <c r="I1" s="167"/>
      <c r="J1" s="167"/>
      <c r="K1" s="168"/>
      <c r="M1" s="13" t="s">
        <v>234</v>
      </c>
    </row>
    <row r="2" spans="1:13" x14ac:dyDescent="0.2">
      <c r="A2" s="169"/>
      <c r="B2" s="170"/>
      <c r="C2" s="170"/>
      <c r="D2" s="170"/>
      <c r="E2" s="170"/>
      <c r="F2" s="170"/>
      <c r="G2" s="170"/>
      <c r="H2" s="170"/>
      <c r="I2" s="170"/>
      <c r="J2" s="170"/>
      <c r="K2" s="171"/>
    </row>
    <row r="3" spans="1:13" x14ac:dyDescent="0.2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4"/>
    </row>
    <row r="4" spans="1:13" ht="19.5" customHeight="1" thickBot="1" x14ac:dyDescent="0.25">
      <c r="A4" s="175" t="s">
        <v>97</v>
      </c>
      <c r="B4" s="176"/>
      <c r="C4" s="176"/>
      <c r="D4" s="176"/>
      <c r="E4" s="176"/>
      <c r="F4" s="176"/>
      <c r="G4" s="176"/>
      <c r="H4" s="176"/>
      <c r="I4" s="176"/>
      <c r="J4" s="176"/>
      <c r="K4" s="177"/>
    </row>
    <row r="5" spans="1:13" ht="13.5" thickBot="1" x14ac:dyDescent="0.25"/>
    <row r="6" spans="1:13" ht="13.5" thickBot="1" x14ac:dyDescent="0.25">
      <c r="D6" s="96" t="s">
        <v>98</v>
      </c>
      <c r="E6" s="97">
        <f ca="1">TODAY()</f>
        <v>43021</v>
      </c>
    </row>
    <row r="7" spans="1:13" ht="13.5" thickBot="1" x14ac:dyDescent="0.25"/>
    <row r="8" spans="1:13" ht="38.25" customHeight="1" thickBot="1" x14ac:dyDescent="0.25">
      <c r="A8" s="93" t="s">
        <v>99</v>
      </c>
      <c r="B8" s="94" t="s">
        <v>100</v>
      </c>
      <c r="C8" s="94" t="s">
        <v>101</v>
      </c>
      <c r="D8" s="94" t="s">
        <v>102</v>
      </c>
      <c r="E8" s="94" t="s">
        <v>151</v>
      </c>
      <c r="F8" s="94" t="s">
        <v>103</v>
      </c>
      <c r="G8" s="94" t="s">
        <v>104</v>
      </c>
      <c r="H8" s="94" t="s">
        <v>105</v>
      </c>
      <c r="I8" s="94" t="s">
        <v>106</v>
      </c>
      <c r="J8" s="94" t="s">
        <v>107</v>
      </c>
      <c r="K8" s="95" t="s">
        <v>108</v>
      </c>
    </row>
    <row r="9" spans="1:13" x14ac:dyDescent="0.2">
      <c r="A9" s="98">
        <v>2150</v>
      </c>
      <c r="B9" s="99" t="s">
        <v>147</v>
      </c>
      <c r="C9" s="99" t="s">
        <v>148</v>
      </c>
      <c r="D9" s="100">
        <v>33106</v>
      </c>
      <c r="E9" s="99" t="s">
        <v>144</v>
      </c>
      <c r="F9" s="101">
        <f>VLOOKUP(E9,$E$27:$F$34,2,0)</f>
        <v>21500</v>
      </c>
      <c r="G9" s="102">
        <f t="shared" ref="G9:G25" ca="1" si="0">DATEDIF(D9, $E$6, "Y")</f>
        <v>27</v>
      </c>
      <c r="H9" s="101">
        <f ca="1">F9 * HLOOKUP(G9, $E$37:$J$38, 2, 2)</f>
        <v>4300</v>
      </c>
      <c r="I9" s="99" t="s">
        <v>88</v>
      </c>
      <c r="J9" s="103">
        <f ca="1">IF(AND(G9 &gt; 3, I9 = "S"), F9 * 0.05, 0)</f>
        <v>1075</v>
      </c>
      <c r="K9" s="104">
        <f ca="1">F9 + H9 + J9</f>
        <v>26875</v>
      </c>
    </row>
    <row r="10" spans="1:13" x14ac:dyDescent="0.2">
      <c r="A10" s="105">
        <v>1400</v>
      </c>
      <c r="B10" s="14" t="s">
        <v>114</v>
      </c>
      <c r="C10" s="14" t="s">
        <v>115</v>
      </c>
      <c r="D10" s="106">
        <v>31422</v>
      </c>
      <c r="E10" s="14" t="s">
        <v>116</v>
      </c>
      <c r="F10" s="46">
        <f t="shared" ref="F10:F25" si="1">VLOOKUP(E10,$E$27:$F$34,2,0)</f>
        <v>21100</v>
      </c>
      <c r="G10" s="107">
        <f t="shared" ca="1" si="0"/>
        <v>31</v>
      </c>
      <c r="H10" s="46">
        <f ca="1">F10 * HLOOKUP(G10, $E$37:$J$38, 2, 2)</f>
        <v>5275</v>
      </c>
      <c r="I10" s="14" t="s">
        <v>88</v>
      </c>
      <c r="J10" s="49">
        <f t="shared" ref="J10:J25" ca="1" si="2">IF(AND(G10 &gt; 3, I10 = "S"), F10 * 0.05, 0)</f>
        <v>1055</v>
      </c>
      <c r="K10" s="108">
        <f t="shared" ref="K10:K25" ca="1" si="3">F10 + H10 + J10</f>
        <v>27430</v>
      </c>
    </row>
    <row r="11" spans="1:13" x14ac:dyDescent="0.2">
      <c r="A11" s="105">
        <v>1790</v>
      </c>
      <c r="B11" s="14" t="s">
        <v>133</v>
      </c>
      <c r="C11" s="14" t="s">
        <v>134</v>
      </c>
      <c r="D11" s="106">
        <v>33490</v>
      </c>
      <c r="E11" s="14" t="s">
        <v>121</v>
      </c>
      <c r="F11" s="46">
        <f t="shared" si="1"/>
        <v>15950</v>
      </c>
      <c r="G11" s="107">
        <f t="shared" ca="1" si="0"/>
        <v>26</v>
      </c>
      <c r="H11" s="46">
        <f t="shared" ref="H11:H24" ca="1" si="4">F11 * HLOOKUP(G11, $E$37:$J$38, 2, 2)</f>
        <v>3190</v>
      </c>
      <c r="I11" s="14" t="s">
        <v>88</v>
      </c>
      <c r="J11" s="49">
        <f t="shared" ca="1" si="2"/>
        <v>797.5</v>
      </c>
      <c r="K11" s="108">
        <f t="shared" ca="1" si="3"/>
        <v>19937.5</v>
      </c>
    </row>
    <row r="12" spans="1:13" x14ac:dyDescent="0.2">
      <c r="A12" s="105">
        <v>1450</v>
      </c>
      <c r="B12" s="14" t="s">
        <v>119</v>
      </c>
      <c r="C12" s="14" t="s">
        <v>120</v>
      </c>
      <c r="D12" s="106">
        <v>33098</v>
      </c>
      <c r="E12" s="14" t="s">
        <v>121</v>
      </c>
      <c r="F12" s="46">
        <f t="shared" si="1"/>
        <v>15950</v>
      </c>
      <c r="G12" s="107">
        <f t="shared" ca="1" si="0"/>
        <v>27</v>
      </c>
      <c r="H12" s="46">
        <f t="shared" ca="1" si="4"/>
        <v>3190</v>
      </c>
      <c r="I12" s="14" t="s">
        <v>89</v>
      </c>
      <c r="J12" s="49">
        <f t="shared" ca="1" si="2"/>
        <v>0</v>
      </c>
      <c r="K12" s="108">
        <f t="shared" ca="1" si="3"/>
        <v>19140</v>
      </c>
    </row>
    <row r="13" spans="1:13" x14ac:dyDescent="0.2">
      <c r="A13" s="105">
        <v>1550</v>
      </c>
      <c r="B13" s="14" t="s">
        <v>127</v>
      </c>
      <c r="C13" s="14" t="s">
        <v>128</v>
      </c>
      <c r="D13" s="106">
        <v>36863</v>
      </c>
      <c r="E13" s="14" t="s">
        <v>116</v>
      </c>
      <c r="F13" s="46">
        <f t="shared" si="1"/>
        <v>21100</v>
      </c>
      <c r="G13" s="107">
        <f t="shared" ca="1" si="0"/>
        <v>16</v>
      </c>
      <c r="H13" s="46">
        <f t="shared" ca="1" si="4"/>
        <v>3165</v>
      </c>
      <c r="I13" s="14" t="s">
        <v>89</v>
      </c>
      <c r="J13" s="49">
        <f t="shared" ca="1" si="2"/>
        <v>0</v>
      </c>
      <c r="K13" s="108">
        <f t="shared" ca="1" si="3"/>
        <v>24265</v>
      </c>
    </row>
    <row r="14" spans="1:13" x14ac:dyDescent="0.2">
      <c r="A14" s="105">
        <v>2030</v>
      </c>
      <c r="B14" s="14" t="s">
        <v>145</v>
      </c>
      <c r="C14" s="14" t="s">
        <v>146</v>
      </c>
      <c r="D14" s="106">
        <v>33770</v>
      </c>
      <c r="E14" s="14" t="s">
        <v>137</v>
      </c>
      <c r="F14" s="46">
        <f t="shared" si="1"/>
        <v>14780</v>
      </c>
      <c r="G14" s="107">
        <f t="shared" ca="1" si="0"/>
        <v>25</v>
      </c>
      <c r="H14" s="46">
        <f t="shared" ca="1" si="4"/>
        <v>2956</v>
      </c>
      <c r="I14" s="14" t="s">
        <v>89</v>
      </c>
      <c r="J14" s="49">
        <f t="shared" ca="1" si="2"/>
        <v>0</v>
      </c>
      <c r="K14" s="108">
        <f t="shared" ca="1" si="3"/>
        <v>17736</v>
      </c>
    </row>
    <row r="15" spans="1:13" x14ac:dyDescent="0.2">
      <c r="A15" s="105">
        <v>1520</v>
      </c>
      <c r="B15" s="14" t="s">
        <v>124</v>
      </c>
      <c r="C15" s="14" t="s">
        <v>125</v>
      </c>
      <c r="D15" s="106">
        <v>38484</v>
      </c>
      <c r="E15" s="14" t="s">
        <v>126</v>
      </c>
      <c r="F15" s="46">
        <f t="shared" si="1"/>
        <v>18320</v>
      </c>
      <c r="G15" s="107">
        <f t="shared" ca="1" si="0"/>
        <v>12</v>
      </c>
      <c r="H15" s="46">
        <f t="shared" ca="1" si="4"/>
        <v>2748</v>
      </c>
      <c r="I15" s="14" t="s">
        <v>88</v>
      </c>
      <c r="J15" s="49">
        <f t="shared" ca="1" si="2"/>
        <v>916</v>
      </c>
      <c r="K15" s="108">
        <f t="shared" ca="1" si="3"/>
        <v>21984</v>
      </c>
    </row>
    <row r="16" spans="1:13" x14ac:dyDescent="0.2">
      <c r="A16" s="105">
        <v>1730</v>
      </c>
      <c r="B16" s="14" t="s">
        <v>129</v>
      </c>
      <c r="C16" s="14" t="s">
        <v>110</v>
      </c>
      <c r="D16" s="106">
        <v>31575</v>
      </c>
      <c r="E16" s="131" t="s">
        <v>130</v>
      </c>
      <c r="F16" s="46">
        <f t="shared" si="1"/>
        <v>18500</v>
      </c>
      <c r="G16" s="107">
        <f t="shared" ca="1" si="0"/>
        <v>31</v>
      </c>
      <c r="H16" s="46">
        <f t="shared" ca="1" si="4"/>
        <v>4625</v>
      </c>
      <c r="I16" s="14" t="s">
        <v>89</v>
      </c>
      <c r="J16" s="49">
        <f t="shared" ca="1" si="2"/>
        <v>0</v>
      </c>
      <c r="K16" s="108">
        <f t="shared" ca="1" si="3"/>
        <v>23125</v>
      </c>
    </row>
    <row r="17" spans="1:11" x14ac:dyDescent="0.2">
      <c r="A17" s="105">
        <v>1340</v>
      </c>
      <c r="B17" s="14" t="s">
        <v>109</v>
      </c>
      <c r="C17" s="14" t="s">
        <v>110</v>
      </c>
      <c r="D17" s="106">
        <v>34429</v>
      </c>
      <c r="E17" s="14" t="s">
        <v>111</v>
      </c>
      <c r="F17" s="46">
        <f t="shared" si="1"/>
        <v>42100</v>
      </c>
      <c r="G17" s="107">
        <f t="shared" ca="1" si="0"/>
        <v>23</v>
      </c>
      <c r="H17" s="46">
        <f t="shared" ca="1" si="4"/>
        <v>8420</v>
      </c>
      <c r="I17" s="14" t="s">
        <v>88</v>
      </c>
      <c r="J17" s="49">
        <f t="shared" ca="1" si="2"/>
        <v>2105</v>
      </c>
      <c r="K17" s="108">
        <f t="shared" ca="1" si="3"/>
        <v>52625</v>
      </c>
    </row>
    <row r="18" spans="1:11" x14ac:dyDescent="0.2">
      <c r="A18" s="105">
        <v>1850</v>
      </c>
      <c r="B18" s="14" t="s">
        <v>138</v>
      </c>
      <c r="C18" s="14" t="s">
        <v>139</v>
      </c>
      <c r="D18" s="106">
        <v>28926</v>
      </c>
      <c r="E18" s="14" t="s">
        <v>121</v>
      </c>
      <c r="F18" s="46">
        <f t="shared" si="1"/>
        <v>15950</v>
      </c>
      <c r="G18" s="107">
        <f t="shared" ca="1" si="0"/>
        <v>38</v>
      </c>
      <c r="H18" s="46">
        <f t="shared" ca="1" si="4"/>
        <v>3987.5</v>
      </c>
      <c r="I18" s="14" t="s">
        <v>88</v>
      </c>
      <c r="J18" s="49">
        <f t="shared" ca="1" si="2"/>
        <v>797.5</v>
      </c>
      <c r="K18" s="108">
        <f t="shared" ca="1" si="3"/>
        <v>20735</v>
      </c>
    </row>
    <row r="19" spans="1:11" x14ac:dyDescent="0.2">
      <c r="A19" s="105">
        <v>2000</v>
      </c>
      <c r="B19" s="14" t="s">
        <v>142</v>
      </c>
      <c r="C19" s="14" t="s">
        <v>143</v>
      </c>
      <c r="D19" s="106">
        <v>33700</v>
      </c>
      <c r="E19" s="14" t="s">
        <v>144</v>
      </c>
      <c r="F19" s="46">
        <f t="shared" si="1"/>
        <v>21500</v>
      </c>
      <c r="G19" s="107">
        <f t="shared" ca="1" si="0"/>
        <v>25</v>
      </c>
      <c r="H19" s="46">
        <f t="shared" ca="1" si="4"/>
        <v>4300</v>
      </c>
      <c r="I19" s="14" t="s">
        <v>88</v>
      </c>
      <c r="J19" s="49">
        <f t="shared" ca="1" si="2"/>
        <v>1075</v>
      </c>
      <c r="K19" s="108">
        <f t="shared" ca="1" si="3"/>
        <v>26875</v>
      </c>
    </row>
    <row r="20" spans="1:11" x14ac:dyDescent="0.2">
      <c r="A20" s="105">
        <v>1820</v>
      </c>
      <c r="B20" s="14" t="s">
        <v>135</v>
      </c>
      <c r="C20" s="14" t="s">
        <v>136</v>
      </c>
      <c r="D20" s="106">
        <v>33553</v>
      </c>
      <c r="E20" s="14" t="s">
        <v>137</v>
      </c>
      <c r="F20" s="46">
        <f t="shared" si="1"/>
        <v>14780</v>
      </c>
      <c r="G20" s="107">
        <f t="shared" ca="1" si="0"/>
        <v>25</v>
      </c>
      <c r="H20" s="46">
        <f t="shared" ca="1" si="4"/>
        <v>2956</v>
      </c>
      <c r="I20" s="14" t="s">
        <v>89</v>
      </c>
      <c r="J20" s="49">
        <f t="shared" ca="1" si="2"/>
        <v>0</v>
      </c>
      <c r="K20" s="108">
        <f t="shared" ca="1" si="3"/>
        <v>17736</v>
      </c>
    </row>
    <row r="21" spans="1:11" x14ac:dyDescent="0.2">
      <c r="A21" s="105">
        <v>1760</v>
      </c>
      <c r="B21" s="14" t="s">
        <v>131</v>
      </c>
      <c r="C21" s="14" t="s">
        <v>132</v>
      </c>
      <c r="D21" s="106">
        <v>40781</v>
      </c>
      <c r="E21" s="14" t="s">
        <v>116</v>
      </c>
      <c r="F21" s="46">
        <f t="shared" si="1"/>
        <v>21100</v>
      </c>
      <c r="G21" s="107">
        <f t="shared" ca="1" si="0"/>
        <v>6</v>
      </c>
      <c r="H21" s="46">
        <f t="shared" ca="1" si="4"/>
        <v>2110</v>
      </c>
      <c r="I21" s="14" t="s">
        <v>88</v>
      </c>
      <c r="J21" s="49">
        <f t="shared" ca="1" si="2"/>
        <v>1055</v>
      </c>
      <c r="K21" s="108">
        <f t="shared" ca="1" si="3"/>
        <v>24265</v>
      </c>
    </row>
    <row r="22" spans="1:11" x14ac:dyDescent="0.2">
      <c r="A22" s="105">
        <v>1880</v>
      </c>
      <c r="B22" s="14" t="s">
        <v>140</v>
      </c>
      <c r="C22" s="14" t="s">
        <v>141</v>
      </c>
      <c r="D22" s="106">
        <v>33567</v>
      </c>
      <c r="E22" s="14" t="s">
        <v>137</v>
      </c>
      <c r="F22" s="46">
        <f t="shared" si="1"/>
        <v>14780</v>
      </c>
      <c r="G22" s="107">
        <f t="shared" ca="1" si="0"/>
        <v>25</v>
      </c>
      <c r="H22" s="46">
        <f t="shared" ca="1" si="4"/>
        <v>2956</v>
      </c>
      <c r="I22" s="14" t="s">
        <v>89</v>
      </c>
      <c r="J22" s="49">
        <f t="shared" ca="1" si="2"/>
        <v>0</v>
      </c>
      <c r="K22" s="108">
        <f t="shared" ca="1" si="3"/>
        <v>17736</v>
      </c>
    </row>
    <row r="23" spans="1:11" x14ac:dyDescent="0.2">
      <c r="A23" s="105">
        <v>1490</v>
      </c>
      <c r="B23" s="14" t="s">
        <v>122</v>
      </c>
      <c r="C23" s="14" t="s">
        <v>123</v>
      </c>
      <c r="D23" s="106">
        <v>40989</v>
      </c>
      <c r="E23" s="14" t="s">
        <v>121</v>
      </c>
      <c r="F23" s="46">
        <f t="shared" si="1"/>
        <v>15950</v>
      </c>
      <c r="G23" s="107">
        <f t="shared" ca="1" si="0"/>
        <v>5</v>
      </c>
      <c r="H23" s="46">
        <f t="shared" ca="1" si="4"/>
        <v>1595</v>
      </c>
      <c r="I23" s="14" t="s">
        <v>89</v>
      </c>
      <c r="J23" s="49">
        <f t="shared" ca="1" si="2"/>
        <v>0</v>
      </c>
      <c r="K23" s="108">
        <f t="shared" ca="1" si="3"/>
        <v>17545</v>
      </c>
    </row>
    <row r="24" spans="1:11" x14ac:dyDescent="0.2">
      <c r="A24" s="105">
        <v>1370</v>
      </c>
      <c r="B24" s="14" t="s">
        <v>112</v>
      </c>
      <c r="C24" s="14" t="s">
        <v>113</v>
      </c>
      <c r="D24" s="106">
        <v>32784</v>
      </c>
      <c r="E24" s="14" t="s">
        <v>111</v>
      </c>
      <c r="F24" s="46">
        <f t="shared" si="1"/>
        <v>42100</v>
      </c>
      <c r="G24" s="107">
        <f t="shared" ca="1" si="0"/>
        <v>28</v>
      </c>
      <c r="H24" s="46">
        <f t="shared" ca="1" si="4"/>
        <v>8420</v>
      </c>
      <c r="I24" s="14" t="s">
        <v>88</v>
      </c>
      <c r="J24" s="49">
        <f t="shared" ca="1" si="2"/>
        <v>2105</v>
      </c>
      <c r="K24" s="108">
        <f t="shared" ca="1" si="3"/>
        <v>52625</v>
      </c>
    </row>
    <row r="25" spans="1:11" ht="13.5" thickBot="1" x14ac:dyDescent="0.25">
      <c r="A25" s="66">
        <v>2001</v>
      </c>
      <c r="B25" s="109" t="s">
        <v>117</v>
      </c>
      <c r="C25" s="109" t="s">
        <v>118</v>
      </c>
      <c r="D25" s="110">
        <v>41289</v>
      </c>
      <c r="E25" s="109" t="s">
        <v>116</v>
      </c>
      <c r="F25" s="111">
        <f t="shared" si="1"/>
        <v>21100</v>
      </c>
      <c r="G25" s="112">
        <f t="shared" ca="1" si="0"/>
        <v>4</v>
      </c>
      <c r="H25" s="111">
        <f ca="1">F25 * HLOOKUP(G25, $E$37:$J$38, 2, 2)</f>
        <v>0</v>
      </c>
      <c r="I25" s="109" t="s">
        <v>88</v>
      </c>
      <c r="J25" s="113">
        <f t="shared" ca="1" si="2"/>
        <v>1055</v>
      </c>
      <c r="K25" s="114">
        <f t="shared" ca="1" si="3"/>
        <v>22155</v>
      </c>
    </row>
    <row r="26" spans="1:11" ht="13.5" thickBot="1" x14ac:dyDescent="0.25">
      <c r="F26" s="1"/>
      <c r="G26" s="1"/>
      <c r="H26" s="1"/>
      <c r="I26" s="1"/>
      <c r="J26" s="1"/>
      <c r="K26" s="1"/>
    </row>
    <row r="27" spans="1:11" ht="13.5" thickBot="1" x14ac:dyDescent="0.25">
      <c r="A27" s="178" t="s">
        <v>149</v>
      </c>
      <c r="B27" s="179"/>
      <c r="C27" s="119">
        <f>COUNTA(A9:A25)</f>
        <v>17</v>
      </c>
      <c r="E27" s="120" t="s">
        <v>151</v>
      </c>
      <c r="F27" s="121" t="s">
        <v>103</v>
      </c>
    </row>
    <row r="28" spans="1:11" x14ac:dyDescent="0.2">
      <c r="A28" s="180" t="s">
        <v>150</v>
      </c>
      <c r="B28" s="181"/>
      <c r="C28" s="119">
        <f>COUNTIF(E9:E25, "=EJECUTIVO")</f>
        <v>2</v>
      </c>
      <c r="E28" s="115" t="s">
        <v>130</v>
      </c>
      <c r="F28" s="117">
        <v>18500</v>
      </c>
    </row>
    <row r="29" spans="1:11" x14ac:dyDescent="0.2">
      <c r="A29" s="180" t="s">
        <v>165</v>
      </c>
      <c r="B29" s="181"/>
      <c r="C29" s="119">
        <f>COUNTIF(A9:A25, "&gt;=2000")</f>
        <v>4</v>
      </c>
      <c r="E29" s="115" t="s">
        <v>111</v>
      </c>
      <c r="F29" s="117">
        <v>42100</v>
      </c>
    </row>
    <row r="30" spans="1:11" ht="13.5" thickBot="1" x14ac:dyDescent="0.25">
      <c r="A30" s="164" t="s">
        <v>191</v>
      </c>
      <c r="B30" s="165"/>
      <c r="C30" s="130">
        <f ca="1">SUMIF(E9:E25, "=VENTAS", K9:K25)</f>
        <v>77357.5</v>
      </c>
      <c r="E30" s="115" t="s">
        <v>116</v>
      </c>
      <c r="F30" s="117">
        <v>21100</v>
      </c>
    </row>
    <row r="31" spans="1:11" x14ac:dyDescent="0.2">
      <c r="E31" s="115" t="s">
        <v>144</v>
      </c>
      <c r="F31" s="117">
        <v>21500</v>
      </c>
    </row>
    <row r="32" spans="1:11" x14ac:dyDescent="0.2">
      <c r="E32" s="115" t="s">
        <v>126</v>
      </c>
      <c r="F32" s="117">
        <v>18320</v>
      </c>
    </row>
    <row r="33" spans="1:10" x14ac:dyDescent="0.2">
      <c r="E33" s="115" t="s">
        <v>137</v>
      </c>
      <c r="F33" s="117">
        <v>14780</v>
      </c>
    </row>
    <row r="34" spans="1:10" ht="13.5" thickBot="1" x14ac:dyDescent="0.25">
      <c r="E34" s="116" t="s">
        <v>121</v>
      </c>
      <c r="F34" s="118">
        <v>15950</v>
      </c>
    </row>
    <row r="36" spans="1:10" ht="13.5" thickBot="1" x14ac:dyDescent="0.25"/>
    <row r="37" spans="1:10" ht="13.5" thickBot="1" x14ac:dyDescent="0.25">
      <c r="E37" s="122" t="s">
        <v>104</v>
      </c>
      <c r="F37" s="123">
        <v>0</v>
      </c>
      <c r="G37" s="124">
        <v>5</v>
      </c>
      <c r="H37" s="124">
        <v>10</v>
      </c>
      <c r="I37" s="124">
        <v>20</v>
      </c>
      <c r="J37" s="125">
        <v>30</v>
      </c>
    </row>
    <row r="38" spans="1:10" ht="13.5" thickBot="1" x14ac:dyDescent="0.25">
      <c r="E38" s="126" t="s">
        <v>250</v>
      </c>
      <c r="F38" s="127">
        <v>0</v>
      </c>
      <c r="G38" s="128">
        <v>0.1</v>
      </c>
      <c r="H38" s="128">
        <v>0.15</v>
      </c>
      <c r="I38" s="128">
        <v>0.2</v>
      </c>
      <c r="J38" s="129">
        <v>0.25</v>
      </c>
    </row>
    <row r="40" spans="1:10" x14ac:dyDescent="0.2">
      <c r="A40" s="13"/>
      <c r="D40" s="2"/>
    </row>
    <row r="45" spans="1:10" x14ac:dyDescent="0.2">
      <c r="A45" s="13" t="s">
        <v>251</v>
      </c>
    </row>
    <row r="100" spans="1:1" x14ac:dyDescent="0.2">
      <c r="A100" s="21">
        <v>41730</v>
      </c>
    </row>
    <row r="2017" spans="21:21" x14ac:dyDescent="0.2">
      <c r="U2017" t="s">
        <v>233</v>
      </c>
    </row>
  </sheetData>
  <sortState ref="A9:K26">
    <sortCondition ref="C9:C26"/>
  </sortState>
  <mergeCells count="6">
    <mergeCell ref="A30:B30"/>
    <mergeCell ref="A1:K3"/>
    <mergeCell ref="A4:K4"/>
    <mergeCell ref="A27:B27"/>
    <mergeCell ref="A28:B28"/>
    <mergeCell ref="A29:B29"/>
  </mergeCells>
  <phoneticPr fontId="2" type="noConversion"/>
  <dataValidations count="1">
    <dataValidation type="date" operator="greaterThan" allowBlank="1" showInputMessage="1" showErrorMessage="1" error="Fecha no válida." prompt="La fecha de ingreso debe ser posterior al 01/01/1978." sqref="D9:D25">
      <formula1>DATE(1978, 1, 1)</formula1>
    </dataValidation>
  </dataValidations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3</vt:lpstr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Corporation;MV</dc:creator>
  <cp:lastModifiedBy>Santi</cp:lastModifiedBy>
  <cp:lastPrinted>2005-02-11T20:38:37Z</cp:lastPrinted>
  <dcterms:created xsi:type="dcterms:W3CDTF">1996-11-27T10:00:04Z</dcterms:created>
  <dcterms:modified xsi:type="dcterms:W3CDTF">2017-10-14T00:01:35Z</dcterms:modified>
</cp:coreProperties>
</file>